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MSIV\.codex\worktrees\calcy-spreadsheet-phase1\rate-finder-plus\outputs\spreadsheet-phase2\corrections\"/>
    </mc:Choice>
  </mc:AlternateContent>
  <xr:revisionPtr revIDLastSave="0" documentId="13_ncr:1_{E4D6B956-B5EE-4175-9BB8-E6A064350383}" xr6:coauthVersionLast="47" xr6:coauthVersionMax="47" xr10:uidLastSave="{00000000-0000-0000-0000-000000000000}"/>
  <bookViews>
    <workbookView xWindow="-103" yWindow="-103" windowWidth="22149" windowHeight="13200" xr2:uid="{00000000-000D-0000-FFFF-FFFF00000000}"/>
  </bookViews>
  <sheets>
    <sheet name="Dashboard" sheetId="1" r:id="rId1"/>
    <sheet name="Current Loan" sheetId="2" r:id="rId2"/>
    <sheet name="Proposed Loan" sheetId="3" r:id="rId3"/>
    <sheet name="Break-Even Analysis" sheetId="4" r:id="rId4"/>
    <sheet name="Year-by-Year Comparison" sheetId="5" r:id="rId5"/>
    <sheet name="Charts" sheetId="6" r:id="rId6"/>
    <sheet name="Instructions" sheetId="7" r:id="rId7"/>
  </sheets>
  <definedNames>
    <definedName name="_xlnm.Print_Area" localSheetId="3">OFFSET('Break-Even Analysis'!$A$1,0,0,MAX('Current Loan'!$B$7,'Proposed Loan'!$B$6)*12+6,8)</definedName>
    <definedName name="_xlnm.Print_Area" localSheetId="5">Charts!$A$1:$H$22</definedName>
    <definedName name="_xlnm.Print_Area" localSheetId="1">'Current Loan'!$A$1:$H$19</definedName>
    <definedName name="_xlnm.Print_Area" localSheetId="0">Dashboard!$A$1:$H$35</definedName>
    <definedName name="_xlnm.Print_Area" localSheetId="6">Instructions!$A$1:$H$39</definedName>
    <definedName name="_xlnm.Print_Area" localSheetId="2">'Proposed Loan'!$A$1:$H$20</definedName>
    <definedName name="_xlnm.Print_Area" localSheetId="4">OFFSET('Year-by-Year Comparison'!$A$1,0,0,MAX('Current Loan'!$B$7,'Proposed Loan'!$B$6)+6,7)</definedName>
    <definedName name="_xlnm.Print_Titles" localSheetId="3">'Break-Even Analysis'!$1:$6</definedName>
    <definedName name="_xlnm.Print_Titles" localSheetId="4">'Year-by-Year Comparison'!$1:$6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5" i="3" l="1"/>
  <c r="B15" i="2"/>
  <c r="B13" i="2"/>
  <c r="A442" i="4" s="1"/>
  <c r="A156" i="4" l="1"/>
  <c r="E156" i="4" s="1"/>
  <c r="A198" i="4"/>
  <c r="E198" i="4" s="1"/>
  <c r="A73" i="4"/>
  <c r="C73" i="4" s="1"/>
  <c r="A205" i="4"/>
  <c r="C205" i="4" s="1"/>
  <c r="A210" i="4"/>
  <c r="C210" i="4" s="1"/>
  <c r="A84" i="4"/>
  <c r="C84" i="4" s="1"/>
  <c r="A22" i="4"/>
  <c r="C22" i="4" s="1"/>
  <c r="A152" i="4"/>
  <c r="E152" i="4" s="1"/>
  <c r="A40" i="4"/>
  <c r="E40" i="4" s="1"/>
  <c r="A72" i="4"/>
  <c r="C72" i="4" s="1"/>
  <c r="A204" i="4"/>
  <c r="C204" i="4" s="1"/>
  <c r="A207" i="4"/>
  <c r="C207" i="4" s="1"/>
  <c r="A81" i="4"/>
  <c r="C81" i="4" s="1"/>
  <c r="A220" i="4"/>
  <c r="C220" i="4" s="1"/>
  <c r="A88" i="4"/>
  <c r="C88" i="4" s="1"/>
  <c r="A97" i="4"/>
  <c r="E97" i="4" s="1"/>
  <c r="A139" i="4"/>
  <c r="C139" i="4" s="1"/>
  <c r="A36" i="4"/>
  <c r="E36" i="4" s="1"/>
  <c r="A196" i="4"/>
  <c r="E196" i="4" s="1"/>
  <c r="A203" i="4"/>
  <c r="C203" i="4" s="1"/>
  <c r="A76" i="4"/>
  <c r="C76" i="4" s="1"/>
  <c r="A79" i="4"/>
  <c r="C79" i="4" s="1"/>
  <c r="A214" i="4"/>
  <c r="E214" i="4" s="1"/>
  <c r="A223" i="4"/>
  <c r="C223" i="4" s="1"/>
  <c r="A227" i="4"/>
  <c r="C227" i="4" s="1"/>
  <c r="A228" i="4"/>
  <c r="C228" i="4" s="1"/>
  <c r="A13" i="4"/>
  <c r="C13" i="4" s="1"/>
  <c r="A307" i="4"/>
  <c r="A133" i="4"/>
  <c r="E133" i="4" s="1"/>
  <c r="A17" i="4"/>
  <c r="C17" i="4" s="1"/>
  <c r="A316" i="4"/>
  <c r="A135" i="4"/>
  <c r="E135" i="4" s="1"/>
  <c r="A23" i="4"/>
  <c r="C23" i="4" s="1"/>
  <c r="A26" i="4"/>
  <c r="C26" i="4" s="1"/>
  <c r="A142" i="4"/>
  <c r="E142" i="4" s="1"/>
  <c r="A330" i="4"/>
  <c r="C330" i="4" s="1"/>
  <c r="A298" i="4"/>
  <c r="E298" i="4" s="1"/>
  <c r="A16" i="4"/>
  <c r="E16" i="4" s="1"/>
  <c r="A134" i="4"/>
  <c r="C134" i="4" s="1"/>
  <c r="A319" i="4"/>
  <c r="A328" i="4"/>
  <c r="C328" i="4" s="1"/>
  <c r="A28" i="4"/>
  <c r="C28" i="4" s="1"/>
  <c r="A144" i="4"/>
  <c r="E144" i="4" s="1"/>
  <c r="A331" i="4"/>
  <c r="C331" i="4" s="1"/>
  <c r="A35" i="4"/>
  <c r="E35" i="4" s="1"/>
  <c r="A68" i="4"/>
  <c r="E68" i="4" s="1"/>
  <c r="A77" i="4"/>
  <c r="E77" i="4" s="1"/>
  <c r="A83" i="4"/>
  <c r="C83" i="4" s="1"/>
  <c r="A96" i="4"/>
  <c r="C96" i="4" s="1"/>
  <c r="A129" i="4"/>
  <c r="C129" i="4" s="1"/>
  <c r="A315" i="4"/>
  <c r="A30" i="4"/>
  <c r="E30" i="4" s="1"/>
  <c r="A147" i="4"/>
  <c r="E147" i="4" s="1"/>
  <c r="A337" i="4"/>
  <c r="A32" i="4"/>
  <c r="C32" i="4" s="1"/>
  <c r="A149" i="4"/>
  <c r="C149" i="4" s="1"/>
  <c r="A343" i="4"/>
  <c r="A394" i="4"/>
  <c r="A160" i="4"/>
  <c r="C160" i="4" s="1"/>
  <c r="A45" i="4"/>
  <c r="C45" i="4" s="1"/>
  <c r="A417" i="4"/>
  <c r="E417" i="4" s="1"/>
  <c r="A167" i="4"/>
  <c r="E167" i="4" s="1"/>
  <c r="A49" i="4"/>
  <c r="C49" i="4" s="1"/>
  <c r="A4" i="1"/>
  <c r="A264" i="4"/>
  <c r="E264" i="4" s="1"/>
  <c r="A52" i="4"/>
  <c r="C52" i="4" s="1"/>
  <c r="A54" i="4"/>
  <c r="C54" i="4" s="1"/>
  <c r="A119" i="4"/>
  <c r="E119" i="4" s="1"/>
  <c r="A183" i="4"/>
  <c r="A273" i="4"/>
  <c r="E273" i="4" s="1"/>
  <c r="A472" i="4"/>
  <c r="A159" i="4"/>
  <c r="E159" i="4" s="1"/>
  <c r="A42" i="4"/>
  <c r="E42" i="4" s="1"/>
  <c r="A236" i="4"/>
  <c r="E236" i="4" s="1"/>
  <c r="A161" i="4"/>
  <c r="E161" i="4" s="1"/>
  <c r="A102" i="4"/>
  <c r="C102" i="4" s="1"/>
  <c r="A423" i="4"/>
  <c r="C423" i="4" s="1"/>
  <c r="A173" i="4"/>
  <c r="E173" i="4" s="1"/>
  <c r="A257" i="4"/>
  <c r="E257" i="4" s="1"/>
  <c r="A50" i="4"/>
  <c r="E50" i="4" s="1"/>
  <c r="A176" i="4"/>
  <c r="C176" i="4" s="1"/>
  <c r="A115" i="4"/>
  <c r="C115" i="4" s="1"/>
  <c r="A435" i="4"/>
  <c r="C435" i="4" s="1"/>
  <c r="A474" i="4"/>
  <c r="A7" i="4"/>
  <c r="C7" i="4" s="1"/>
  <c r="A57" i="4"/>
  <c r="C57" i="4" s="1"/>
  <c r="A123" i="4"/>
  <c r="E123" i="4" s="1"/>
  <c r="A189" i="4"/>
  <c r="C189" i="4" s="1"/>
  <c r="A288" i="4"/>
  <c r="E288" i="4" s="1"/>
  <c r="A477" i="4"/>
  <c r="C477" i="4" s="1"/>
  <c r="A182" i="4"/>
  <c r="C182" i="4" s="1"/>
  <c r="A277" i="4"/>
  <c r="C277" i="4" s="1"/>
  <c r="A9" i="4"/>
  <c r="A60" i="4"/>
  <c r="E60" i="4" s="1"/>
  <c r="A127" i="4"/>
  <c r="C127" i="4" s="1"/>
  <c r="A191" i="4"/>
  <c r="C191" i="4" s="1"/>
  <c r="A294" i="4"/>
  <c r="E294" i="4" s="1"/>
  <c r="A10" i="5"/>
  <c r="A231" i="4"/>
  <c r="E231" i="4" s="1"/>
  <c r="A101" i="4"/>
  <c r="C101" i="4" s="1"/>
  <c r="A402" i="4"/>
  <c r="A239" i="4"/>
  <c r="E239" i="4" s="1"/>
  <c r="A46" i="4"/>
  <c r="E46" i="4" s="1"/>
  <c r="A245" i="4"/>
  <c r="E245" i="4" s="1"/>
  <c r="A106" i="4"/>
  <c r="E106" i="4" s="1"/>
  <c r="A430" i="4"/>
  <c r="A109" i="4"/>
  <c r="E109" i="4" s="1"/>
  <c r="A433" i="4"/>
  <c r="A272" i="4"/>
  <c r="C272" i="4" s="1"/>
  <c r="A56" i="4"/>
  <c r="E56" i="4" s="1"/>
  <c r="A187" i="4"/>
  <c r="C187" i="4" s="1"/>
  <c r="A12" i="4"/>
  <c r="E12" i="4" s="1"/>
  <c r="A67" i="4"/>
  <c r="C67" i="4" s="1"/>
  <c r="A128" i="4"/>
  <c r="E128" i="4" s="1"/>
  <c r="A194" i="4"/>
  <c r="E194" i="4" s="1"/>
  <c r="A295" i="4"/>
  <c r="C295" i="4" s="1"/>
  <c r="A19" i="5"/>
  <c r="E442" i="4"/>
  <c r="D442" i="4"/>
  <c r="C442" i="4"/>
  <c r="A250" i="4"/>
  <c r="A411" i="4"/>
  <c r="A143" i="4"/>
  <c r="A33" i="4"/>
  <c r="A80" i="4"/>
  <c r="A92" i="4"/>
  <c r="A110" i="4"/>
  <c r="A186" i="4"/>
  <c r="A209" i="4"/>
  <c r="A360" i="4"/>
  <c r="A34" i="5"/>
  <c r="A258" i="4"/>
  <c r="A312" i="4"/>
  <c r="A69" i="4"/>
  <c r="A53" i="4"/>
  <c r="A157" i="4"/>
  <c r="A291" i="4"/>
  <c r="A336" i="4"/>
  <c r="A397" i="4"/>
  <c r="A39" i="5"/>
  <c r="A15" i="5"/>
  <c r="A485" i="4"/>
  <c r="A482" i="4"/>
  <c r="A479" i="4"/>
  <c r="A476" i="4"/>
  <c r="A473" i="4"/>
  <c r="A470" i="4"/>
  <c r="A467" i="4"/>
  <c r="A464" i="4"/>
  <c r="A461" i="4"/>
  <c r="A458" i="4"/>
  <c r="A455" i="4"/>
  <c r="A452" i="4"/>
  <c r="A449" i="4"/>
  <c r="A446" i="4"/>
  <c r="A443" i="4"/>
  <c r="A440" i="4"/>
  <c r="A437" i="4"/>
  <c r="A434" i="4"/>
  <c r="A431" i="4"/>
  <c r="A428" i="4"/>
  <c r="A425" i="4"/>
  <c r="A422" i="4"/>
  <c r="A419" i="4"/>
  <c r="A416" i="4"/>
  <c r="A413" i="4"/>
  <c r="A410" i="4"/>
  <c r="A407" i="4"/>
  <c r="A404" i="4"/>
  <c r="A401" i="4"/>
  <c r="A398" i="4"/>
  <c r="A395" i="4"/>
  <c r="A392" i="4"/>
  <c r="A389" i="4"/>
  <c r="A386" i="4"/>
  <c r="A383" i="4"/>
  <c r="A380" i="4"/>
  <c r="A377" i="4"/>
  <c r="A374" i="4"/>
  <c r="A371" i="4"/>
  <c r="A368" i="4"/>
  <c r="A365" i="4"/>
  <c r="A362" i="4"/>
  <c r="A359" i="4"/>
  <c r="A356" i="4"/>
  <c r="A353" i="4"/>
  <c r="A350" i="4"/>
  <c r="A347" i="4"/>
  <c r="A344" i="4"/>
  <c r="A341" i="4"/>
  <c r="A338" i="4"/>
  <c r="A335" i="4"/>
  <c r="A332" i="4"/>
  <c r="A329" i="4"/>
  <c r="A326" i="4"/>
  <c r="A323" i="4"/>
  <c r="A320" i="4"/>
  <c r="A317" i="4"/>
  <c r="A314" i="4"/>
  <c r="A311" i="4"/>
  <c r="A308" i="4"/>
  <c r="A305" i="4"/>
  <c r="A302" i="4"/>
  <c r="A299" i="4"/>
  <c r="A296" i="4"/>
  <c r="A293" i="4"/>
  <c r="A290" i="4"/>
  <c r="A287" i="4"/>
  <c r="A284" i="4"/>
  <c r="A281" i="4"/>
  <c r="A278" i="4"/>
  <c r="A275" i="4"/>
  <c r="A32" i="5"/>
  <c r="A8" i="5"/>
  <c r="A25" i="5"/>
  <c r="A42" i="5"/>
  <c r="A18" i="5"/>
  <c r="A35" i="5"/>
  <c r="A11" i="5"/>
  <c r="A28" i="5"/>
  <c r="A45" i="5"/>
  <c r="A21" i="5"/>
  <c r="A33" i="5"/>
  <c r="A475" i="4"/>
  <c r="A451" i="4"/>
  <c r="A427" i="4"/>
  <c r="A403" i="4"/>
  <c r="A379" i="4"/>
  <c r="A355" i="4"/>
  <c r="A301" i="4"/>
  <c r="A276" i="4"/>
  <c r="A23" i="5"/>
  <c r="A304" i="4"/>
  <c r="A279" i="4"/>
  <c r="A468" i="4"/>
  <c r="A444" i="4"/>
  <c r="A420" i="4"/>
  <c r="A396" i="4"/>
  <c r="A372" i="4"/>
  <c r="A348" i="4"/>
  <c r="A37" i="5"/>
  <c r="A478" i="4"/>
  <c r="A454" i="4"/>
  <c r="A27" i="5"/>
  <c r="A9" i="5"/>
  <c r="A13" i="5"/>
  <c r="A471" i="4"/>
  <c r="A447" i="4"/>
  <c r="A41" i="5"/>
  <c r="A17" i="5"/>
  <c r="A481" i="4"/>
  <c r="A457" i="4"/>
  <c r="A24" i="5"/>
  <c r="A438" i="4"/>
  <c r="A373" i="4"/>
  <c r="A361" i="4"/>
  <c r="A310" i="4"/>
  <c r="A266" i="4"/>
  <c r="A253" i="4"/>
  <c r="A218" i="4"/>
  <c r="A193" i="4"/>
  <c r="A168" i="4"/>
  <c r="A146" i="4"/>
  <c r="A121" i="4"/>
  <c r="A456" i="4"/>
  <c r="A44" i="5"/>
  <c r="A480" i="4"/>
  <c r="A408" i="4"/>
  <c r="A369" i="4"/>
  <c r="A357" i="4"/>
  <c r="A303" i="4"/>
  <c r="A286" i="4"/>
  <c r="A269" i="4"/>
  <c r="A256" i="4"/>
  <c r="A224" i="4"/>
  <c r="A199" i="4"/>
  <c r="A30" i="5"/>
  <c r="A460" i="4"/>
  <c r="A484" i="4"/>
  <c r="A16" i="5"/>
  <c r="A424" i="4"/>
  <c r="A384" i="4"/>
  <c r="A345" i="4"/>
  <c r="A334" i="4"/>
  <c r="A327" i="4"/>
  <c r="A306" i="4"/>
  <c r="A289" i="4"/>
  <c r="A282" i="4"/>
  <c r="A246" i="4"/>
  <c r="A233" i="4"/>
  <c r="A208" i="4"/>
  <c r="A432" i="4"/>
  <c r="A418" i="4"/>
  <c r="A346" i="4"/>
  <c r="A342" i="4"/>
  <c r="A267" i="4"/>
  <c r="A188" i="4"/>
  <c r="A175" i="4"/>
  <c r="A162" i="4"/>
  <c r="A22" i="5"/>
  <c r="A313" i="4"/>
  <c r="A263" i="4"/>
  <c r="A248" i="4"/>
  <c r="A212" i="4"/>
  <c r="A116" i="4"/>
  <c r="A103" i="4"/>
  <c r="A78" i="4"/>
  <c r="A31" i="5"/>
  <c r="A14" i="5"/>
  <c r="A448" i="4"/>
  <c r="A399" i="4"/>
  <c r="A325" i="4"/>
  <c r="A309" i="4"/>
  <c r="A274" i="4"/>
  <c r="A259" i="4"/>
  <c r="A237" i="4"/>
  <c r="A226" i="4"/>
  <c r="A219" i="4"/>
  <c r="A453" i="4"/>
  <c r="A486" i="4"/>
  <c r="A466" i="4"/>
  <c r="A459" i="4"/>
  <c r="A390" i="4"/>
  <c r="A381" i="4"/>
  <c r="A363" i="4"/>
  <c r="A354" i="4"/>
  <c r="A297" i="4"/>
  <c r="A285" i="4"/>
  <c r="A270" i="4"/>
  <c r="A215" i="4"/>
  <c r="A171" i="4"/>
  <c r="A462" i="4"/>
  <c r="A439" i="4"/>
  <c r="A405" i="4"/>
  <c r="A378" i="4"/>
  <c r="A351" i="4"/>
  <c r="A321" i="4"/>
  <c r="A221" i="4"/>
  <c r="A181" i="4"/>
  <c r="A155" i="4"/>
  <c r="A104" i="4"/>
  <c r="A91" i="4"/>
  <c r="A59" i="4"/>
  <c r="A34" i="4"/>
  <c r="A38" i="5"/>
  <c r="A445" i="4"/>
  <c r="A388" i="4"/>
  <c r="A247" i="4"/>
  <c r="A177" i="4"/>
  <c r="A166" i="4"/>
  <c r="A138" i="4"/>
  <c r="A36" i="5"/>
  <c r="A26" i="5"/>
  <c r="A421" i="4"/>
  <c r="A415" i="4"/>
  <c r="A340" i="4"/>
  <c r="A251" i="4"/>
  <c r="A238" i="4"/>
  <c r="A234" i="4"/>
  <c r="A229" i="4"/>
  <c r="A225" i="4"/>
  <c r="A192" i="4"/>
  <c r="A148" i="4"/>
  <c r="A131" i="4"/>
  <c r="A114" i="4"/>
  <c r="A94" i="4"/>
  <c r="A65" i="4"/>
  <c r="A426" i="4"/>
  <c r="A283" i="4"/>
  <c r="A260" i="4"/>
  <c r="A184" i="4"/>
  <c r="A158" i="4"/>
  <c r="A141" i="4"/>
  <c r="A409" i="4"/>
  <c r="A483" i="4"/>
  <c r="A450" i="4"/>
  <c r="A393" i="4"/>
  <c r="A376" i="4"/>
  <c r="A366" i="4"/>
  <c r="A271" i="4"/>
  <c r="A46" i="5"/>
  <c r="A333" i="4"/>
  <c r="A265" i="4"/>
  <c r="A249" i="4"/>
  <c r="A414" i="4"/>
  <c r="A406" i="4"/>
  <c r="A292" i="4"/>
  <c r="A197" i="4"/>
  <c r="A153" i="4"/>
  <c r="A124" i="4"/>
  <c r="A120" i="4"/>
  <c r="A112" i="4"/>
  <c r="A108" i="4"/>
  <c r="A89" i="4"/>
  <c r="A61" i="4"/>
  <c r="A12" i="5"/>
  <c r="A436" i="4"/>
  <c r="A400" i="4"/>
  <c r="A358" i="4"/>
  <c r="A352" i="4"/>
  <c r="A339" i="4"/>
  <c r="A179" i="4"/>
  <c r="A100" i="4"/>
  <c r="A71" i="4"/>
  <c r="A38" i="4"/>
  <c r="A19" i="4"/>
  <c r="A29" i="5"/>
  <c r="A469" i="4"/>
  <c r="A429" i="4"/>
  <c r="A385" i="4"/>
  <c r="A243" i="4"/>
  <c r="A232" i="4"/>
  <c r="A222" i="4"/>
  <c r="A217" i="4"/>
  <c r="A211" i="4"/>
  <c r="A170" i="4"/>
  <c r="A51" i="4"/>
  <c r="A375" i="4"/>
  <c r="A255" i="4"/>
  <c r="A118" i="4"/>
  <c r="A113" i="4"/>
  <c r="A75" i="4"/>
  <c r="A63" i="4"/>
  <c r="A31" i="4"/>
  <c r="A18" i="4"/>
  <c r="A367" i="4"/>
  <c r="A268" i="4"/>
  <c r="A136" i="4"/>
  <c r="A41" i="4"/>
  <c r="A154" i="4"/>
  <c r="A364" i="4"/>
  <c r="A441" i="4"/>
  <c r="A180" i="4"/>
  <c r="A48" i="4"/>
  <c r="A261" i="4"/>
  <c r="A126" i="4"/>
  <c r="A14" i="4"/>
  <c r="A318" i="4"/>
  <c r="A213" i="4"/>
  <c r="A122" i="4"/>
  <c r="A95" i="4"/>
  <c r="A74" i="4"/>
  <c r="A21" i="4"/>
  <c r="A8" i="4"/>
  <c r="A37" i="4"/>
  <c r="A235" i="4"/>
  <c r="A82" i="4"/>
  <c r="A43" i="5"/>
  <c r="A20" i="5"/>
  <c r="A465" i="4"/>
  <c r="A391" i="4"/>
  <c r="A206" i="4"/>
  <c r="A195" i="4"/>
  <c r="A190" i="4"/>
  <c r="A164" i="4"/>
  <c r="A150" i="4"/>
  <c r="A117" i="4"/>
  <c r="A99" i="4"/>
  <c r="A55" i="4"/>
  <c r="A324" i="4"/>
  <c r="A254" i="4"/>
  <c r="A230" i="4"/>
  <c r="A140" i="4"/>
  <c r="A70" i="4"/>
  <c r="A44" i="4"/>
  <c r="A174" i="4"/>
  <c r="A40" i="5"/>
  <c r="A241" i="4"/>
  <c r="A66" i="4"/>
  <c r="A169" i="4"/>
  <c r="A24" i="4"/>
  <c r="A200" i="4"/>
  <c r="A86" i="4"/>
  <c r="A382" i="4"/>
  <c r="A185" i="4"/>
  <c r="A107" i="4"/>
  <c r="A11" i="4"/>
  <c r="A90" i="4"/>
  <c r="A62" i="4"/>
  <c r="A27" i="4"/>
  <c r="A145" i="4"/>
  <c r="A370" i="4"/>
  <c r="A98" i="4"/>
  <c r="A178" i="4"/>
  <c r="A216" i="4"/>
  <c r="A242" i="4"/>
  <c r="A29" i="4"/>
  <c r="A105" i="4"/>
  <c r="A130" i="4"/>
  <c r="A201" i="4"/>
  <c r="A280" i="4"/>
  <c r="A300" i="4"/>
  <c r="A7" i="5"/>
  <c r="B16" i="2"/>
  <c r="B7" i="1" s="1"/>
  <c r="A58" i="4"/>
  <c r="A43" i="4"/>
  <c r="B16" i="3"/>
  <c r="B17" i="3" s="1"/>
  <c r="A64" i="4"/>
  <c r="A87" i="4"/>
  <c r="A111" i="4"/>
  <c r="A172" i="4"/>
  <c r="A387" i="4"/>
  <c r="A15" i="4"/>
  <c r="A85" i="4"/>
  <c r="A322" i="4"/>
  <c r="A137" i="4"/>
  <c r="A39" i="4"/>
  <c r="A93" i="4"/>
  <c r="A151" i="4"/>
  <c r="A165" i="4"/>
  <c r="A202" i="4"/>
  <c r="A252" i="4"/>
  <c r="A262" i="4"/>
  <c r="A412" i="4"/>
  <c r="A463" i="4"/>
  <c r="A10" i="4"/>
  <c r="A163" i="4"/>
  <c r="A240" i="4"/>
  <c r="A47" i="4"/>
  <c r="A25" i="4"/>
  <c r="B18" i="3"/>
  <c r="B10" i="1" s="1"/>
  <c r="B17" i="1" s="1"/>
  <c r="A20" i="4"/>
  <c r="A125" i="4"/>
  <c r="A132" i="4"/>
  <c r="A244" i="4"/>
  <c r="A349" i="4"/>
  <c r="E203" i="4" l="1"/>
  <c r="E13" i="4"/>
  <c r="E129" i="4"/>
  <c r="D316" i="4"/>
  <c r="D315" i="4"/>
  <c r="C198" i="4"/>
  <c r="C315" i="4"/>
  <c r="E315" i="4"/>
  <c r="E32" i="4"/>
  <c r="E101" i="4"/>
  <c r="E205" i="4"/>
  <c r="E228" i="4"/>
  <c r="C133" i="4"/>
  <c r="E149" i="4"/>
  <c r="C135" i="4"/>
  <c r="E210" i="4"/>
  <c r="C152" i="4"/>
  <c r="C30" i="4"/>
  <c r="E84" i="4"/>
  <c r="E307" i="4"/>
  <c r="E22" i="4"/>
  <c r="C40" i="4"/>
  <c r="D430" i="4"/>
  <c r="C430" i="4"/>
  <c r="C307" i="4"/>
  <c r="E17" i="4"/>
  <c r="E430" i="4"/>
  <c r="E474" i="4"/>
  <c r="C474" i="4"/>
  <c r="E207" i="4"/>
  <c r="D307" i="4"/>
  <c r="D474" i="4"/>
  <c r="C337" i="4"/>
  <c r="D343" i="4"/>
  <c r="C147" i="4"/>
  <c r="C298" i="4"/>
  <c r="E134" i="4"/>
  <c r="E204" i="4"/>
  <c r="E23" i="4"/>
  <c r="C36" i="4"/>
  <c r="D337" i="4"/>
  <c r="E337" i="4"/>
  <c r="E160" i="4"/>
  <c r="E423" i="4"/>
  <c r="E73" i="4"/>
  <c r="E189" i="4"/>
  <c r="E187" i="4"/>
  <c r="E319" i="4"/>
  <c r="E7" i="4"/>
  <c r="E477" i="4"/>
  <c r="C316" i="4"/>
  <c r="E81" i="4"/>
  <c r="C123" i="4"/>
  <c r="E343" i="4"/>
  <c r="C319" i="4"/>
  <c r="D319" i="4"/>
  <c r="D423" i="4"/>
  <c r="E115" i="4"/>
  <c r="E49" i="4"/>
  <c r="E57" i="4"/>
  <c r="E316" i="4"/>
  <c r="E96" i="4"/>
  <c r="D435" i="4"/>
  <c r="C156" i="4"/>
  <c r="D394" i="4"/>
  <c r="E139" i="4"/>
  <c r="C16" i="4"/>
  <c r="E26" i="4"/>
  <c r="E220" i="4"/>
  <c r="D331" i="4"/>
  <c r="C214" i="4"/>
  <c r="C97" i="4"/>
  <c r="E331" i="4"/>
  <c r="E72" i="4"/>
  <c r="E227" i="4"/>
  <c r="E191" i="4"/>
  <c r="E28" i="4"/>
  <c r="E435" i="4"/>
  <c r="C161" i="4"/>
  <c r="C343" i="4"/>
  <c r="C106" i="4"/>
  <c r="C12" i="4"/>
  <c r="E272" i="4"/>
  <c r="C167" i="4"/>
  <c r="E79" i="4"/>
  <c r="E54" i="4"/>
  <c r="D417" i="4"/>
  <c r="E67" i="4"/>
  <c r="C417" i="4"/>
  <c r="B8" i="1"/>
  <c r="C68" i="4"/>
  <c r="E295" i="4"/>
  <c r="E52" i="4"/>
  <c r="E223" i="4"/>
  <c r="D433" i="4"/>
  <c r="C119" i="4"/>
  <c r="C273" i="4"/>
  <c r="C9" i="4"/>
  <c r="C35" i="4"/>
  <c r="C56" i="4"/>
  <c r="E45" i="4"/>
  <c r="E394" i="4"/>
  <c r="C433" i="4"/>
  <c r="D330" i="4"/>
  <c r="E330" i="4"/>
  <c r="C288" i="4"/>
  <c r="E433" i="4"/>
  <c r="E76" i="4"/>
  <c r="B17" i="2"/>
  <c r="B450" i="4" s="1"/>
  <c r="E176" i="4"/>
  <c r="E183" i="4"/>
  <c r="E182" i="4"/>
  <c r="C264" i="4"/>
  <c r="B343" i="4"/>
  <c r="D101" i="4"/>
  <c r="C144" i="4"/>
  <c r="D328" i="4"/>
  <c r="C394" i="4"/>
  <c r="E83" i="4"/>
  <c r="E88" i="4"/>
  <c r="C196" i="4"/>
  <c r="E472" i="4"/>
  <c r="C77" i="4"/>
  <c r="C109" i="4"/>
  <c r="C142" i="4"/>
  <c r="E328" i="4"/>
  <c r="C50" i="4"/>
  <c r="C294" i="4"/>
  <c r="E127" i="4"/>
  <c r="D9" i="4"/>
  <c r="C257" i="4"/>
  <c r="C159" i="4"/>
  <c r="C402" i="4"/>
  <c r="E402" i="4"/>
  <c r="C236" i="4"/>
  <c r="C231" i="4"/>
  <c r="D207" i="4"/>
  <c r="E277" i="4"/>
  <c r="C173" i="4"/>
  <c r="C245" i="4"/>
  <c r="C194" i="4"/>
  <c r="C42" i="4"/>
  <c r="C183" i="4"/>
  <c r="D402" i="4"/>
  <c r="D477" i="4"/>
  <c r="E9" i="4"/>
  <c r="C128" i="4"/>
  <c r="C472" i="4"/>
  <c r="C60" i="4"/>
  <c r="C46" i="4"/>
  <c r="E102" i="4"/>
  <c r="C239" i="4"/>
  <c r="D472" i="4"/>
  <c r="E393" i="4"/>
  <c r="C393" i="4"/>
  <c r="D393" i="4"/>
  <c r="E241" i="4"/>
  <c r="D241" i="4"/>
  <c r="C241" i="4"/>
  <c r="E339" i="4"/>
  <c r="C339" i="4"/>
  <c r="D339" i="4"/>
  <c r="E66" i="4"/>
  <c r="D66" i="4"/>
  <c r="C66" i="4"/>
  <c r="E411" i="4"/>
  <c r="D411" i="4"/>
  <c r="C411" i="4"/>
  <c r="E457" i="4"/>
  <c r="D457" i="4"/>
  <c r="C457" i="4"/>
  <c r="C269" i="4"/>
  <c r="D269" i="4"/>
  <c r="E269" i="4"/>
  <c r="E397" i="4"/>
  <c r="D397" i="4"/>
  <c r="C397" i="4"/>
  <c r="D96" i="4"/>
  <c r="E376" i="4"/>
  <c r="D376" i="4"/>
  <c r="C376" i="4"/>
  <c r="C111" i="4"/>
  <c r="D111" i="4"/>
  <c r="E111" i="4"/>
  <c r="E235" i="4"/>
  <c r="D235" i="4"/>
  <c r="C235" i="4"/>
  <c r="C256" i="4"/>
  <c r="D256" i="4"/>
  <c r="E256" i="4"/>
  <c r="C299" i="4"/>
  <c r="D299" i="4"/>
  <c r="E299" i="4"/>
  <c r="E346" i="4"/>
  <c r="D346" i="4"/>
  <c r="C346" i="4"/>
  <c r="E336" i="4"/>
  <c r="D336" i="4"/>
  <c r="C336" i="4"/>
  <c r="C237" i="4"/>
  <c r="E237" i="4"/>
  <c r="D237" i="4"/>
  <c r="E452" i="4"/>
  <c r="D452" i="4"/>
  <c r="C452" i="4"/>
  <c r="C408" i="4"/>
  <c r="E408" i="4"/>
  <c r="D408" i="4"/>
  <c r="B408" i="4"/>
  <c r="F408" i="4" s="1"/>
  <c r="C274" i="4"/>
  <c r="E274" i="4"/>
  <c r="D274" i="4"/>
  <c r="D36" i="4"/>
  <c r="E100" i="4"/>
  <c r="D100" i="4"/>
  <c r="C100" i="4"/>
  <c r="D179" i="4"/>
  <c r="E179" i="4"/>
  <c r="C179" i="4"/>
  <c r="D88" i="4"/>
  <c r="D183" i="4"/>
  <c r="C286" i="4"/>
  <c r="E286" i="4"/>
  <c r="D286" i="4"/>
  <c r="D374" i="4"/>
  <c r="C374" i="4"/>
  <c r="E374" i="4"/>
  <c r="D156" i="4"/>
  <c r="E377" i="4"/>
  <c r="D377" i="4"/>
  <c r="C377" i="4"/>
  <c r="C380" i="4"/>
  <c r="D380" i="4"/>
  <c r="E380" i="4"/>
  <c r="D12" i="4"/>
  <c r="D309" i="4"/>
  <c r="C309" i="4"/>
  <c r="E309" i="4"/>
  <c r="E366" i="4"/>
  <c r="C366" i="4"/>
  <c r="D366" i="4"/>
  <c r="C172" i="4"/>
  <c r="E172" i="4"/>
  <c r="D172" i="4"/>
  <c r="E82" i="4"/>
  <c r="D82" i="4"/>
  <c r="C82" i="4"/>
  <c r="C304" i="4"/>
  <c r="D304" i="4"/>
  <c r="E304" i="4"/>
  <c r="D252" i="4"/>
  <c r="E252" i="4"/>
  <c r="C252" i="4"/>
  <c r="D443" i="4"/>
  <c r="C443" i="4"/>
  <c r="E443" i="4"/>
  <c r="C303" i="4"/>
  <c r="E303" i="4"/>
  <c r="D303" i="4"/>
  <c r="E449" i="4"/>
  <c r="D449" i="4"/>
  <c r="C449" i="4"/>
  <c r="E432" i="4"/>
  <c r="D432" i="4"/>
  <c r="C432" i="4"/>
  <c r="E259" i="4"/>
  <c r="C259" i="4"/>
  <c r="D259" i="4"/>
  <c r="D133" i="4"/>
  <c r="D321" i="4"/>
  <c r="C321" i="4"/>
  <c r="E321" i="4"/>
  <c r="E351" i="4"/>
  <c r="D351" i="4"/>
  <c r="C351" i="4"/>
  <c r="C234" i="4"/>
  <c r="E234" i="4"/>
  <c r="D234" i="4"/>
  <c r="E378" i="4"/>
  <c r="D378" i="4"/>
  <c r="C378" i="4"/>
  <c r="B378" i="4"/>
  <c r="F378" i="4" s="1"/>
  <c r="E367" i="4"/>
  <c r="D367" i="4"/>
  <c r="C367" i="4"/>
  <c r="E387" i="4"/>
  <c r="C387" i="4"/>
  <c r="D387" i="4"/>
  <c r="E169" i="4"/>
  <c r="C169" i="4"/>
  <c r="D169" i="4"/>
  <c r="E412" i="4"/>
  <c r="D412" i="4"/>
  <c r="C412" i="4"/>
  <c r="D119" i="4"/>
  <c r="D139" i="4"/>
  <c r="D231" i="4"/>
  <c r="D264" i="4"/>
  <c r="D142" i="4"/>
  <c r="D23" i="4"/>
  <c r="D115" i="4"/>
  <c r="D13" i="4"/>
  <c r="D129" i="4"/>
  <c r="D7" i="4"/>
  <c r="D196" i="4"/>
  <c r="D189" i="4"/>
  <c r="D228" i="4"/>
  <c r="D57" i="4"/>
  <c r="D214" i="4"/>
  <c r="D167" i="4"/>
  <c r="D236" i="4"/>
  <c r="D22" i="4"/>
  <c r="D160" i="4"/>
  <c r="D191" i="4"/>
  <c r="D68" i="4"/>
  <c r="D46" i="4"/>
  <c r="D45" i="4"/>
  <c r="D194" i="4"/>
  <c r="D32" i="4"/>
  <c r="D102" i="4"/>
  <c r="D203" i="4"/>
  <c r="D147" i="4"/>
  <c r="D128" i="4"/>
  <c r="D106" i="4"/>
  <c r="D223" i="4"/>
  <c r="D84" i="4"/>
  <c r="D204" i="4"/>
  <c r="D73" i="4"/>
  <c r="D56" i="4"/>
  <c r="D42" i="4"/>
  <c r="D83" i="4"/>
  <c r="D135" i="4"/>
  <c r="D187" i="4"/>
  <c r="D49" i="4"/>
  <c r="D210" i="4"/>
  <c r="D227" i="4"/>
  <c r="D294" i="4"/>
  <c r="D81" i="4"/>
  <c r="D295" i="4"/>
  <c r="D67" i="4"/>
  <c r="D50" i="4"/>
  <c r="D152" i="4"/>
  <c r="D298" i="4"/>
  <c r="D127" i="4"/>
  <c r="D134" i="4"/>
  <c r="D277" i="4"/>
  <c r="D77" i="4"/>
  <c r="D205" i="4"/>
  <c r="D159" i="4"/>
  <c r="D144" i="4"/>
  <c r="D52" i="4"/>
  <c r="D54" i="4"/>
  <c r="D60" i="4"/>
  <c r="D79" i="4"/>
  <c r="D40" i="4"/>
  <c r="D288" i="4"/>
  <c r="D109" i="4"/>
  <c r="D272" i="4"/>
  <c r="D16" i="4"/>
  <c r="D220" i="4"/>
  <c r="D257" i="4"/>
  <c r="D176" i="4"/>
  <c r="D123" i="4"/>
  <c r="D161" i="4"/>
  <c r="D97" i="4"/>
  <c r="D26" i="4"/>
  <c r="D72" i="4"/>
  <c r="D173" i="4"/>
  <c r="D17" i="4"/>
  <c r="D273" i="4"/>
  <c r="D198" i="4"/>
  <c r="D239" i="4"/>
  <c r="D35" i="4"/>
  <c r="D245" i="4"/>
  <c r="D149" i="4"/>
  <c r="D30" i="4"/>
  <c r="D76" i="4"/>
  <c r="D28" i="4"/>
  <c r="D182" i="4"/>
  <c r="E446" i="4"/>
  <c r="D446" i="4"/>
  <c r="C446" i="4"/>
  <c r="E418" i="4"/>
  <c r="D418" i="4"/>
  <c r="C418" i="4"/>
  <c r="E308" i="4"/>
  <c r="D308" i="4"/>
  <c r="C308" i="4"/>
  <c r="C238" i="4"/>
  <c r="D238" i="4"/>
  <c r="E238" i="4"/>
  <c r="D405" i="4"/>
  <c r="E405" i="4"/>
  <c r="C405" i="4"/>
  <c r="C18" i="4"/>
  <c r="D18" i="4"/>
  <c r="E18" i="4"/>
  <c r="E463" i="4"/>
  <c r="D463" i="4"/>
  <c r="C463" i="4"/>
  <c r="E279" i="4"/>
  <c r="C279" i="4"/>
  <c r="D279" i="4"/>
  <c r="E262" i="4"/>
  <c r="C262" i="4"/>
  <c r="D262" i="4"/>
  <c r="E481" i="4"/>
  <c r="D481" i="4"/>
  <c r="C481" i="4"/>
  <c r="E371" i="4"/>
  <c r="C371" i="4"/>
  <c r="D371" i="4"/>
  <c r="C302" i="4"/>
  <c r="E302" i="4"/>
  <c r="D302" i="4"/>
  <c r="E305" i="4"/>
  <c r="D305" i="4"/>
  <c r="C305" i="4"/>
  <c r="E251" i="4"/>
  <c r="D251" i="4"/>
  <c r="C251" i="4"/>
  <c r="E268" i="4"/>
  <c r="C268" i="4"/>
  <c r="D268" i="4"/>
  <c r="E71" i="4"/>
  <c r="C71" i="4"/>
  <c r="D71" i="4"/>
  <c r="E271" i="4"/>
  <c r="D271" i="4"/>
  <c r="C271" i="4"/>
  <c r="C340" i="4"/>
  <c r="E340" i="4"/>
  <c r="D340" i="4"/>
  <c r="E415" i="4"/>
  <c r="D415" i="4"/>
  <c r="C415" i="4"/>
  <c r="D383" i="4"/>
  <c r="C383" i="4"/>
  <c r="E383" i="4"/>
  <c r="E450" i="4"/>
  <c r="D450" i="4"/>
  <c r="C450" i="4"/>
  <c r="C357" i="4"/>
  <c r="E357" i="4"/>
  <c r="D357" i="4"/>
  <c r="E358" i="4"/>
  <c r="D358" i="4"/>
  <c r="C358" i="4"/>
  <c r="D233" i="4"/>
  <c r="E233" i="4"/>
  <c r="C233" i="4"/>
  <c r="E314" i="4"/>
  <c r="D314" i="4"/>
  <c r="C314" i="4"/>
  <c r="E157" i="4"/>
  <c r="D157" i="4"/>
  <c r="C157" i="4"/>
  <c r="E400" i="4"/>
  <c r="D400" i="4"/>
  <c r="C400" i="4"/>
  <c r="C21" i="4"/>
  <c r="D21" i="4"/>
  <c r="E21" i="4"/>
  <c r="E141" i="4"/>
  <c r="D141" i="4"/>
  <c r="C141" i="4"/>
  <c r="E69" i="4"/>
  <c r="D69" i="4"/>
  <c r="C69" i="4"/>
  <c r="E255" i="4"/>
  <c r="D255" i="4"/>
  <c r="C255" i="4"/>
  <c r="E184" i="4"/>
  <c r="D184" i="4"/>
  <c r="C184" i="4"/>
  <c r="C51" i="4"/>
  <c r="E51" i="4"/>
  <c r="D51" i="4"/>
  <c r="E103" i="4"/>
  <c r="D103" i="4"/>
  <c r="C103" i="4"/>
  <c r="D332" i="4"/>
  <c r="C332" i="4"/>
  <c r="E332" i="4"/>
  <c r="E283" i="4"/>
  <c r="D283" i="4"/>
  <c r="C283" i="4"/>
  <c r="E120" i="4"/>
  <c r="D120" i="4"/>
  <c r="C120" i="4"/>
  <c r="E410" i="4"/>
  <c r="D410" i="4"/>
  <c r="C410" i="4"/>
  <c r="E126" i="4"/>
  <c r="D126" i="4"/>
  <c r="C126" i="4"/>
  <c r="E248" i="4"/>
  <c r="D248" i="4"/>
  <c r="C248" i="4"/>
  <c r="E413" i="4"/>
  <c r="D413" i="4"/>
  <c r="C413" i="4"/>
  <c r="E153" i="4"/>
  <c r="D153" i="4"/>
  <c r="C153" i="4"/>
  <c r="D150" i="4"/>
  <c r="C150" i="4"/>
  <c r="E150" i="4"/>
  <c r="E313" i="4"/>
  <c r="D313" i="4"/>
  <c r="C313" i="4"/>
  <c r="C275" i="4"/>
  <c r="E275" i="4"/>
  <c r="D275" i="4"/>
  <c r="D105" i="4"/>
  <c r="E105" i="4"/>
  <c r="C105" i="4"/>
  <c r="D107" i="4"/>
  <c r="C107" i="4"/>
  <c r="E107" i="4"/>
  <c r="D164" i="4"/>
  <c r="E164" i="4"/>
  <c r="C164" i="4"/>
  <c r="E180" i="4"/>
  <c r="C180" i="4"/>
  <c r="D180" i="4"/>
  <c r="D243" i="4"/>
  <c r="E243" i="4"/>
  <c r="C243" i="4"/>
  <c r="D292" i="4"/>
  <c r="E292" i="4"/>
  <c r="C292" i="4"/>
  <c r="C94" i="4"/>
  <c r="E94" i="4"/>
  <c r="D94" i="4"/>
  <c r="D34" i="4"/>
  <c r="C34" i="4"/>
  <c r="E34" i="4"/>
  <c r="E466" i="4"/>
  <c r="D466" i="4"/>
  <c r="C466" i="4"/>
  <c r="E484" i="4"/>
  <c r="D484" i="4"/>
  <c r="C484" i="4"/>
  <c r="E253" i="4"/>
  <c r="D253" i="4"/>
  <c r="C253" i="4"/>
  <c r="C348" i="4"/>
  <c r="E348" i="4"/>
  <c r="D348" i="4"/>
  <c r="E278" i="4"/>
  <c r="D278" i="4"/>
  <c r="C278" i="4"/>
  <c r="E350" i="4"/>
  <c r="D350" i="4"/>
  <c r="C350" i="4"/>
  <c r="E422" i="4"/>
  <c r="D422" i="4"/>
  <c r="C422" i="4"/>
  <c r="E92" i="4"/>
  <c r="D92" i="4"/>
  <c r="C92" i="4"/>
  <c r="E31" i="4"/>
  <c r="C31" i="4"/>
  <c r="D31" i="4"/>
  <c r="C165" i="4"/>
  <c r="E165" i="4"/>
  <c r="D165" i="4"/>
  <c r="E63" i="4"/>
  <c r="C63" i="4"/>
  <c r="D63" i="4"/>
  <c r="E151" i="4"/>
  <c r="D151" i="4"/>
  <c r="C151" i="4"/>
  <c r="E409" i="4"/>
  <c r="D409" i="4"/>
  <c r="C409" i="4"/>
  <c r="E53" i="4"/>
  <c r="D53" i="4"/>
  <c r="C53" i="4"/>
  <c r="E113" i="4"/>
  <c r="C113" i="4"/>
  <c r="D113" i="4"/>
  <c r="D276" i="4"/>
  <c r="C276" i="4"/>
  <c r="E276" i="4"/>
  <c r="E39" i="4"/>
  <c r="D39" i="4"/>
  <c r="C39" i="4"/>
  <c r="D395" i="4"/>
  <c r="C395" i="4"/>
  <c r="E395" i="4"/>
  <c r="E230" i="4"/>
  <c r="C230" i="4"/>
  <c r="D230" i="4"/>
  <c r="B326" i="4"/>
  <c r="C326" i="4"/>
  <c r="D326" i="4"/>
  <c r="E326" i="4"/>
  <c r="E137" i="4"/>
  <c r="D137" i="4"/>
  <c r="C137" i="4"/>
  <c r="E254" i="4"/>
  <c r="D254" i="4"/>
  <c r="C254" i="4"/>
  <c r="D78" i="4"/>
  <c r="C78" i="4"/>
  <c r="E78" i="4"/>
  <c r="C473" i="4"/>
  <c r="E473" i="4"/>
  <c r="D473" i="4"/>
  <c r="D177" i="4"/>
  <c r="E177" i="4"/>
  <c r="C177" i="4"/>
  <c r="C112" i="4"/>
  <c r="E112" i="4"/>
  <c r="D112" i="4"/>
  <c r="E14" i="4"/>
  <c r="C14" i="4"/>
  <c r="D14" i="4"/>
  <c r="D384" i="4"/>
  <c r="C384" i="4"/>
  <c r="E384" i="4"/>
  <c r="D482" i="4"/>
  <c r="C482" i="4"/>
  <c r="E482" i="4"/>
  <c r="E280" i="4"/>
  <c r="D280" i="4"/>
  <c r="C280" i="4"/>
  <c r="E381" i="4"/>
  <c r="D381" i="4"/>
  <c r="C381" i="4"/>
  <c r="E300" i="4"/>
  <c r="D300" i="4"/>
  <c r="C300" i="4"/>
  <c r="E261" i="4"/>
  <c r="D261" i="4"/>
  <c r="C261" i="4"/>
  <c r="C65" i="4"/>
  <c r="E65" i="4"/>
  <c r="D65" i="4"/>
  <c r="E347" i="4"/>
  <c r="D347" i="4"/>
  <c r="C347" i="4"/>
  <c r="D47" i="4"/>
  <c r="C47" i="4"/>
  <c r="E47" i="4"/>
  <c r="E15" i="4"/>
  <c r="D15" i="4"/>
  <c r="C15" i="4"/>
  <c r="D29" i="4"/>
  <c r="C29" i="4"/>
  <c r="E29" i="4"/>
  <c r="E185" i="4"/>
  <c r="D185" i="4"/>
  <c r="C185" i="4"/>
  <c r="D190" i="4"/>
  <c r="C190" i="4"/>
  <c r="E190" i="4"/>
  <c r="E441" i="4"/>
  <c r="C441" i="4"/>
  <c r="D441" i="4"/>
  <c r="E385" i="4"/>
  <c r="D385" i="4"/>
  <c r="C385" i="4"/>
  <c r="E406" i="4"/>
  <c r="D406" i="4"/>
  <c r="C406" i="4"/>
  <c r="C114" i="4"/>
  <c r="E114" i="4"/>
  <c r="D114" i="4"/>
  <c r="E59" i="4"/>
  <c r="D59" i="4"/>
  <c r="C59" i="4"/>
  <c r="E486" i="4"/>
  <c r="D486" i="4"/>
  <c r="C486" i="4"/>
  <c r="E266" i="4"/>
  <c r="D266" i="4"/>
  <c r="C266" i="4"/>
  <c r="C372" i="4"/>
  <c r="D372" i="4"/>
  <c r="E372" i="4"/>
  <c r="C281" i="4"/>
  <c r="D281" i="4"/>
  <c r="E281" i="4"/>
  <c r="E353" i="4"/>
  <c r="C353" i="4"/>
  <c r="D353" i="4"/>
  <c r="E425" i="4"/>
  <c r="D425" i="4"/>
  <c r="C425" i="4"/>
  <c r="E80" i="4"/>
  <c r="D80" i="4"/>
  <c r="C80" i="4"/>
  <c r="E93" i="4"/>
  <c r="C93" i="4"/>
  <c r="D93" i="4"/>
  <c r="E392" i="4"/>
  <c r="C392" i="4"/>
  <c r="D392" i="4"/>
  <c r="E301" i="4"/>
  <c r="D301" i="4"/>
  <c r="C301" i="4"/>
  <c r="E158" i="4"/>
  <c r="D158" i="4"/>
  <c r="C158" i="4"/>
  <c r="E209" i="4"/>
  <c r="D209" i="4"/>
  <c r="C209" i="4"/>
  <c r="E375" i="4"/>
  <c r="D375" i="4"/>
  <c r="C375" i="4"/>
  <c r="E456" i="4"/>
  <c r="D456" i="4"/>
  <c r="C456" i="4"/>
  <c r="E324" i="4"/>
  <c r="D324" i="4"/>
  <c r="C324" i="4"/>
  <c r="E297" i="4"/>
  <c r="D297" i="4"/>
  <c r="C297" i="4"/>
  <c r="E403" i="4"/>
  <c r="D403" i="4"/>
  <c r="C403" i="4"/>
  <c r="E116" i="4"/>
  <c r="D116" i="4"/>
  <c r="C116" i="4"/>
  <c r="E479" i="4"/>
  <c r="D479" i="4"/>
  <c r="C479" i="4"/>
  <c r="D55" i="4"/>
  <c r="C55" i="4"/>
  <c r="E55" i="4"/>
  <c r="E212" i="4"/>
  <c r="D212" i="4"/>
  <c r="C212" i="4"/>
  <c r="E451" i="4"/>
  <c r="D451" i="4"/>
  <c r="C451" i="4"/>
  <c r="E20" i="4"/>
  <c r="D20" i="4"/>
  <c r="C20" i="4"/>
  <c r="D217" i="4"/>
  <c r="C217" i="4"/>
  <c r="E217" i="4"/>
  <c r="E168" i="4"/>
  <c r="D168" i="4"/>
  <c r="C168" i="4"/>
  <c r="E485" i="4"/>
  <c r="D485" i="4"/>
  <c r="C485" i="4"/>
  <c r="E117" i="4"/>
  <c r="D117" i="4"/>
  <c r="C117" i="4"/>
  <c r="E197" i="4"/>
  <c r="C197" i="4"/>
  <c r="D197" i="4"/>
  <c r="E242" i="4"/>
  <c r="D242" i="4"/>
  <c r="C242" i="4"/>
  <c r="E382" i="4"/>
  <c r="D382" i="4"/>
  <c r="C382" i="4"/>
  <c r="D195" i="4"/>
  <c r="E195" i="4"/>
  <c r="C195" i="4"/>
  <c r="E364" i="4"/>
  <c r="D364" i="4"/>
  <c r="C364" i="4"/>
  <c r="D429" i="4"/>
  <c r="C429" i="4"/>
  <c r="E429" i="4"/>
  <c r="E414" i="4"/>
  <c r="D414" i="4"/>
  <c r="C414" i="4"/>
  <c r="C131" i="4"/>
  <c r="E131" i="4"/>
  <c r="D131" i="4"/>
  <c r="C91" i="4"/>
  <c r="E91" i="4"/>
  <c r="D91" i="4"/>
  <c r="E162" i="4"/>
  <c r="D162" i="4"/>
  <c r="C162" i="4"/>
  <c r="E460" i="4"/>
  <c r="D460" i="4"/>
  <c r="C460" i="4"/>
  <c r="D310" i="4"/>
  <c r="C310" i="4"/>
  <c r="E310" i="4"/>
  <c r="C396" i="4"/>
  <c r="D396" i="4"/>
  <c r="E396" i="4"/>
  <c r="D284" i="4"/>
  <c r="C284" i="4"/>
  <c r="E284" i="4"/>
  <c r="D356" i="4"/>
  <c r="C356" i="4"/>
  <c r="E356" i="4"/>
  <c r="C428" i="4"/>
  <c r="E428" i="4"/>
  <c r="D428" i="4"/>
  <c r="E33" i="4"/>
  <c r="D33" i="4"/>
  <c r="C33" i="4"/>
  <c r="E439" i="4"/>
  <c r="D439" i="4"/>
  <c r="C439" i="4"/>
  <c r="E291" i="4"/>
  <c r="D291" i="4"/>
  <c r="C291" i="4"/>
  <c r="E483" i="4"/>
  <c r="D483" i="4"/>
  <c r="C483" i="4"/>
  <c r="C369" i="4"/>
  <c r="D369" i="4"/>
  <c r="E369" i="4"/>
  <c r="D458" i="4"/>
  <c r="C458" i="4"/>
  <c r="E458" i="4"/>
  <c r="E448" i="4"/>
  <c r="D448" i="4"/>
  <c r="C448" i="4"/>
  <c r="E461" i="4"/>
  <c r="D461" i="4"/>
  <c r="C461" i="4"/>
  <c r="E370" i="4"/>
  <c r="D370" i="4"/>
  <c r="C370" i="4"/>
  <c r="C480" i="4"/>
  <c r="E480" i="4"/>
  <c r="D480" i="4"/>
  <c r="D140" i="4"/>
  <c r="C140" i="4"/>
  <c r="E140" i="4"/>
  <c r="E215" i="4"/>
  <c r="D215" i="4"/>
  <c r="C215" i="4"/>
  <c r="E323" i="4"/>
  <c r="D323" i="4"/>
  <c r="C323" i="4"/>
  <c r="D360" i="4"/>
  <c r="C360" i="4"/>
  <c r="E360" i="4"/>
  <c r="D138" i="4"/>
  <c r="C138" i="4"/>
  <c r="E138" i="4"/>
  <c r="E355" i="4"/>
  <c r="D355" i="4"/>
  <c r="C355" i="4"/>
  <c r="D89" i="4"/>
  <c r="E89" i="4"/>
  <c r="C89" i="4"/>
  <c r="E401" i="4"/>
  <c r="D401" i="4"/>
  <c r="C401" i="4"/>
  <c r="C213" i="4"/>
  <c r="E213" i="4"/>
  <c r="D213" i="4"/>
  <c r="D334" i="4"/>
  <c r="E334" i="4"/>
  <c r="C334" i="4"/>
  <c r="E476" i="4"/>
  <c r="D476" i="4"/>
  <c r="C476" i="4"/>
  <c r="D132" i="4"/>
  <c r="E132" i="4"/>
  <c r="C132" i="4"/>
  <c r="C170" i="4"/>
  <c r="D170" i="4"/>
  <c r="E170" i="4"/>
  <c r="E121" i="4"/>
  <c r="C121" i="4"/>
  <c r="D121" i="4"/>
  <c r="E322" i="4"/>
  <c r="D322" i="4"/>
  <c r="C322" i="4"/>
  <c r="E211" i="4"/>
  <c r="C211" i="4"/>
  <c r="D211" i="4"/>
  <c r="C62" i="4"/>
  <c r="D62" i="4"/>
  <c r="E62" i="4"/>
  <c r="E424" i="4"/>
  <c r="D424" i="4"/>
  <c r="C424" i="4"/>
  <c r="C201" i="4"/>
  <c r="E201" i="4"/>
  <c r="D201" i="4"/>
  <c r="E193" i="4"/>
  <c r="D193" i="4"/>
  <c r="C193" i="4"/>
  <c r="D416" i="4"/>
  <c r="E416" i="4"/>
  <c r="C416" i="4"/>
  <c r="E110" i="4"/>
  <c r="C110" i="4"/>
  <c r="D110" i="4"/>
  <c r="E11" i="4"/>
  <c r="D11" i="4"/>
  <c r="C11" i="4"/>
  <c r="E206" i="4"/>
  <c r="D206" i="4"/>
  <c r="C206" i="4"/>
  <c r="E469" i="4"/>
  <c r="D469" i="4"/>
  <c r="C469" i="4"/>
  <c r="C249" i="4"/>
  <c r="E249" i="4"/>
  <c r="D249" i="4"/>
  <c r="C148" i="4"/>
  <c r="E148" i="4"/>
  <c r="D148" i="4"/>
  <c r="C104" i="4"/>
  <c r="D104" i="4"/>
  <c r="E104" i="4"/>
  <c r="D453" i="4"/>
  <c r="C453" i="4"/>
  <c r="E453" i="4"/>
  <c r="E175" i="4"/>
  <c r="D175" i="4"/>
  <c r="C175" i="4"/>
  <c r="E361" i="4"/>
  <c r="D361" i="4"/>
  <c r="C361" i="4"/>
  <c r="C420" i="4"/>
  <c r="E420" i="4"/>
  <c r="D420" i="4"/>
  <c r="D287" i="4"/>
  <c r="C287" i="4"/>
  <c r="E287" i="4"/>
  <c r="E359" i="4"/>
  <c r="D359" i="4"/>
  <c r="C359" i="4"/>
  <c r="D431" i="4"/>
  <c r="E431" i="4"/>
  <c r="C431" i="4"/>
  <c r="E143" i="4"/>
  <c r="D143" i="4"/>
  <c r="C143" i="4"/>
  <c r="C250" i="4"/>
  <c r="E250" i="4"/>
  <c r="D250" i="4"/>
  <c r="D202" i="4"/>
  <c r="C202" i="4"/>
  <c r="E202" i="4"/>
  <c r="E352" i="4"/>
  <c r="D352" i="4"/>
  <c r="C352" i="4"/>
  <c r="D208" i="4"/>
  <c r="E208" i="4"/>
  <c r="C208" i="4"/>
  <c r="E455" i="4"/>
  <c r="D455" i="4"/>
  <c r="C455" i="4"/>
  <c r="D64" i="4"/>
  <c r="C64" i="4"/>
  <c r="E64" i="4"/>
  <c r="C462" i="4"/>
  <c r="D462" i="4"/>
  <c r="E462" i="4"/>
  <c r="E447" i="4"/>
  <c r="D447" i="4"/>
  <c r="C447" i="4"/>
  <c r="D43" i="4"/>
  <c r="E43" i="4"/>
  <c r="C43" i="4"/>
  <c r="E70" i="4"/>
  <c r="D70" i="4"/>
  <c r="C70" i="4"/>
  <c r="C171" i="4"/>
  <c r="E171" i="4"/>
  <c r="D171" i="4"/>
  <c r="D320" i="4"/>
  <c r="E320" i="4"/>
  <c r="C320" i="4"/>
  <c r="D74" i="4"/>
  <c r="E74" i="4"/>
  <c r="C74" i="4"/>
  <c r="C95" i="4"/>
  <c r="E95" i="4"/>
  <c r="D95" i="4"/>
  <c r="C166" i="4"/>
  <c r="E166" i="4"/>
  <c r="D166" i="4"/>
  <c r="E379" i="4"/>
  <c r="D379" i="4"/>
  <c r="C379" i="4"/>
  <c r="D312" i="4"/>
  <c r="E312" i="4"/>
  <c r="C312" i="4"/>
  <c r="E244" i="4"/>
  <c r="D244" i="4"/>
  <c r="C244" i="4"/>
  <c r="E260" i="4"/>
  <c r="D260" i="4"/>
  <c r="C260" i="4"/>
  <c r="E354" i="4"/>
  <c r="D354" i="4"/>
  <c r="B354" i="4"/>
  <c r="C354" i="4"/>
  <c r="E335" i="4"/>
  <c r="D335" i="4"/>
  <c r="C335" i="4"/>
  <c r="E125" i="4"/>
  <c r="D125" i="4"/>
  <c r="C125" i="4"/>
  <c r="E388" i="4"/>
  <c r="D388" i="4"/>
  <c r="C388" i="4"/>
  <c r="E338" i="4"/>
  <c r="D338" i="4"/>
  <c r="C338" i="4"/>
  <c r="E124" i="4"/>
  <c r="D124" i="4"/>
  <c r="C124" i="4"/>
  <c r="E341" i="4"/>
  <c r="D341" i="4"/>
  <c r="C341" i="4"/>
  <c r="E419" i="4"/>
  <c r="D419" i="4"/>
  <c r="C419" i="4"/>
  <c r="C240" i="4"/>
  <c r="D240" i="4"/>
  <c r="E240" i="4"/>
  <c r="E163" i="4"/>
  <c r="D163" i="4"/>
  <c r="C163" i="4"/>
  <c r="E216" i="4"/>
  <c r="C216" i="4"/>
  <c r="D216" i="4"/>
  <c r="E154" i="4"/>
  <c r="D154" i="4"/>
  <c r="C154" i="4"/>
  <c r="C178" i="4"/>
  <c r="E178" i="4"/>
  <c r="D178" i="4"/>
  <c r="E86" i="4"/>
  <c r="D86" i="4"/>
  <c r="C86" i="4"/>
  <c r="E391" i="4"/>
  <c r="D391" i="4"/>
  <c r="C391" i="4"/>
  <c r="D265" i="4"/>
  <c r="C265" i="4"/>
  <c r="E265" i="4"/>
  <c r="C192" i="4"/>
  <c r="E192" i="4"/>
  <c r="D192" i="4"/>
  <c r="D155" i="4"/>
  <c r="C155" i="4"/>
  <c r="E155" i="4"/>
  <c r="E188" i="4"/>
  <c r="D188" i="4"/>
  <c r="C188" i="4"/>
  <c r="E373" i="4"/>
  <c r="D373" i="4"/>
  <c r="C373" i="4"/>
  <c r="C444" i="4"/>
  <c r="E444" i="4"/>
  <c r="D444" i="4"/>
  <c r="C290" i="4"/>
  <c r="D290" i="4"/>
  <c r="E290" i="4"/>
  <c r="D362" i="4"/>
  <c r="C362" i="4"/>
  <c r="E362" i="4"/>
  <c r="B434" i="4"/>
  <c r="E434" i="4"/>
  <c r="D434" i="4"/>
  <c r="C434" i="4"/>
  <c r="E37" i="4"/>
  <c r="C37" i="4"/>
  <c r="D37" i="4"/>
  <c r="E421" i="4"/>
  <c r="D421" i="4"/>
  <c r="C421" i="4"/>
  <c r="E44" i="4"/>
  <c r="D44" i="4"/>
  <c r="C44" i="4"/>
  <c r="E389" i="4"/>
  <c r="D389" i="4"/>
  <c r="C389" i="4"/>
  <c r="E471" i="4"/>
  <c r="D471" i="4"/>
  <c r="C471" i="4"/>
  <c r="E270" i="4"/>
  <c r="D270" i="4"/>
  <c r="C270" i="4"/>
  <c r="E470" i="4"/>
  <c r="D470" i="4"/>
  <c r="C470" i="4"/>
  <c r="D285" i="4"/>
  <c r="C285" i="4"/>
  <c r="E285" i="4"/>
  <c r="E186" i="4"/>
  <c r="D186" i="4"/>
  <c r="C186" i="4"/>
  <c r="C318" i="4"/>
  <c r="E318" i="4"/>
  <c r="D318" i="4"/>
  <c r="D345" i="4"/>
  <c r="E345" i="4"/>
  <c r="C345" i="4"/>
  <c r="D407" i="4"/>
  <c r="E407" i="4"/>
  <c r="C407" i="4"/>
  <c r="E27" i="4"/>
  <c r="C27" i="4"/>
  <c r="D27" i="4"/>
  <c r="E363" i="4"/>
  <c r="D363" i="4"/>
  <c r="C363" i="4"/>
  <c r="E454" i="4"/>
  <c r="D454" i="4"/>
  <c r="C454" i="4"/>
  <c r="E426" i="4"/>
  <c r="C426" i="4"/>
  <c r="D426" i="4"/>
  <c r="E478" i="4"/>
  <c r="D478" i="4"/>
  <c r="C478" i="4"/>
  <c r="E90" i="4"/>
  <c r="D90" i="4"/>
  <c r="C90" i="4"/>
  <c r="E222" i="4"/>
  <c r="D222" i="4"/>
  <c r="C222" i="4"/>
  <c r="E263" i="4"/>
  <c r="D263" i="4"/>
  <c r="C263" i="4"/>
  <c r="E344" i="4"/>
  <c r="C344" i="4"/>
  <c r="D344" i="4"/>
  <c r="C48" i="4"/>
  <c r="E48" i="4"/>
  <c r="D48" i="4"/>
  <c r="E465" i="4"/>
  <c r="D465" i="4"/>
  <c r="C465" i="4"/>
  <c r="D19" i="4"/>
  <c r="C19" i="4"/>
  <c r="E19" i="4"/>
  <c r="C225" i="4"/>
  <c r="E225" i="4"/>
  <c r="D225" i="4"/>
  <c r="C219" i="4"/>
  <c r="D219" i="4"/>
  <c r="E219" i="4"/>
  <c r="C199" i="4"/>
  <c r="E199" i="4"/>
  <c r="D199" i="4"/>
  <c r="C468" i="4"/>
  <c r="E468" i="4"/>
  <c r="D468" i="4"/>
  <c r="E365" i="4"/>
  <c r="D365" i="4"/>
  <c r="C365" i="4"/>
  <c r="D87" i="4"/>
  <c r="E87" i="4"/>
  <c r="C87" i="4"/>
  <c r="C174" i="4"/>
  <c r="D174" i="4"/>
  <c r="E174" i="4"/>
  <c r="C325" i="4"/>
  <c r="E325" i="4"/>
  <c r="D325" i="4"/>
  <c r="E311" i="4"/>
  <c r="D311" i="4"/>
  <c r="C311" i="4"/>
  <c r="E8" i="4"/>
  <c r="D8" i="4"/>
  <c r="C8" i="4"/>
  <c r="E399" i="4"/>
  <c r="D399" i="4"/>
  <c r="C399" i="4"/>
  <c r="E386" i="4"/>
  <c r="D386" i="4"/>
  <c r="C386" i="4"/>
  <c r="E75" i="4"/>
  <c r="C75" i="4"/>
  <c r="D75" i="4"/>
  <c r="D246" i="4"/>
  <c r="E246" i="4"/>
  <c r="C246" i="4"/>
  <c r="E317" i="4"/>
  <c r="D317" i="4"/>
  <c r="C317" i="4"/>
  <c r="E436" i="4"/>
  <c r="D436" i="4"/>
  <c r="C436" i="4"/>
  <c r="C282" i="4"/>
  <c r="E282" i="4"/>
  <c r="D282" i="4"/>
  <c r="E464" i="4"/>
  <c r="D464" i="4"/>
  <c r="C464" i="4"/>
  <c r="E118" i="4"/>
  <c r="D118" i="4"/>
  <c r="C118" i="4"/>
  <c r="D289" i="4"/>
  <c r="E289" i="4"/>
  <c r="C289" i="4"/>
  <c r="E467" i="4"/>
  <c r="D467" i="4"/>
  <c r="C467" i="4"/>
  <c r="C58" i="4"/>
  <c r="D58" i="4"/>
  <c r="E58" i="4"/>
  <c r="C61" i="4"/>
  <c r="D61" i="4"/>
  <c r="E61" i="4"/>
  <c r="D306" i="4"/>
  <c r="E306" i="4"/>
  <c r="C306" i="4"/>
  <c r="E398" i="4"/>
  <c r="C398" i="4"/>
  <c r="D398" i="4"/>
  <c r="E349" i="4"/>
  <c r="D349" i="4"/>
  <c r="C349" i="4"/>
  <c r="E122" i="4"/>
  <c r="C122" i="4"/>
  <c r="D122" i="4"/>
  <c r="D327" i="4"/>
  <c r="E327" i="4"/>
  <c r="C327" i="4"/>
  <c r="C329" i="4"/>
  <c r="E329" i="4"/>
  <c r="D329" i="4"/>
  <c r="E108" i="4"/>
  <c r="D108" i="4"/>
  <c r="C108" i="4"/>
  <c r="E404" i="4"/>
  <c r="C404" i="4"/>
  <c r="D404" i="4"/>
  <c r="D145" i="4"/>
  <c r="E145" i="4"/>
  <c r="C145" i="4"/>
  <c r="E247" i="4"/>
  <c r="D247" i="4"/>
  <c r="C247" i="4"/>
  <c r="E427" i="4"/>
  <c r="D427" i="4"/>
  <c r="C427" i="4"/>
  <c r="E146" i="4"/>
  <c r="C146" i="4"/>
  <c r="D146" i="4"/>
  <c r="E258" i="4"/>
  <c r="D258" i="4"/>
  <c r="C258" i="4"/>
  <c r="D99" i="4"/>
  <c r="C99" i="4"/>
  <c r="E99" i="4"/>
  <c r="E445" i="4"/>
  <c r="D445" i="4"/>
  <c r="C445" i="4"/>
  <c r="E475" i="4"/>
  <c r="D475" i="4"/>
  <c r="C475" i="4"/>
  <c r="E390" i="4"/>
  <c r="D390" i="4"/>
  <c r="C390" i="4"/>
  <c r="C25" i="4"/>
  <c r="D25" i="4"/>
  <c r="E25" i="4"/>
  <c r="D85" i="4"/>
  <c r="C85" i="4"/>
  <c r="E85" i="4"/>
  <c r="D130" i="4"/>
  <c r="C130" i="4"/>
  <c r="E130" i="4"/>
  <c r="C232" i="4"/>
  <c r="E232" i="4"/>
  <c r="D232" i="4"/>
  <c r="E459" i="4"/>
  <c r="D459" i="4"/>
  <c r="C459" i="4"/>
  <c r="E218" i="4"/>
  <c r="D218" i="4"/>
  <c r="C218" i="4"/>
  <c r="E200" i="4"/>
  <c r="D200" i="4"/>
  <c r="C200" i="4"/>
  <c r="C41" i="4"/>
  <c r="E41" i="4"/>
  <c r="D41" i="4"/>
  <c r="E333" i="4"/>
  <c r="D333" i="4"/>
  <c r="C333" i="4"/>
  <c r="E181" i="4"/>
  <c r="D181" i="4"/>
  <c r="C181" i="4"/>
  <c r="D267" i="4"/>
  <c r="E267" i="4"/>
  <c r="C267" i="4"/>
  <c r="E438" i="4"/>
  <c r="D438" i="4"/>
  <c r="C438" i="4"/>
  <c r="C293" i="4"/>
  <c r="D293" i="4"/>
  <c r="E293" i="4"/>
  <c r="E437" i="4"/>
  <c r="D437" i="4"/>
  <c r="C437" i="4"/>
  <c r="E10" i="4"/>
  <c r="D10" i="4"/>
  <c r="C10" i="4"/>
  <c r="E98" i="4"/>
  <c r="D98" i="4"/>
  <c r="C98" i="4"/>
  <c r="E24" i="4"/>
  <c r="D24" i="4"/>
  <c r="C24" i="4"/>
  <c r="D136" i="4"/>
  <c r="C136" i="4"/>
  <c r="E136" i="4"/>
  <c r="D38" i="4"/>
  <c r="C38" i="4"/>
  <c r="E38" i="4"/>
  <c r="E229" i="4"/>
  <c r="D229" i="4"/>
  <c r="C229" i="4"/>
  <c r="E221" i="4"/>
  <c r="D221" i="4"/>
  <c r="C221" i="4"/>
  <c r="C226" i="4"/>
  <c r="E226" i="4"/>
  <c r="D226" i="4"/>
  <c r="D342" i="4"/>
  <c r="C342" i="4"/>
  <c r="E342" i="4"/>
  <c r="C224" i="4"/>
  <c r="D224" i="4"/>
  <c r="E224" i="4"/>
  <c r="B26" i="6"/>
  <c r="E296" i="4"/>
  <c r="C296" i="4"/>
  <c r="D296" i="4"/>
  <c r="C368" i="4"/>
  <c r="E368" i="4"/>
  <c r="D368" i="4"/>
  <c r="E440" i="4"/>
  <c r="D440" i="4"/>
  <c r="C440" i="4"/>
  <c r="B377" i="4" l="1"/>
  <c r="F377" i="4" s="1"/>
  <c r="B355" i="4"/>
  <c r="F355" i="4" s="1"/>
  <c r="B329" i="4"/>
  <c r="F329" i="4" s="1"/>
  <c r="B410" i="4"/>
  <c r="F410" i="4" s="1"/>
  <c r="B447" i="4"/>
  <c r="F447" i="4" s="1"/>
  <c r="B386" i="4"/>
  <c r="F386" i="4" s="1"/>
  <c r="B368" i="4"/>
  <c r="F368" i="4" s="1"/>
  <c r="B416" i="4"/>
  <c r="F416" i="4" s="1"/>
  <c r="B389" i="4"/>
  <c r="F389" i="4" s="1"/>
  <c r="D43" i="5"/>
  <c r="B369" i="4"/>
  <c r="F369" i="4" s="1"/>
  <c r="B371" i="4"/>
  <c r="F371" i="4" s="1"/>
  <c r="B364" i="4"/>
  <c r="F364" i="4" s="1"/>
  <c r="E46" i="5"/>
  <c r="C32" i="5"/>
  <c r="C36" i="5"/>
  <c r="B396" i="4"/>
  <c r="B374" i="4"/>
  <c r="F374" i="4" s="1"/>
  <c r="C37" i="5"/>
  <c r="E36" i="5"/>
  <c r="B310" i="4"/>
  <c r="F310" i="4" s="1"/>
  <c r="B409" i="4"/>
  <c r="F409" i="4" s="1"/>
  <c r="B412" i="4"/>
  <c r="F412" i="4" s="1"/>
  <c r="C33" i="5"/>
  <c r="C40" i="5"/>
  <c r="D36" i="5"/>
  <c r="C46" i="5"/>
  <c r="D46" i="5"/>
  <c r="B451" i="4"/>
  <c r="F451" i="4" s="1"/>
  <c r="E39" i="5"/>
  <c r="E33" i="5"/>
  <c r="E32" i="5"/>
  <c r="F450" i="4"/>
  <c r="C43" i="5"/>
  <c r="B340" i="4"/>
  <c r="F340" i="4" s="1"/>
  <c r="B418" i="4"/>
  <c r="F418" i="4" s="1"/>
  <c r="B397" i="4"/>
  <c r="F397" i="4" s="1"/>
  <c r="E38" i="5"/>
  <c r="B428" i="4"/>
  <c r="E44" i="5"/>
  <c r="C41" i="5"/>
  <c r="F396" i="4"/>
  <c r="F434" i="4"/>
  <c r="D40" i="5"/>
  <c r="F326" i="4"/>
  <c r="D41" i="5"/>
  <c r="B436" i="4"/>
  <c r="F436" i="4" s="1"/>
  <c r="D45" i="5"/>
  <c r="E45" i="5"/>
  <c r="D32" i="5"/>
  <c r="D38" i="5"/>
  <c r="B366" i="4"/>
  <c r="F366" i="4" s="1"/>
  <c r="D37" i="5"/>
  <c r="B346" i="4"/>
  <c r="F346" i="4" s="1"/>
  <c r="C35" i="5"/>
  <c r="C44" i="5"/>
  <c r="B435" i="4"/>
  <c r="F435" i="4" s="1"/>
  <c r="D44" i="5"/>
  <c r="B318" i="4"/>
  <c r="F318" i="4" s="1"/>
  <c r="B437" i="4"/>
  <c r="F437" i="4" s="1"/>
  <c r="B476" i="4"/>
  <c r="F476" i="4" s="1"/>
  <c r="E35" i="5"/>
  <c r="B325" i="4"/>
  <c r="F325" i="4" s="1"/>
  <c r="B458" i="4"/>
  <c r="F458" i="4" s="1"/>
  <c r="B414" i="4"/>
  <c r="F414" i="4" s="1"/>
  <c r="B466" i="4"/>
  <c r="F466" i="4" s="1"/>
  <c r="F428" i="4"/>
  <c r="E37" i="5"/>
  <c r="E41" i="5"/>
  <c r="F354" i="4"/>
  <c r="C39" i="5"/>
  <c r="D39" i="5"/>
  <c r="C42" i="5"/>
  <c r="C38" i="5"/>
  <c r="E42" i="5"/>
  <c r="D33" i="5"/>
  <c r="E40" i="5"/>
  <c r="E43" i="5"/>
  <c r="D35" i="5"/>
  <c r="F343" i="4"/>
  <c r="C45" i="5"/>
  <c r="E34" i="5"/>
  <c r="B478" i="4"/>
  <c r="F478" i="4" s="1"/>
  <c r="B332" i="4"/>
  <c r="F332" i="4" s="1"/>
  <c r="B322" i="4"/>
  <c r="F322" i="4" s="1"/>
  <c r="B485" i="4"/>
  <c r="F485" i="4" s="1"/>
  <c r="C34" i="5"/>
  <c r="B481" i="4"/>
  <c r="F481" i="4" s="1"/>
  <c r="B391" i="4"/>
  <c r="B361" i="4"/>
  <c r="F361" i="4" s="1"/>
  <c r="D42" i="5"/>
  <c r="B338" i="4"/>
  <c r="F338" i="4" s="1"/>
  <c r="B470" i="4"/>
  <c r="F470" i="4" s="1"/>
  <c r="B372" i="4"/>
  <c r="F372" i="4" s="1"/>
  <c r="B467" i="4"/>
  <c r="F467" i="4" s="1"/>
  <c r="B473" i="4"/>
  <c r="F473" i="4" s="1"/>
  <c r="B323" i="4"/>
  <c r="F323" i="4" s="1"/>
  <c r="B461" i="4"/>
  <c r="F461" i="4" s="1"/>
  <c r="B479" i="4"/>
  <c r="F479" i="4" s="1"/>
  <c r="B163" i="4"/>
  <c r="F163" i="4" s="1"/>
  <c r="B442" i="4"/>
  <c r="F442" i="4" s="1"/>
  <c r="B307" i="4"/>
  <c r="B433" i="4"/>
  <c r="F433" i="4" s="1"/>
  <c r="B350" i="4"/>
  <c r="F350" i="4" s="1"/>
  <c r="B381" i="4"/>
  <c r="F381" i="4" s="1"/>
  <c r="B365" i="4"/>
  <c r="F365" i="4" s="1"/>
  <c r="B427" i="4"/>
  <c r="B394" i="4"/>
  <c r="F394" i="4" s="1"/>
  <c r="B449" i="4"/>
  <c r="F449" i="4" s="1"/>
  <c r="B351" i="4"/>
  <c r="F351" i="4" s="1"/>
  <c r="B463" i="4"/>
  <c r="B357" i="4"/>
  <c r="F357" i="4" s="1"/>
  <c r="B471" i="4"/>
  <c r="F471" i="4" s="1"/>
  <c r="B363" i="4"/>
  <c r="F363" i="4" s="1"/>
  <c r="B465" i="4"/>
  <c r="F465" i="4" s="1"/>
  <c r="B475" i="4"/>
  <c r="B342" i="4"/>
  <c r="F342" i="4" s="1"/>
  <c r="B406" i="4"/>
  <c r="F406" i="4" s="1"/>
  <c r="B456" i="4"/>
  <c r="F456" i="4" s="1"/>
  <c r="B439" i="4"/>
  <c r="B370" i="4"/>
  <c r="F370" i="4" s="1"/>
  <c r="B379" i="4"/>
  <c r="B421" i="4"/>
  <c r="F421" i="4" s="1"/>
  <c r="B398" i="4"/>
  <c r="F398" i="4" s="1"/>
  <c r="B459" i="4"/>
  <c r="F459" i="4" s="1"/>
  <c r="B423" i="4"/>
  <c r="F423" i="4" s="1"/>
  <c r="B446" i="4"/>
  <c r="F446" i="4" s="1"/>
  <c r="B448" i="4"/>
  <c r="F448" i="4" s="1"/>
  <c r="B387" i="4"/>
  <c r="F387" i="4" s="1"/>
  <c r="B400" i="4"/>
  <c r="F400" i="4" s="1"/>
  <c r="B440" i="4"/>
  <c r="F440" i="4" s="1"/>
  <c r="B339" i="4"/>
  <c r="F339" i="4" s="1"/>
  <c r="B415" i="4"/>
  <c r="B313" i="4"/>
  <c r="F313" i="4" s="1"/>
  <c r="B424" i="4"/>
  <c r="F424" i="4" s="1"/>
  <c r="B457" i="4"/>
  <c r="F457" i="4" s="1"/>
  <c r="B480" i="4"/>
  <c r="F480" i="4" s="1"/>
  <c r="B320" i="4"/>
  <c r="F320" i="4" s="1"/>
  <c r="B328" i="4"/>
  <c r="F328" i="4" s="1"/>
  <c r="B432" i="4"/>
  <c r="F432" i="4" s="1"/>
  <c r="B484" i="4"/>
  <c r="F484" i="4" s="1"/>
  <c r="B429" i="4"/>
  <c r="F429" i="4" s="1"/>
  <c r="B360" i="4"/>
  <c r="F360" i="4" s="1"/>
  <c r="B362" i="4"/>
  <c r="F362" i="4" s="1"/>
  <c r="B422" i="4"/>
  <c r="F422" i="4" s="1"/>
  <c r="B460" i="4"/>
  <c r="F460" i="4" s="1"/>
  <c r="B335" i="4"/>
  <c r="F335" i="4" s="1"/>
  <c r="B390" i="4"/>
  <c r="F390" i="4" s="1"/>
  <c r="B383" i="4"/>
  <c r="F383" i="4" s="1"/>
  <c r="B438" i="4"/>
  <c r="F438" i="4" s="1"/>
  <c r="B392" i="4"/>
  <c r="F392" i="4" s="1"/>
  <c r="B352" i="4"/>
  <c r="F352" i="4" s="1"/>
  <c r="B430" i="4"/>
  <c r="F430" i="4" s="1"/>
  <c r="B316" i="4"/>
  <c r="F316" i="4" s="1"/>
  <c r="B380" i="4"/>
  <c r="F380" i="4" s="1"/>
  <c r="B462" i="4"/>
  <c r="F462" i="4" s="1"/>
  <c r="B452" i="4"/>
  <c r="F452" i="4" s="1"/>
  <c r="B395" i="4"/>
  <c r="F395" i="4" s="1"/>
  <c r="B399" i="4"/>
  <c r="F399" i="4" s="1"/>
  <c r="B319" i="4"/>
  <c r="B359" i="4"/>
  <c r="F359" i="4" s="1"/>
  <c r="B405" i="4"/>
  <c r="F405" i="4" s="1"/>
  <c r="B358" i="4"/>
  <c r="F358" i="4" s="1"/>
  <c r="B384" i="4"/>
  <c r="F384" i="4" s="1"/>
  <c r="B453" i="4"/>
  <c r="F453" i="4" s="1"/>
  <c r="B341" i="4"/>
  <c r="F341" i="4" s="1"/>
  <c r="B345" i="4"/>
  <c r="F345" i="4" s="1"/>
  <c r="B454" i="4"/>
  <c r="F454" i="4" s="1"/>
  <c r="B349" i="4"/>
  <c r="F349" i="4" s="1"/>
  <c r="B482" i="4"/>
  <c r="F482" i="4" s="1"/>
  <c r="B337" i="4"/>
  <c r="F337" i="4" s="1"/>
  <c r="B356" i="4"/>
  <c r="F356" i="4" s="1"/>
  <c r="B413" i="4"/>
  <c r="F413" i="4" s="1"/>
  <c r="B420" i="4"/>
  <c r="F420" i="4" s="1"/>
  <c r="B443" i="4"/>
  <c r="F443" i="4" s="1"/>
  <c r="B472" i="4"/>
  <c r="F472" i="4" s="1"/>
  <c r="B324" i="4"/>
  <c r="F324" i="4" s="1"/>
  <c r="B347" i="4"/>
  <c r="F347" i="4" s="1"/>
  <c r="B419" i="4"/>
  <c r="F419" i="4" s="1"/>
  <c r="B407" i="4"/>
  <c r="F407" i="4" s="1"/>
  <c r="B425" i="4"/>
  <c r="F425" i="4" s="1"/>
  <c r="B321" i="4"/>
  <c r="F321" i="4" s="1"/>
  <c r="B309" i="4"/>
  <c r="F309" i="4" s="1"/>
  <c r="B330" i="4"/>
  <c r="F330" i="4" s="1"/>
  <c r="B311" i="4"/>
  <c r="F311" i="4" s="1"/>
  <c r="B426" i="4"/>
  <c r="F426" i="4" s="1"/>
  <c r="B444" i="4"/>
  <c r="F444" i="4" s="1"/>
  <c r="B431" i="4"/>
  <c r="F431" i="4" s="1"/>
  <c r="B382" i="4"/>
  <c r="F382" i="4" s="1"/>
  <c r="B474" i="4"/>
  <c r="F474" i="4" s="1"/>
  <c r="B455" i="4"/>
  <c r="F455" i="4" s="1"/>
  <c r="B375" i="4"/>
  <c r="F375" i="4" s="1"/>
  <c r="B486" i="4"/>
  <c r="F486" i="4" s="1"/>
  <c r="B402" i="4"/>
  <c r="F402" i="4" s="1"/>
  <c r="B417" i="4"/>
  <c r="F417" i="4" s="1"/>
  <c r="B468" i="4"/>
  <c r="F468" i="4" s="1"/>
  <c r="B312" i="4"/>
  <c r="F312" i="4" s="1"/>
  <c r="B441" i="4"/>
  <c r="F441" i="4" s="1"/>
  <c r="B336" i="4"/>
  <c r="F336" i="4" s="1"/>
  <c r="B393" i="4"/>
  <c r="F393" i="4" s="1"/>
  <c r="B334" i="4"/>
  <c r="F334" i="4" s="1"/>
  <c r="B327" i="4"/>
  <c r="F327" i="4" s="1"/>
  <c r="B385" i="4"/>
  <c r="F385" i="4" s="1"/>
  <c r="D34" i="5"/>
  <c r="B469" i="4"/>
  <c r="F469" i="4" s="1"/>
  <c r="B483" i="4"/>
  <c r="F483" i="4" s="1"/>
  <c r="B445" i="4"/>
  <c r="F445" i="4" s="1"/>
  <c r="B317" i="4"/>
  <c r="F317" i="4" s="1"/>
  <c r="B344" i="4"/>
  <c r="F344" i="4" s="1"/>
  <c r="B333" i="4"/>
  <c r="F333" i="4" s="1"/>
  <c r="B404" i="4"/>
  <c r="F404" i="4" s="1"/>
  <c r="B373" i="4"/>
  <c r="F373" i="4" s="1"/>
  <c r="B388" i="4"/>
  <c r="F388" i="4" s="1"/>
  <c r="B314" i="4"/>
  <c r="F314" i="4" s="1"/>
  <c r="B367" i="4"/>
  <c r="B411" i="4"/>
  <c r="F411" i="4" s="1"/>
  <c r="B315" i="4"/>
  <c r="F315" i="4" s="1"/>
  <c r="B401" i="4"/>
  <c r="F401" i="4" s="1"/>
  <c r="B308" i="4"/>
  <c r="F308" i="4" s="1"/>
  <c r="B376" i="4"/>
  <c r="F376" i="4" s="1"/>
  <c r="B477" i="4"/>
  <c r="F477" i="4" s="1"/>
  <c r="B464" i="4"/>
  <c r="F464" i="4" s="1"/>
  <c r="B403" i="4"/>
  <c r="B353" i="4"/>
  <c r="F353" i="4" s="1"/>
  <c r="B348" i="4"/>
  <c r="F348" i="4" s="1"/>
  <c r="B331" i="4"/>
  <c r="B183" i="4"/>
  <c r="F183" i="4" s="1"/>
  <c r="B90" i="4"/>
  <c r="F90" i="4" s="1"/>
  <c r="B169" i="4"/>
  <c r="F169" i="4" s="1"/>
  <c r="B276" i="4"/>
  <c r="F276" i="4" s="1"/>
  <c r="D24" i="5"/>
  <c r="B230" i="4"/>
  <c r="F230" i="4" s="1"/>
  <c r="B126" i="4"/>
  <c r="F126" i="4" s="1"/>
  <c r="B16" i="4"/>
  <c r="F16" i="4" s="1"/>
  <c r="B33" i="4"/>
  <c r="F33" i="4" s="1"/>
  <c r="B300" i="4"/>
  <c r="F300" i="4" s="1"/>
  <c r="B292" i="4"/>
  <c r="F292" i="4" s="1"/>
  <c r="B85" i="4"/>
  <c r="F85" i="4" s="1"/>
  <c r="B274" i="4"/>
  <c r="F274" i="4" s="1"/>
  <c r="B115" i="4"/>
  <c r="F115" i="4" s="1"/>
  <c r="B242" i="4"/>
  <c r="F242" i="4" s="1"/>
  <c r="B293" i="4"/>
  <c r="F293" i="4" s="1"/>
  <c r="B148" i="4"/>
  <c r="F148" i="4" s="1"/>
  <c r="B111" i="4"/>
  <c r="F111" i="4" s="1"/>
  <c r="B24" i="4"/>
  <c r="F24" i="4" s="1"/>
  <c r="B94" i="4"/>
  <c r="F94" i="4" s="1"/>
  <c r="B279" i="4"/>
  <c r="F279" i="4" s="1"/>
  <c r="B41" i="4"/>
  <c r="F41" i="4" s="1"/>
  <c r="B284" i="4"/>
  <c r="F284" i="4" s="1"/>
  <c r="B196" i="4"/>
  <c r="F196" i="4" s="1"/>
  <c r="B57" i="4"/>
  <c r="F57" i="4" s="1"/>
  <c r="B21" i="4"/>
  <c r="F21" i="4" s="1"/>
  <c r="B182" i="4"/>
  <c r="F182" i="4" s="1"/>
  <c r="B28" i="4"/>
  <c r="F28" i="4" s="1"/>
  <c r="B147" i="4"/>
  <c r="F147" i="4" s="1"/>
  <c r="B239" i="4"/>
  <c r="F239" i="4" s="1"/>
  <c r="B110" i="4"/>
  <c r="F110" i="4" s="1"/>
  <c r="B105" i="4"/>
  <c r="F105" i="4" s="1"/>
  <c r="B302" i="4"/>
  <c r="F302" i="4" s="1"/>
  <c r="B84" i="4"/>
  <c r="F84" i="4" s="1"/>
  <c r="B200" i="4"/>
  <c r="F200" i="4" s="1"/>
  <c r="B176" i="4"/>
  <c r="F176" i="4" s="1"/>
  <c r="B253" i="4"/>
  <c r="F253" i="4" s="1"/>
  <c r="B222" i="4"/>
  <c r="F222" i="4" s="1"/>
  <c r="B77" i="4"/>
  <c r="F77" i="4" s="1"/>
  <c r="B15" i="4"/>
  <c r="F15" i="4" s="1"/>
  <c r="B63" i="4"/>
  <c r="F63" i="4" s="1"/>
  <c r="B150" i="4"/>
  <c r="F150" i="4" s="1"/>
  <c r="B260" i="4"/>
  <c r="F260" i="4" s="1"/>
  <c r="B227" i="4"/>
  <c r="F227" i="4" s="1"/>
  <c r="B204" i="4"/>
  <c r="F204" i="4" s="1"/>
  <c r="B273" i="4"/>
  <c r="F273" i="4" s="1"/>
  <c r="B226" i="4"/>
  <c r="F226" i="4" s="1"/>
  <c r="B109" i="4"/>
  <c r="F109" i="4" s="1"/>
  <c r="B259" i="4"/>
  <c r="F259" i="4" s="1"/>
  <c r="B123" i="4"/>
  <c r="F123" i="4" s="1"/>
  <c r="B49" i="4"/>
  <c r="F49" i="4" s="1"/>
  <c r="B231" i="4"/>
  <c r="F231" i="4" s="1"/>
  <c r="B294" i="4"/>
  <c r="F294" i="4" s="1"/>
  <c r="B13" i="4"/>
  <c r="F13" i="4" s="1"/>
  <c r="B149" i="4"/>
  <c r="F149" i="4" s="1"/>
  <c r="B7" i="4"/>
  <c r="F7" i="4" s="1"/>
  <c r="G7" i="4" s="1"/>
  <c r="H7" i="4" s="1"/>
  <c r="B73" i="4"/>
  <c r="F73" i="4" s="1"/>
  <c r="B187" i="4"/>
  <c r="F187" i="4" s="1"/>
  <c r="B98" i="4"/>
  <c r="F98" i="4" s="1"/>
  <c r="B281" i="4"/>
  <c r="F281" i="4" s="1"/>
  <c r="B233" i="4"/>
  <c r="F233" i="4" s="1"/>
  <c r="B59" i="4"/>
  <c r="F59" i="4" s="1"/>
  <c r="B113" i="4"/>
  <c r="F113" i="4" s="1"/>
  <c r="B128" i="4"/>
  <c r="B48" i="4"/>
  <c r="F48" i="4" s="1"/>
  <c r="B197" i="4"/>
  <c r="F197" i="4" s="1"/>
  <c r="B181" i="4"/>
  <c r="F181" i="4" s="1"/>
  <c r="B205" i="4"/>
  <c r="F205" i="4" s="1"/>
  <c r="B283" i="4"/>
  <c r="B286" i="4"/>
  <c r="F286" i="4" s="1"/>
  <c r="B220" i="4"/>
  <c r="F220" i="4" s="1"/>
  <c r="B219" i="4"/>
  <c r="F219" i="4" s="1"/>
  <c r="B127" i="4"/>
  <c r="F127" i="4" s="1"/>
  <c r="B40" i="4"/>
  <c r="F40" i="4" s="1"/>
  <c r="B20" i="4"/>
  <c r="F20" i="4" s="1"/>
  <c r="B81" i="4"/>
  <c r="F81" i="4" s="1"/>
  <c r="C30" i="5"/>
  <c r="B82" i="4"/>
  <c r="F82" i="4" s="1"/>
  <c r="B299" i="4"/>
  <c r="F299" i="4" s="1"/>
  <c r="B241" i="4"/>
  <c r="F241" i="4" s="1"/>
  <c r="C25" i="5"/>
  <c r="B132" i="4"/>
  <c r="F132" i="4" s="1"/>
  <c r="B185" i="4"/>
  <c r="F185" i="4" s="1"/>
  <c r="B280" i="4"/>
  <c r="F280" i="4" s="1"/>
  <c r="B137" i="4"/>
  <c r="F137" i="4" s="1"/>
  <c r="B31" i="4"/>
  <c r="F31" i="4" s="1"/>
  <c r="B212" i="4"/>
  <c r="F212" i="4" s="1"/>
  <c r="B296" i="4"/>
  <c r="F296" i="4" s="1"/>
  <c r="B207" i="4"/>
  <c r="F207" i="4" s="1"/>
  <c r="B288" i="4"/>
  <c r="F288" i="4" s="1"/>
  <c r="B93" i="4"/>
  <c r="F93" i="4" s="1"/>
  <c r="B173" i="4"/>
  <c r="F173" i="4" s="1"/>
  <c r="B298" i="4"/>
  <c r="F298" i="4" s="1"/>
  <c r="B86" i="4"/>
  <c r="F86" i="4" s="1"/>
  <c r="E23" i="5"/>
  <c r="E13" i="5"/>
  <c r="B64" i="4"/>
  <c r="F64" i="4" s="1"/>
  <c r="B213" i="4"/>
  <c r="F213" i="4" s="1"/>
  <c r="B36" i="4"/>
  <c r="F36" i="4" s="1"/>
  <c r="B190" i="4"/>
  <c r="F190" i="4" s="1"/>
  <c r="B99" i="4"/>
  <c r="F99" i="4" s="1"/>
  <c r="B70" i="4"/>
  <c r="F70" i="4" s="1"/>
  <c r="B139" i="4"/>
  <c r="F139" i="4" s="1"/>
  <c r="B186" i="4"/>
  <c r="F186" i="4" s="1"/>
  <c r="B178" i="4"/>
  <c r="F178" i="4" s="1"/>
  <c r="B26" i="4"/>
  <c r="F26" i="4" s="1"/>
  <c r="B254" i="4"/>
  <c r="F254" i="4" s="1"/>
  <c r="E12" i="5"/>
  <c r="B295" i="4"/>
  <c r="F295" i="4" s="1"/>
  <c r="B8" i="4"/>
  <c r="F8" i="4" s="1"/>
  <c r="B155" i="4"/>
  <c r="F155" i="4" s="1"/>
  <c r="B16" i="1"/>
  <c r="B18" i="1" s="1"/>
  <c r="B258" i="4"/>
  <c r="F258" i="4" s="1"/>
  <c r="B246" i="4"/>
  <c r="F246" i="4" s="1"/>
  <c r="B46" i="4"/>
  <c r="F46" i="4" s="1"/>
  <c r="B250" i="4"/>
  <c r="F250" i="4" s="1"/>
  <c r="B287" i="4"/>
  <c r="F287" i="4" s="1"/>
  <c r="B206" i="4"/>
  <c r="F206" i="4" s="1"/>
  <c r="B195" i="4"/>
  <c r="F195" i="4" s="1"/>
  <c r="B257" i="4"/>
  <c r="F257" i="4" s="1"/>
  <c r="B112" i="4"/>
  <c r="F112" i="4" s="1"/>
  <c r="B275" i="4"/>
  <c r="F275" i="4" s="1"/>
  <c r="B18" i="4"/>
  <c r="F18" i="4" s="1"/>
  <c r="B51" i="4"/>
  <c r="F51" i="4" s="1"/>
  <c r="B165" i="4"/>
  <c r="F165" i="4" s="1"/>
  <c r="B238" i="4"/>
  <c r="F238" i="4" s="1"/>
  <c r="E26" i="5"/>
  <c r="B209" i="4"/>
  <c r="F209" i="4" s="1"/>
  <c r="B129" i="4"/>
  <c r="F129" i="4" s="1"/>
  <c r="B140" i="4"/>
  <c r="F140" i="4" s="1"/>
  <c r="B202" i="4"/>
  <c r="F202" i="4" s="1"/>
  <c r="B60" i="4"/>
  <c r="F60" i="4" s="1"/>
  <c r="B240" i="4"/>
  <c r="F240" i="4" s="1"/>
  <c r="B62" i="4"/>
  <c r="F62" i="4" s="1"/>
  <c r="B236" i="4"/>
  <c r="F236" i="4" s="1"/>
  <c r="B225" i="4"/>
  <c r="F225" i="4" s="1"/>
  <c r="B285" i="4"/>
  <c r="F285" i="4" s="1"/>
  <c r="B290" i="4"/>
  <c r="F290" i="4" s="1"/>
  <c r="B154" i="4"/>
  <c r="F154" i="4" s="1"/>
  <c r="B264" i="4"/>
  <c r="F264" i="4" s="1"/>
  <c r="C31" i="5"/>
  <c r="B278" i="4"/>
  <c r="F278" i="4" s="1"/>
  <c r="C12" i="5"/>
  <c r="B12" i="4"/>
  <c r="F12" i="4" s="1"/>
  <c r="B162" i="4"/>
  <c r="F162" i="4" s="1"/>
  <c r="B44" i="4"/>
  <c r="F44" i="4" s="1"/>
  <c r="B252" i="4"/>
  <c r="F252" i="4" s="1"/>
  <c r="B289" i="4"/>
  <c r="F289" i="4" s="1"/>
  <c r="B32" i="4"/>
  <c r="F32" i="4" s="1"/>
  <c r="B134" i="4"/>
  <c r="F134" i="4" s="1"/>
  <c r="B244" i="4"/>
  <c r="F244" i="4" s="1"/>
  <c r="B214" i="4"/>
  <c r="F214" i="4" s="1"/>
  <c r="B25" i="4"/>
  <c r="F25" i="4" s="1"/>
  <c r="B170" i="4"/>
  <c r="F170" i="4" s="1"/>
  <c r="B180" i="4"/>
  <c r="F180" i="4" s="1"/>
  <c r="B43" i="4"/>
  <c r="F43" i="4" s="1"/>
  <c r="B164" i="4"/>
  <c r="F164" i="4" s="1"/>
  <c r="B101" i="4"/>
  <c r="F101" i="4" s="1"/>
  <c r="B268" i="4"/>
  <c r="F268" i="4" s="1"/>
  <c r="B167" i="4"/>
  <c r="F167" i="4" s="1"/>
  <c r="B194" i="4"/>
  <c r="F194" i="4" s="1"/>
  <c r="B65" i="4"/>
  <c r="F65" i="4" s="1"/>
  <c r="B35" i="4"/>
  <c r="F35" i="4" s="1"/>
  <c r="B39" i="4"/>
  <c r="F39" i="4" s="1"/>
  <c r="B210" i="4"/>
  <c r="F210" i="4" s="1"/>
  <c r="B69" i="4"/>
  <c r="F69" i="4" s="1"/>
  <c r="B303" i="4"/>
  <c r="F303" i="4" s="1"/>
  <c r="B256" i="4"/>
  <c r="F256" i="4" s="1"/>
  <c r="B52" i="4"/>
  <c r="F52" i="4" s="1"/>
  <c r="B215" i="4"/>
  <c r="F215" i="4" s="1"/>
  <c r="B79" i="4"/>
  <c r="F79" i="4" s="1"/>
  <c r="B30" i="4"/>
  <c r="F30" i="4" s="1"/>
  <c r="D23" i="5"/>
  <c r="B218" i="4"/>
  <c r="F218" i="4" s="1"/>
  <c r="B174" i="4"/>
  <c r="F174" i="4" s="1"/>
  <c r="B229" i="4"/>
  <c r="F229" i="4" s="1"/>
  <c r="B14" i="4"/>
  <c r="F14" i="4" s="1"/>
  <c r="B10" i="4"/>
  <c r="F10" i="4" s="1"/>
  <c r="B203" i="4"/>
  <c r="F203" i="4" s="1"/>
  <c r="B145" i="4"/>
  <c r="F145" i="4" s="1"/>
  <c r="B125" i="4"/>
  <c r="F125" i="4" s="1"/>
  <c r="B71" i="4"/>
  <c r="F71" i="4" s="1"/>
  <c r="B224" i="4"/>
  <c r="F224" i="4" s="1"/>
  <c r="B87" i="4"/>
  <c r="F87" i="4" s="1"/>
  <c r="B88" i="4"/>
  <c r="F88" i="4" s="1"/>
  <c r="B91" i="4"/>
  <c r="F91" i="4" s="1"/>
  <c r="B80" i="4"/>
  <c r="F80" i="4" s="1"/>
  <c r="B304" i="4"/>
  <c r="F304" i="4" s="1"/>
  <c r="B61" i="4"/>
  <c r="F61" i="4" s="1"/>
  <c r="B45" i="4"/>
  <c r="F45" i="4" s="1"/>
  <c r="B68" i="4"/>
  <c r="F68" i="4" s="1"/>
  <c r="B152" i="4"/>
  <c r="F152" i="4" s="1"/>
  <c r="B291" i="4"/>
  <c r="F291" i="4" s="1"/>
  <c r="B131" i="4"/>
  <c r="F131" i="4" s="1"/>
  <c r="B301" i="4"/>
  <c r="F301" i="4" s="1"/>
  <c r="B38" i="4"/>
  <c r="F38" i="4" s="1"/>
  <c r="B122" i="4"/>
  <c r="F122" i="4" s="1"/>
  <c r="B192" i="4"/>
  <c r="F192" i="4" s="1"/>
  <c r="B54" i="4"/>
  <c r="F54" i="4" s="1"/>
  <c r="B102" i="4"/>
  <c r="F102" i="4" s="1"/>
  <c r="B58" i="4"/>
  <c r="F58" i="4" s="1"/>
  <c r="B75" i="4"/>
  <c r="F75" i="4" s="1"/>
  <c r="B19" i="4"/>
  <c r="F19" i="4" s="1"/>
  <c r="B119" i="4"/>
  <c r="F119" i="4" s="1"/>
  <c r="B143" i="4"/>
  <c r="F143" i="4" s="1"/>
  <c r="B223" i="4"/>
  <c r="F223" i="4" s="1"/>
  <c r="B117" i="4"/>
  <c r="F117" i="4" s="1"/>
  <c r="B266" i="4"/>
  <c r="F266" i="4" s="1"/>
  <c r="B245" i="4"/>
  <c r="F245" i="4" s="1"/>
  <c r="B172" i="4"/>
  <c r="F172" i="4" s="1"/>
  <c r="B179" i="4"/>
  <c r="F179" i="4" s="1"/>
  <c r="B166" i="4"/>
  <c r="F166" i="4" s="1"/>
  <c r="B249" i="4"/>
  <c r="F249" i="4" s="1"/>
  <c r="B56" i="4"/>
  <c r="F56" i="4" s="1"/>
  <c r="B47" i="4"/>
  <c r="F47" i="4" s="1"/>
  <c r="B153" i="4"/>
  <c r="F153" i="4" s="1"/>
  <c r="B271" i="4"/>
  <c r="F271" i="4" s="1"/>
  <c r="B96" i="4"/>
  <c r="F96" i="4" s="1"/>
  <c r="B78" i="4"/>
  <c r="F78" i="4" s="1"/>
  <c r="B267" i="4"/>
  <c r="F267" i="4" s="1"/>
  <c r="B83" i="4"/>
  <c r="F83" i="4" s="1"/>
  <c r="B120" i="4"/>
  <c r="F120" i="4" s="1"/>
  <c r="B247" i="4"/>
  <c r="F247" i="4" s="1"/>
  <c r="B217" i="4"/>
  <c r="F217" i="4" s="1"/>
  <c r="C7" i="5"/>
  <c r="B184" i="4"/>
  <c r="F184" i="4" s="1"/>
  <c r="B42" i="4"/>
  <c r="F42" i="4" s="1"/>
  <c r="B144" i="4"/>
  <c r="F144" i="4" s="1"/>
  <c r="B198" i="4"/>
  <c r="F198" i="4" s="1"/>
  <c r="B265" i="4"/>
  <c r="F265" i="4" s="1"/>
  <c r="B17" i="4"/>
  <c r="F17" i="4" s="1"/>
  <c r="B74" i="4"/>
  <c r="F74" i="4" s="1"/>
  <c r="B11" i="4"/>
  <c r="F11" i="4" s="1"/>
  <c r="B191" i="4"/>
  <c r="F191" i="4" s="1"/>
  <c r="B29" i="4"/>
  <c r="F29" i="4" s="1"/>
  <c r="B177" i="4"/>
  <c r="F177" i="4" s="1"/>
  <c r="B34" i="4"/>
  <c r="F34" i="4" s="1"/>
  <c r="B248" i="4"/>
  <c r="F248" i="4" s="1"/>
  <c r="B157" i="4"/>
  <c r="F157" i="4" s="1"/>
  <c r="B251" i="4"/>
  <c r="F251" i="4" s="1"/>
  <c r="B234" i="4"/>
  <c r="F234" i="4" s="1"/>
  <c r="B156" i="4"/>
  <c r="F156" i="4" s="1"/>
  <c r="B168" i="4"/>
  <c r="F168" i="4" s="1"/>
  <c r="B189" i="4"/>
  <c r="F189" i="4" s="1"/>
  <c r="B160" i="4"/>
  <c r="F160" i="4" s="1"/>
  <c r="B106" i="4"/>
  <c r="F106" i="4" s="1"/>
  <c r="B175" i="4"/>
  <c r="F175" i="4" s="1"/>
  <c r="B243" i="4"/>
  <c r="F243" i="4" s="1"/>
  <c r="B159" i="4"/>
  <c r="F159" i="4" s="1"/>
  <c r="B171" i="4"/>
  <c r="F171" i="4" s="1"/>
  <c r="B118" i="4"/>
  <c r="F118" i="4" s="1"/>
  <c r="B95" i="4"/>
  <c r="F95" i="4" s="1"/>
  <c r="B193" i="4"/>
  <c r="F193" i="4" s="1"/>
  <c r="B138" i="4"/>
  <c r="F138" i="4" s="1"/>
  <c r="B72" i="4"/>
  <c r="F72" i="4" s="1"/>
  <c r="B114" i="4"/>
  <c r="F114" i="4" s="1"/>
  <c r="B133" i="4"/>
  <c r="F133" i="4" s="1"/>
  <c r="B306" i="4"/>
  <c r="F306" i="4" s="1"/>
  <c r="B255" i="4"/>
  <c r="F255" i="4" s="1"/>
  <c r="B67" i="4"/>
  <c r="F67" i="4" s="1"/>
  <c r="B232" i="4"/>
  <c r="F232" i="4" s="1"/>
  <c r="B263" i="4"/>
  <c r="F263" i="4" s="1"/>
  <c r="B135" i="4"/>
  <c r="F135" i="4" s="1"/>
  <c r="B37" i="4"/>
  <c r="F37" i="4" s="1"/>
  <c r="B9" i="1"/>
  <c r="B208" i="4"/>
  <c r="F208" i="4" s="1"/>
  <c r="B211" i="4"/>
  <c r="F211" i="4" s="1"/>
  <c r="B116" i="4"/>
  <c r="F116" i="4" s="1"/>
  <c r="B23" i="4"/>
  <c r="F23" i="4" s="1"/>
  <c r="B151" i="4"/>
  <c r="B92" i="4"/>
  <c r="F92" i="4" s="1"/>
  <c r="B107" i="4"/>
  <c r="F107" i="4" s="1"/>
  <c r="B237" i="4"/>
  <c r="F237" i="4" s="1"/>
  <c r="B235" i="4"/>
  <c r="F235" i="4" s="1"/>
  <c r="B269" i="4"/>
  <c r="F269" i="4" s="1"/>
  <c r="B22" i="4"/>
  <c r="F22" i="4" s="1"/>
  <c r="B270" i="4"/>
  <c r="F270" i="4" s="1"/>
  <c r="B221" i="4"/>
  <c r="F221" i="4" s="1"/>
  <c r="B297" i="4"/>
  <c r="F297" i="4" s="1"/>
  <c r="B161" i="4"/>
  <c r="F161" i="4" s="1"/>
  <c r="B199" i="4"/>
  <c r="F199" i="4" s="1"/>
  <c r="B188" i="4"/>
  <c r="F188" i="4" s="1"/>
  <c r="B55" i="4"/>
  <c r="F55" i="4" s="1"/>
  <c r="B121" i="4"/>
  <c r="F121" i="4" s="1"/>
  <c r="B53" i="4"/>
  <c r="F53" i="4" s="1"/>
  <c r="B27" i="4"/>
  <c r="F27" i="4" s="1"/>
  <c r="B158" i="4"/>
  <c r="F158" i="4" s="1"/>
  <c r="B124" i="4"/>
  <c r="F124" i="4" s="1"/>
  <c r="B136" i="4"/>
  <c r="F136" i="4" s="1"/>
  <c r="B146" i="4"/>
  <c r="F146" i="4" s="1"/>
  <c r="B108" i="4"/>
  <c r="F108" i="4" s="1"/>
  <c r="B76" i="4"/>
  <c r="F76" i="4" s="1"/>
  <c r="B216" i="4"/>
  <c r="F216" i="4" s="1"/>
  <c r="B89" i="4"/>
  <c r="F89" i="4" s="1"/>
  <c r="B261" i="4"/>
  <c r="F261" i="4" s="1"/>
  <c r="B228" i="4"/>
  <c r="F228" i="4" s="1"/>
  <c r="B141" i="4"/>
  <c r="F141" i="4" s="1"/>
  <c r="B305" i="4"/>
  <c r="F305" i="4" s="1"/>
  <c r="B100" i="4"/>
  <c r="F100" i="4" s="1"/>
  <c r="B66" i="4"/>
  <c r="F66" i="4" s="1"/>
  <c r="B130" i="4"/>
  <c r="F130" i="4" s="1"/>
  <c r="B272" i="4"/>
  <c r="F272" i="4" s="1"/>
  <c r="B282" i="4"/>
  <c r="F282" i="4" s="1"/>
  <c r="B50" i="4"/>
  <c r="F50" i="4" s="1"/>
  <c r="B277" i="4"/>
  <c r="F277" i="4" s="1"/>
  <c r="B104" i="4"/>
  <c r="F104" i="4" s="1"/>
  <c r="E7" i="5"/>
  <c r="B201" i="4"/>
  <c r="B142" i="4"/>
  <c r="F142" i="4" s="1"/>
  <c r="B103" i="4"/>
  <c r="F103" i="4" s="1"/>
  <c r="B262" i="4"/>
  <c r="F262" i="4" s="1"/>
  <c r="B97" i="4"/>
  <c r="F97" i="4" s="1"/>
  <c r="B9" i="4"/>
  <c r="F9" i="4" s="1"/>
  <c r="E25" i="5"/>
  <c r="D21" i="5"/>
  <c r="D30" i="5"/>
  <c r="C11" i="5"/>
  <c r="C9" i="5"/>
  <c r="D18" i="5"/>
  <c r="D31" i="5"/>
  <c r="D11" i="5"/>
  <c r="C16" i="5"/>
  <c r="E9" i="5"/>
  <c r="C8" i="5"/>
  <c r="C13" i="5"/>
  <c r="C21" i="5"/>
  <c r="D25" i="5"/>
  <c r="E18" i="5"/>
  <c r="E22" i="5"/>
  <c r="C18" i="5"/>
  <c r="D28" i="5"/>
  <c r="E20" i="5"/>
  <c r="E27" i="5"/>
  <c r="D8" i="5"/>
  <c r="E14" i="5"/>
  <c r="C15" i="5"/>
  <c r="E30" i="5"/>
  <c r="D13" i="5"/>
  <c r="C29" i="5"/>
  <c r="C28" i="5"/>
  <c r="C23" i="5"/>
  <c r="D14" i="5"/>
  <c r="D9" i="5"/>
  <c r="E11" i="5"/>
  <c r="E17" i="5"/>
  <c r="C17" i="5"/>
  <c r="D29" i="5"/>
  <c r="E28" i="5"/>
  <c r="C26" i="5"/>
  <c r="D27" i="5"/>
  <c r="D26" i="5"/>
  <c r="D12" i="5"/>
  <c r="D17" i="5"/>
  <c r="E8" i="5"/>
  <c r="E16" i="5"/>
  <c r="E29" i="5"/>
  <c r="D20" i="5"/>
  <c r="C20" i="5"/>
  <c r="C14" i="5"/>
  <c r="D15" i="5"/>
  <c r="E15" i="5"/>
  <c r="D22" i="5"/>
  <c r="E31" i="5"/>
  <c r="C27" i="5"/>
  <c r="D16" i="5"/>
  <c r="E24" i="5"/>
  <c r="D7" i="5"/>
  <c r="C19" i="5"/>
  <c r="E21" i="5"/>
  <c r="E19" i="5"/>
  <c r="D19" i="5"/>
  <c r="C24" i="5"/>
  <c r="C22" i="5"/>
  <c r="C10" i="5"/>
  <c r="E10" i="5"/>
  <c r="D10" i="5"/>
  <c r="F35" i="5" l="1"/>
  <c r="F36" i="5"/>
  <c r="B35" i="5"/>
  <c r="F319" i="4"/>
  <c r="F33" i="5" s="1"/>
  <c r="B33" i="5"/>
  <c r="B39" i="5"/>
  <c r="F391" i="4"/>
  <c r="F39" i="5" s="1"/>
  <c r="B32" i="5"/>
  <c r="F307" i="4"/>
  <c r="F32" i="5" s="1"/>
  <c r="F367" i="4"/>
  <c r="F37" i="5" s="1"/>
  <c r="B37" i="5"/>
  <c r="F475" i="4"/>
  <c r="F46" i="5" s="1"/>
  <c r="B46" i="5"/>
  <c r="F44" i="5"/>
  <c r="F379" i="4"/>
  <c r="F38" i="5" s="1"/>
  <c r="B38" i="5"/>
  <c r="F463" i="4"/>
  <c r="F45" i="5" s="1"/>
  <c r="B45" i="5"/>
  <c r="F439" i="4"/>
  <c r="F43" i="5" s="1"/>
  <c r="B43" i="5"/>
  <c r="F415" i="4"/>
  <c r="F41" i="5" s="1"/>
  <c r="B41" i="5"/>
  <c r="B42" i="5"/>
  <c r="F427" i="4"/>
  <c r="F42" i="5" s="1"/>
  <c r="F403" i="4"/>
  <c r="F40" i="5" s="1"/>
  <c r="B40" i="5"/>
  <c r="B44" i="5"/>
  <c r="B34" i="5"/>
  <c r="F331" i="4"/>
  <c r="F34" i="5" s="1"/>
  <c r="B36" i="5"/>
  <c r="B19" i="5"/>
  <c r="B22" i="5"/>
  <c r="G8" i="4"/>
  <c r="G9" i="4" s="1"/>
  <c r="B17" i="5"/>
  <c r="B23" i="5"/>
  <c r="F13" i="5"/>
  <c r="B20" i="5"/>
  <c r="F151" i="4"/>
  <c r="F19" i="5" s="1"/>
  <c r="F201" i="4"/>
  <c r="F23" i="5" s="1"/>
  <c r="B29" i="5"/>
  <c r="F22" i="5"/>
  <c r="F20" i="5"/>
  <c r="F21" i="5"/>
  <c r="F26" i="5"/>
  <c r="F29" i="5"/>
  <c r="B21" i="5"/>
  <c r="B15" i="5"/>
  <c r="B8" i="5"/>
  <c r="B27" i="5"/>
  <c r="F11" i="5"/>
  <c r="F8" i="5"/>
  <c r="B13" i="5"/>
  <c r="B24" i="5"/>
  <c r="F128" i="4"/>
  <c r="F17" i="5" s="1"/>
  <c r="B18" i="5"/>
  <c r="B13" i="1"/>
  <c r="B30" i="5"/>
  <c r="B28" i="5"/>
  <c r="F31" i="5"/>
  <c r="B7" i="5"/>
  <c r="B31" i="5"/>
  <c r="F12" i="5"/>
  <c r="F28" i="5"/>
  <c r="B25" i="5"/>
  <c r="B11" i="5"/>
  <c r="B12" i="5"/>
  <c r="B9" i="5"/>
  <c r="F283" i="4"/>
  <c r="F30" i="5" s="1"/>
  <c r="B10" i="5"/>
  <c r="B16" i="5"/>
  <c r="B26" i="5"/>
  <c r="B14" i="5"/>
  <c r="F16" i="5"/>
  <c r="F9" i="5"/>
  <c r="F18" i="5"/>
  <c r="B15" i="1"/>
  <c r="F24" i="5"/>
  <c r="F7" i="5"/>
  <c r="F14" i="5"/>
  <c r="B14" i="1"/>
  <c r="F15" i="5"/>
  <c r="F10" i="5"/>
  <c r="F25" i="5"/>
  <c r="F27" i="5"/>
  <c r="G42" i="5" l="1"/>
  <c r="G38" i="5"/>
  <c r="G39" i="5"/>
  <c r="G45" i="5"/>
  <c r="G35" i="5"/>
  <c r="G32" i="5"/>
  <c r="G34" i="5"/>
  <c r="G43" i="5"/>
  <c r="G44" i="5"/>
  <c r="G46" i="5"/>
  <c r="G37" i="5"/>
  <c r="G36" i="5"/>
  <c r="G41" i="5"/>
  <c r="G40" i="5"/>
  <c r="G33" i="5"/>
  <c r="B31" i="6"/>
  <c r="H8" i="4"/>
  <c r="B37" i="6"/>
  <c r="G8" i="5"/>
  <c r="G15" i="5"/>
  <c r="G12" i="5"/>
  <c r="G28" i="5"/>
  <c r="G7" i="5"/>
  <c r="G17" i="5"/>
  <c r="G14" i="5"/>
  <c r="B32" i="6"/>
  <c r="B56" i="6"/>
  <c r="B27" i="6"/>
  <c r="B36" i="6"/>
  <c r="G25" i="5"/>
  <c r="G10" i="5"/>
  <c r="G16" i="5"/>
  <c r="G9" i="5"/>
  <c r="G18" i="5"/>
  <c r="B29" i="6"/>
  <c r="B34" i="6"/>
  <c r="B28" i="6"/>
  <c r="B33" i="6"/>
  <c r="B35" i="6"/>
  <c r="B30" i="6"/>
  <c r="G19" i="5"/>
  <c r="G13" i="5"/>
  <c r="G20" i="5"/>
  <c r="B58" i="6"/>
  <c r="G11" i="5"/>
  <c r="B38" i="6"/>
  <c r="G23" i="5"/>
  <c r="B57" i="6"/>
  <c r="B61" i="6"/>
  <c r="B59" i="6"/>
  <c r="B44" i="6"/>
  <c r="G22" i="5"/>
  <c r="B40" i="6"/>
  <c r="B60" i="6"/>
  <c r="G29" i="5"/>
  <c r="B55" i="6"/>
  <c r="B41" i="6"/>
  <c r="B51" i="6"/>
  <c r="H9" i="4"/>
  <c r="G10" i="4"/>
  <c r="B50" i="6"/>
  <c r="G26" i="5"/>
  <c r="B54" i="6"/>
  <c r="B62" i="6"/>
  <c r="B45" i="6"/>
  <c r="B47" i="6"/>
  <c r="B49" i="6"/>
  <c r="G24" i="5"/>
  <c r="B63" i="6"/>
  <c r="G31" i="5"/>
  <c r="B48" i="6"/>
  <c r="B39" i="6"/>
  <c r="B53" i="6"/>
  <c r="B66" i="6"/>
  <c r="B65" i="6"/>
  <c r="B52" i="6"/>
  <c r="B46" i="6"/>
  <c r="B43" i="6"/>
  <c r="G21" i="5"/>
  <c r="B42" i="6"/>
  <c r="B64" i="6"/>
  <c r="G27" i="5"/>
  <c r="G30" i="5"/>
  <c r="H10" i="4" l="1"/>
  <c r="G11" i="4"/>
  <c r="G12" i="4" l="1"/>
  <c r="H11" i="4"/>
  <c r="H12" i="4" l="1"/>
  <c r="G13" i="4"/>
  <c r="H13" i="4" l="1"/>
  <c r="G14" i="4"/>
  <c r="H14" i="4" l="1"/>
  <c r="G15" i="4"/>
  <c r="G16" i="4" l="1"/>
  <c r="H15" i="4"/>
  <c r="H16" i="4" l="1"/>
  <c r="G17" i="4"/>
  <c r="H17" i="4" l="1"/>
  <c r="G18" i="4"/>
  <c r="G19" i="4" l="1"/>
  <c r="H18" i="4"/>
  <c r="G20" i="4" l="1"/>
  <c r="H19" i="4"/>
  <c r="G21" i="4" l="1"/>
  <c r="H20" i="4"/>
  <c r="G22" i="4" l="1"/>
  <c r="H21" i="4"/>
  <c r="H22" i="4" l="1"/>
  <c r="G23" i="4"/>
  <c r="H23" i="4" l="1"/>
  <c r="G24" i="4"/>
  <c r="G25" i="4" l="1"/>
  <c r="H24" i="4"/>
  <c r="G26" i="4" l="1"/>
  <c r="H25" i="4"/>
  <c r="H26" i="4" l="1"/>
  <c r="G27" i="4"/>
  <c r="G28" i="4" l="1"/>
  <c r="H27" i="4"/>
  <c r="H28" i="4" l="1"/>
  <c r="G29" i="4"/>
  <c r="G30" i="4" l="1"/>
  <c r="H29" i="4"/>
  <c r="H30" i="4" l="1"/>
  <c r="G31" i="4"/>
  <c r="G32" i="4" l="1"/>
  <c r="H31" i="4"/>
  <c r="H32" i="4" l="1"/>
  <c r="G33" i="4"/>
  <c r="H33" i="4" l="1"/>
  <c r="G34" i="4"/>
  <c r="G35" i="4" l="1"/>
  <c r="H34" i="4"/>
  <c r="G36" i="4" l="1"/>
  <c r="H35" i="4"/>
  <c r="H36" i="4" l="1"/>
  <c r="G37" i="4"/>
  <c r="G38" i="4" l="1"/>
  <c r="H37" i="4"/>
  <c r="G39" i="4" l="1"/>
  <c r="H38" i="4"/>
  <c r="G40" i="4" l="1"/>
  <c r="H39" i="4"/>
  <c r="H40" i="4" l="1"/>
  <c r="G41" i="4"/>
  <c r="G42" i="4" l="1"/>
  <c r="H41" i="4"/>
  <c r="H42" i="4" l="1"/>
  <c r="G43" i="4"/>
  <c r="H43" i="4" l="1"/>
  <c r="G44" i="4"/>
  <c r="G45" i="4" l="1"/>
  <c r="H44" i="4"/>
  <c r="H45" i="4" l="1"/>
  <c r="G46" i="4"/>
  <c r="H46" i="4" l="1"/>
  <c r="G47" i="4"/>
  <c r="G48" i="4" l="1"/>
  <c r="H47" i="4"/>
  <c r="G49" i="4" l="1"/>
  <c r="H48" i="4"/>
  <c r="G50" i="4" l="1"/>
  <c r="H49" i="4"/>
  <c r="H50" i="4" l="1"/>
  <c r="G51" i="4"/>
  <c r="G52" i="4" l="1"/>
  <c r="H51" i="4"/>
  <c r="H52" i="4" l="1"/>
  <c r="G53" i="4"/>
  <c r="G54" i="4" l="1"/>
  <c r="H53" i="4"/>
  <c r="H54" i="4" l="1"/>
  <c r="G55" i="4"/>
  <c r="G56" i="4" l="1"/>
  <c r="H55" i="4"/>
  <c r="H56" i="4" l="1"/>
  <c r="G57" i="4"/>
  <c r="H57" i="4" l="1"/>
  <c r="G58" i="4"/>
  <c r="G59" i="4" l="1"/>
  <c r="H58" i="4"/>
  <c r="G60" i="4" l="1"/>
  <c r="H59" i="4"/>
  <c r="H60" i="4" l="1"/>
  <c r="G61" i="4"/>
  <c r="H61" i="4" l="1"/>
  <c r="G62" i="4"/>
  <c r="H62" i="4" l="1"/>
  <c r="G63" i="4"/>
  <c r="G64" i="4" l="1"/>
  <c r="H63" i="4"/>
  <c r="G65" i="4" l="1"/>
  <c r="H64" i="4"/>
  <c r="H65" i="4" l="1"/>
  <c r="G66" i="4"/>
  <c r="G67" i="4" l="1"/>
  <c r="H66" i="4"/>
  <c r="G68" i="4" l="1"/>
  <c r="H67" i="4"/>
  <c r="H68" i="4" l="1"/>
  <c r="G69" i="4"/>
  <c r="H69" i="4" l="1"/>
  <c r="G70" i="4"/>
  <c r="H70" i="4" l="1"/>
  <c r="G71" i="4"/>
  <c r="G72" i="4" l="1"/>
  <c r="H71" i="4"/>
  <c r="H72" i="4" l="1"/>
  <c r="G73" i="4"/>
  <c r="H73" i="4" l="1"/>
  <c r="G74" i="4"/>
  <c r="H74" i="4" l="1"/>
  <c r="G75" i="4"/>
  <c r="G76" i="4" l="1"/>
  <c r="H75" i="4"/>
  <c r="G77" i="4" l="1"/>
  <c r="H76" i="4"/>
  <c r="H77" i="4" l="1"/>
  <c r="G78" i="4"/>
  <c r="G79" i="4" l="1"/>
  <c r="H78" i="4"/>
  <c r="H79" i="4" l="1"/>
  <c r="G80" i="4"/>
  <c r="G81" i="4" l="1"/>
  <c r="H80" i="4"/>
  <c r="H81" i="4" l="1"/>
  <c r="G82" i="4"/>
  <c r="G83" i="4" l="1"/>
  <c r="H82" i="4"/>
  <c r="H83" i="4" l="1"/>
  <c r="G84" i="4"/>
  <c r="H84" i="4" l="1"/>
  <c r="G85" i="4"/>
  <c r="H85" i="4" l="1"/>
  <c r="G86" i="4"/>
  <c r="G87" i="4" l="1"/>
  <c r="H86" i="4"/>
  <c r="G88" i="4" l="1"/>
  <c r="H87" i="4"/>
  <c r="H88" i="4" l="1"/>
  <c r="G89" i="4"/>
  <c r="H89" i="4" l="1"/>
  <c r="G90" i="4"/>
  <c r="H90" i="4" l="1"/>
  <c r="G91" i="4"/>
  <c r="H91" i="4" l="1"/>
  <c r="G92" i="4"/>
  <c r="G93" i="4" l="1"/>
  <c r="H92" i="4"/>
  <c r="G94" i="4" l="1"/>
  <c r="H93" i="4"/>
  <c r="H94" i="4" l="1"/>
  <c r="G95" i="4"/>
  <c r="G96" i="4" l="1"/>
  <c r="H95" i="4"/>
  <c r="G97" i="4" l="1"/>
  <c r="H96" i="4"/>
  <c r="H97" i="4" l="1"/>
  <c r="G98" i="4"/>
  <c r="H98" i="4" l="1"/>
  <c r="G99" i="4"/>
  <c r="H99" i="4" l="1"/>
  <c r="G100" i="4"/>
  <c r="G101" i="4" l="1"/>
  <c r="H100" i="4"/>
  <c r="G102" i="4" l="1"/>
  <c r="H101" i="4"/>
  <c r="H102" i="4" l="1"/>
  <c r="G103" i="4"/>
  <c r="H103" i="4" l="1"/>
  <c r="G104" i="4"/>
  <c r="G105" i="4" l="1"/>
  <c r="H104" i="4"/>
  <c r="G106" i="4" l="1"/>
  <c r="H105" i="4"/>
  <c r="H106" i="4" l="1"/>
  <c r="G107" i="4"/>
  <c r="H107" i="4" l="1"/>
  <c r="G108" i="4"/>
  <c r="G109" i="4" l="1"/>
  <c r="H108" i="4"/>
  <c r="H109" i="4" l="1"/>
  <c r="G110" i="4"/>
  <c r="G111" i="4" l="1"/>
  <c r="H110" i="4"/>
  <c r="G112" i="4" l="1"/>
  <c r="H111" i="4"/>
  <c r="H112" i="4" l="1"/>
  <c r="G113" i="4"/>
  <c r="G114" i="4" l="1"/>
  <c r="H113" i="4"/>
  <c r="G115" i="4" l="1"/>
  <c r="H114" i="4"/>
  <c r="H115" i="4" l="1"/>
  <c r="G116" i="4"/>
  <c r="H116" i="4" l="1"/>
  <c r="G117" i="4"/>
  <c r="H117" i="4" l="1"/>
  <c r="G118" i="4"/>
  <c r="G119" i="4" l="1"/>
  <c r="H118" i="4"/>
  <c r="H119" i="4" l="1"/>
  <c r="G120" i="4"/>
  <c r="H120" i="4" l="1"/>
  <c r="G121" i="4"/>
  <c r="G122" i="4" l="1"/>
  <c r="H121" i="4"/>
  <c r="G123" i="4" l="1"/>
  <c r="H122" i="4"/>
  <c r="H123" i="4" l="1"/>
  <c r="G124" i="4"/>
  <c r="G125" i="4" l="1"/>
  <c r="H124" i="4"/>
  <c r="G126" i="4" l="1"/>
  <c r="H125" i="4"/>
  <c r="G127" i="4" l="1"/>
  <c r="H126" i="4"/>
  <c r="G128" i="4" l="1"/>
  <c r="H127" i="4"/>
  <c r="G129" i="4" l="1"/>
  <c r="H128" i="4"/>
  <c r="H129" i="4" l="1"/>
  <c r="G130" i="4"/>
  <c r="G131" i="4" l="1"/>
  <c r="H130" i="4"/>
  <c r="G132" i="4" l="1"/>
  <c r="H131" i="4"/>
  <c r="G133" i="4" l="1"/>
  <c r="H132" i="4"/>
  <c r="G134" i="4" l="1"/>
  <c r="H133" i="4"/>
  <c r="G135" i="4" l="1"/>
  <c r="H134" i="4"/>
  <c r="H135" i="4" l="1"/>
  <c r="G136" i="4"/>
  <c r="H136" i="4" l="1"/>
  <c r="G137" i="4"/>
  <c r="G138" i="4" l="1"/>
  <c r="H137" i="4"/>
  <c r="G139" i="4" l="1"/>
  <c r="H138" i="4"/>
  <c r="H139" i="4" l="1"/>
  <c r="G140" i="4"/>
  <c r="G141" i="4" l="1"/>
  <c r="H140" i="4"/>
  <c r="G142" i="4" l="1"/>
  <c r="H141" i="4"/>
  <c r="H142" i="4" l="1"/>
  <c r="G143" i="4"/>
  <c r="G144" i="4" l="1"/>
  <c r="H143" i="4"/>
  <c r="H144" i="4" l="1"/>
  <c r="G145" i="4"/>
  <c r="H145" i="4" l="1"/>
  <c r="G146" i="4"/>
  <c r="G147" i="4" l="1"/>
  <c r="H146" i="4"/>
  <c r="H147" i="4" l="1"/>
  <c r="G148" i="4"/>
  <c r="G149" i="4" l="1"/>
  <c r="H148" i="4"/>
  <c r="H149" i="4" l="1"/>
  <c r="G150" i="4"/>
  <c r="H150" i="4" l="1"/>
  <c r="G151" i="4"/>
  <c r="G152" i="4" l="1"/>
  <c r="H151" i="4"/>
  <c r="H152" i="4" l="1"/>
  <c r="G153" i="4"/>
  <c r="H153" i="4" l="1"/>
  <c r="G154" i="4"/>
  <c r="H154" i="4" l="1"/>
  <c r="G155" i="4"/>
  <c r="G156" i="4" l="1"/>
  <c r="H155" i="4"/>
  <c r="H156" i="4" l="1"/>
  <c r="G157" i="4"/>
  <c r="G158" i="4" l="1"/>
  <c r="H157" i="4"/>
  <c r="G159" i="4" l="1"/>
  <c r="H158" i="4"/>
  <c r="H159" i="4" l="1"/>
  <c r="G160" i="4"/>
  <c r="G161" i="4" l="1"/>
  <c r="H160" i="4"/>
  <c r="H161" i="4" l="1"/>
  <c r="G162" i="4"/>
  <c r="G163" i="4" l="1"/>
  <c r="H162" i="4"/>
  <c r="H163" i="4" l="1"/>
  <c r="G164" i="4"/>
  <c r="H164" i="4" l="1"/>
  <c r="G165" i="4"/>
  <c r="G166" i="4" l="1"/>
  <c r="H165" i="4"/>
  <c r="G167" i="4" l="1"/>
  <c r="H166" i="4"/>
  <c r="H167" i="4" l="1"/>
  <c r="G168" i="4"/>
  <c r="G169" i="4" l="1"/>
  <c r="H168" i="4"/>
  <c r="H169" i="4" l="1"/>
  <c r="G170" i="4"/>
  <c r="H170" i="4" l="1"/>
  <c r="G171" i="4"/>
  <c r="G172" i="4" l="1"/>
  <c r="H171" i="4"/>
  <c r="G173" i="4" l="1"/>
  <c r="H172" i="4"/>
  <c r="H173" i="4" l="1"/>
  <c r="G174" i="4"/>
  <c r="G175" i="4" l="1"/>
  <c r="H174" i="4"/>
  <c r="G176" i="4" l="1"/>
  <c r="H175" i="4"/>
  <c r="H176" i="4" l="1"/>
  <c r="G177" i="4"/>
  <c r="G178" i="4" l="1"/>
  <c r="H177" i="4"/>
  <c r="H178" i="4" l="1"/>
  <c r="G179" i="4"/>
  <c r="G180" i="4" l="1"/>
  <c r="H179" i="4"/>
  <c r="G181" i="4" l="1"/>
  <c r="H180" i="4"/>
  <c r="G182" i="4" l="1"/>
  <c r="H181" i="4"/>
  <c r="H182" i="4" l="1"/>
  <c r="G183" i="4"/>
  <c r="H183" i="4" l="1"/>
  <c r="G184" i="4"/>
  <c r="G185" i="4" l="1"/>
  <c r="H184" i="4"/>
  <c r="H185" i="4" l="1"/>
  <c r="G186" i="4"/>
  <c r="G187" i="4" l="1"/>
  <c r="H186" i="4"/>
  <c r="H187" i="4" l="1"/>
  <c r="G188" i="4"/>
  <c r="G189" i="4" l="1"/>
  <c r="H188" i="4"/>
  <c r="H189" i="4" l="1"/>
  <c r="G190" i="4"/>
  <c r="G191" i="4" l="1"/>
  <c r="H190" i="4"/>
  <c r="H191" i="4" l="1"/>
  <c r="G192" i="4"/>
  <c r="G193" i="4" l="1"/>
  <c r="H192" i="4"/>
  <c r="G194" i="4" l="1"/>
  <c r="H193" i="4"/>
  <c r="H194" i="4" l="1"/>
  <c r="G195" i="4"/>
  <c r="G196" i="4" l="1"/>
  <c r="H195" i="4"/>
  <c r="H196" i="4" l="1"/>
  <c r="G197" i="4"/>
  <c r="G198" i="4" l="1"/>
  <c r="H197" i="4"/>
  <c r="H198" i="4" l="1"/>
  <c r="G199" i="4"/>
  <c r="G200" i="4" l="1"/>
  <c r="H199" i="4"/>
  <c r="G201" i="4" l="1"/>
  <c r="H200" i="4"/>
  <c r="H201" i="4" l="1"/>
  <c r="G202" i="4"/>
  <c r="G203" i="4" l="1"/>
  <c r="H202" i="4"/>
  <c r="G204" i="4" l="1"/>
  <c r="H203" i="4"/>
  <c r="G205" i="4" l="1"/>
  <c r="H204" i="4"/>
  <c r="H205" i="4" l="1"/>
  <c r="G206" i="4"/>
  <c r="G207" i="4" l="1"/>
  <c r="H206" i="4"/>
  <c r="H207" i="4" l="1"/>
  <c r="G208" i="4"/>
  <c r="H208" i="4" l="1"/>
  <c r="G209" i="4"/>
  <c r="G210" i="4" l="1"/>
  <c r="H209" i="4"/>
  <c r="H210" i="4" l="1"/>
  <c r="G211" i="4"/>
  <c r="H211" i="4" l="1"/>
  <c r="G212" i="4"/>
  <c r="H212" i="4" l="1"/>
  <c r="G213" i="4"/>
  <c r="G214" i="4" l="1"/>
  <c r="H213" i="4"/>
  <c r="H214" i="4" l="1"/>
  <c r="G215" i="4"/>
  <c r="H215" i="4" l="1"/>
  <c r="G216" i="4"/>
  <c r="G217" i="4" l="1"/>
  <c r="H216" i="4"/>
  <c r="G218" i="4" l="1"/>
  <c r="H217" i="4"/>
  <c r="G219" i="4" l="1"/>
  <c r="H218" i="4"/>
  <c r="G220" i="4" l="1"/>
  <c r="H219" i="4"/>
  <c r="H220" i="4" l="1"/>
  <c r="G221" i="4"/>
  <c r="H221" i="4" l="1"/>
  <c r="G222" i="4"/>
  <c r="G223" i="4" l="1"/>
  <c r="H222" i="4"/>
  <c r="H223" i="4" l="1"/>
  <c r="G224" i="4"/>
  <c r="H224" i="4" l="1"/>
  <c r="G225" i="4"/>
  <c r="H225" i="4" l="1"/>
  <c r="G226" i="4"/>
  <c r="G227" i="4" l="1"/>
  <c r="H226" i="4"/>
  <c r="G228" i="4" l="1"/>
  <c r="H227" i="4"/>
  <c r="H228" i="4" l="1"/>
  <c r="G229" i="4"/>
  <c r="G230" i="4" l="1"/>
  <c r="H229" i="4"/>
  <c r="G231" i="4" l="1"/>
  <c r="H230" i="4"/>
  <c r="H231" i="4" l="1"/>
  <c r="G232" i="4"/>
  <c r="H232" i="4" l="1"/>
  <c r="G233" i="4"/>
  <c r="H233" i="4" l="1"/>
  <c r="G234" i="4"/>
  <c r="H234" i="4" l="1"/>
  <c r="G235" i="4"/>
  <c r="G236" i="4" l="1"/>
  <c r="H235" i="4"/>
  <c r="H236" i="4" l="1"/>
  <c r="G237" i="4"/>
  <c r="H237" i="4" l="1"/>
  <c r="G238" i="4"/>
  <c r="G239" i="4" l="1"/>
  <c r="H238" i="4"/>
  <c r="H239" i="4" l="1"/>
  <c r="G240" i="4"/>
  <c r="G241" i="4" l="1"/>
  <c r="H240" i="4"/>
  <c r="G242" i="4" l="1"/>
  <c r="H241" i="4"/>
  <c r="H242" i="4" l="1"/>
  <c r="G243" i="4"/>
  <c r="H243" i="4" l="1"/>
  <c r="G244" i="4"/>
  <c r="G245" i="4" l="1"/>
  <c r="H244" i="4"/>
  <c r="H245" i="4" l="1"/>
  <c r="G246" i="4"/>
  <c r="G247" i="4" l="1"/>
  <c r="H246" i="4"/>
  <c r="H247" i="4" l="1"/>
  <c r="G248" i="4"/>
  <c r="G249" i="4" l="1"/>
  <c r="H248" i="4"/>
  <c r="G250" i="4" l="1"/>
  <c r="H249" i="4"/>
  <c r="G251" i="4" l="1"/>
  <c r="H250" i="4"/>
  <c r="G252" i="4" l="1"/>
  <c r="H251" i="4"/>
  <c r="G253" i="4" l="1"/>
  <c r="H252" i="4"/>
  <c r="H253" i="4" l="1"/>
  <c r="G254" i="4"/>
  <c r="G255" i="4" l="1"/>
  <c r="H254" i="4"/>
  <c r="G256" i="4" l="1"/>
  <c r="H255" i="4"/>
  <c r="G257" i="4" l="1"/>
  <c r="H256" i="4"/>
  <c r="H257" i="4" l="1"/>
  <c r="G258" i="4"/>
  <c r="H258" i="4" l="1"/>
  <c r="G259" i="4"/>
  <c r="G260" i="4" l="1"/>
  <c r="H259" i="4"/>
  <c r="G261" i="4" l="1"/>
  <c r="H260" i="4"/>
  <c r="G262" i="4" l="1"/>
  <c r="H261" i="4"/>
  <c r="G263" i="4" l="1"/>
  <c r="H262" i="4"/>
  <c r="G264" i="4" l="1"/>
  <c r="H263" i="4"/>
  <c r="H264" i="4" l="1"/>
  <c r="G265" i="4"/>
  <c r="H265" i="4" l="1"/>
  <c r="G266" i="4"/>
  <c r="H266" i="4" l="1"/>
  <c r="G267" i="4"/>
  <c r="G268" i="4" l="1"/>
  <c r="H267" i="4"/>
  <c r="H268" i="4" l="1"/>
  <c r="G269" i="4"/>
  <c r="G270" i="4" l="1"/>
  <c r="H269" i="4"/>
  <c r="H270" i="4" l="1"/>
  <c r="G271" i="4"/>
  <c r="G272" i="4" l="1"/>
  <c r="H271" i="4"/>
  <c r="H272" i="4" l="1"/>
  <c r="G273" i="4"/>
  <c r="H273" i="4" l="1"/>
  <c r="G274" i="4"/>
  <c r="H274" i="4" l="1"/>
  <c r="G275" i="4"/>
  <c r="H275" i="4" l="1"/>
  <c r="G276" i="4"/>
  <c r="G277" i="4" l="1"/>
  <c r="H276" i="4"/>
  <c r="H277" i="4" l="1"/>
  <c r="G278" i="4"/>
  <c r="G279" i="4" l="1"/>
  <c r="H278" i="4"/>
  <c r="H279" i="4" l="1"/>
  <c r="G280" i="4"/>
  <c r="H280" i="4" l="1"/>
  <c r="G281" i="4"/>
  <c r="G282" i="4" l="1"/>
  <c r="H281" i="4"/>
  <c r="G283" i="4" l="1"/>
  <c r="H282" i="4"/>
  <c r="G284" i="4" l="1"/>
  <c r="H283" i="4"/>
  <c r="H284" i="4" l="1"/>
  <c r="G285" i="4"/>
  <c r="G286" i="4" l="1"/>
  <c r="H285" i="4"/>
  <c r="G287" i="4" l="1"/>
  <c r="H286" i="4"/>
  <c r="G288" i="4" l="1"/>
  <c r="H287" i="4"/>
  <c r="H288" i="4" l="1"/>
  <c r="G289" i="4"/>
  <c r="G290" i="4" l="1"/>
  <c r="H289" i="4"/>
  <c r="H290" i="4" l="1"/>
  <c r="G291" i="4"/>
  <c r="H291" i="4" l="1"/>
  <c r="G292" i="4"/>
  <c r="H292" i="4" l="1"/>
  <c r="G293" i="4"/>
  <c r="G294" i="4" l="1"/>
  <c r="H293" i="4"/>
  <c r="H294" i="4" l="1"/>
  <c r="G295" i="4"/>
  <c r="H295" i="4" l="1"/>
  <c r="G296" i="4"/>
  <c r="G297" i="4" l="1"/>
  <c r="H296" i="4"/>
  <c r="G298" i="4" l="1"/>
  <c r="H297" i="4"/>
  <c r="H298" i="4" l="1"/>
  <c r="G299" i="4"/>
  <c r="H299" i="4" l="1"/>
  <c r="G300" i="4"/>
  <c r="H300" i="4" l="1"/>
  <c r="G301" i="4"/>
  <c r="H301" i="4" l="1"/>
  <c r="G302" i="4"/>
  <c r="G303" i="4" l="1"/>
  <c r="H302" i="4"/>
  <c r="G304" i="4" l="1"/>
  <c r="H303" i="4"/>
  <c r="H304" i="4" l="1"/>
  <c r="G305" i="4"/>
  <c r="G306" i="4" l="1"/>
  <c r="H305" i="4"/>
  <c r="H306" i="4" l="1"/>
  <c r="G307" i="4"/>
  <c r="H307" i="4" l="1"/>
  <c r="G308" i="4"/>
  <c r="G309" i="4" l="1"/>
  <c r="H308" i="4"/>
  <c r="H309" i="4" l="1"/>
  <c r="G310" i="4"/>
  <c r="H310" i="4" l="1"/>
  <c r="G311" i="4"/>
  <c r="G312" i="4" l="1"/>
  <c r="H311" i="4"/>
  <c r="H312" i="4" l="1"/>
  <c r="G313" i="4"/>
  <c r="H313" i="4" l="1"/>
  <c r="G314" i="4"/>
  <c r="H314" i="4" l="1"/>
  <c r="G315" i="4"/>
  <c r="H315" i="4" l="1"/>
  <c r="G316" i="4"/>
  <c r="G317" i="4" l="1"/>
  <c r="H316" i="4"/>
  <c r="H317" i="4" l="1"/>
  <c r="G318" i="4"/>
  <c r="G319" i="4" l="1"/>
  <c r="H318" i="4"/>
  <c r="G320" i="4" l="1"/>
  <c r="H319" i="4"/>
  <c r="H320" i="4" l="1"/>
  <c r="G321" i="4"/>
  <c r="G322" i="4" l="1"/>
  <c r="H321" i="4"/>
  <c r="H322" i="4" l="1"/>
  <c r="G323" i="4"/>
  <c r="H323" i="4" l="1"/>
  <c r="G324" i="4"/>
  <c r="H324" i="4" l="1"/>
  <c r="G325" i="4"/>
  <c r="H325" i="4" l="1"/>
  <c r="G326" i="4"/>
  <c r="G327" i="4" l="1"/>
  <c r="H326" i="4"/>
  <c r="H327" i="4" l="1"/>
  <c r="G328" i="4"/>
  <c r="G329" i="4" l="1"/>
  <c r="H328" i="4"/>
  <c r="H329" i="4" l="1"/>
  <c r="G330" i="4"/>
  <c r="G331" i="4" l="1"/>
  <c r="H330" i="4"/>
  <c r="H331" i="4" l="1"/>
  <c r="G332" i="4"/>
  <c r="H332" i="4" l="1"/>
  <c r="G333" i="4"/>
  <c r="H333" i="4" l="1"/>
  <c r="G334" i="4"/>
  <c r="G335" i="4" l="1"/>
  <c r="H334" i="4"/>
  <c r="H335" i="4" l="1"/>
  <c r="G336" i="4"/>
  <c r="H336" i="4" l="1"/>
  <c r="G337" i="4"/>
  <c r="H337" i="4" l="1"/>
  <c r="G338" i="4"/>
  <c r="G339" i="4" l="1"/>
  <c r="H338" i="4"/>
  <c r="H339" i="4" l="1"/>
  <c r="G340" i="4"/>
  <c r="G341" i="4" l="1"/>
  <c r="H340" i="4"/>
  <c r="G342" i="4" l="1"/>
  <c r="H341" i="4"/>
  <c r="G343" i="4" l="1"/>
  <c r="H342" i="4"/>
  <c r="H343" i="4" l="1"/>
  <c r="G344" i="4"/>
  <c r="G345" i="4" l="1"/>
  <c r="H344" i="4"/>
  <c r="H345" i="4" l="1"/>
  <c r="G346" i="4"/>
  <c r="G347" i="4" l="1"/>
  <c r="H346" i="4"/>
  <c r="G348" i="4" l="1"/>
  <c r="H347" i="4"/>
  <c r="G349" i="4" l="1"/>
  <c r="H348" i="4"/>
  <c r="H349" i="4" l="1"/>
  <c r="G350" i="4"/>
  <c r="G351" i="4" l="1"/>
  <c r="H350" i="4"/>
  <c r="H351" i="4" l="1"/>
  <c r="G352" i="4"/>
  <c r="H352" i="4" l="1"/>
  <c r="G353" i="4"/>
  <c r="G354" i="4" l="1"/>
  <c r="H353" i="4"/>
  <c r="H354" i="4" l="1"/>
  <c r="G355" i="4"/>
  <c r="G356" i="4" l="1"/>
  <c r="H355" i="4"/>
  <c r="G357" i="4" l="1"/>
  <c r="H356" i="4"/>
  <c r="G358" i="4" l="1"/>
  <c r="H357" i="4"/>
  <c r="H358" i="4" l="1"/>
  <c r="G359" i="4"/>
  <c r="G360" i="4" l="1"/>
  <c r="H359" i="4"/>
  <c r="H360" i="4" l="1"/>
  <c r="G361" i="4"/>
  <c r="H361" i="4" l="1"/>
  <c r="G362" i="4"/>
  <c r="G363" i="4" l="1"/>
  <c r="H362" i="4"/>
  <c r="G364" i="4" l="1"/>
  <c r="H363" i="4"/>
  <c r="G365" i="4" l="1"/>
  <c r="H364" i="4"/>
  <c r="H365" i="4" l="1"/>
  <c r="G366" i="4"/>
  <c r="G367" i="4" l="1"/>
  <c r="H366" i="4"/>
  <c r="H367" i="4" l="1"/>
  <c r="G368" i="4"/>
  <c r="G369" i="4" l="1"/>
  <c r="H368" i="4"/>
  <c r="G370" i="4" l="1"/>
  <c r="H369" i="4"/>
  <c r="G371" i="4" l="1"/>
  <c r="H370" i="4"/>
  <c r="H371" i="4" l="1"/>
  <c r="G372" i="4"/>
  <c r="H372" i="4" l="1"/>
  <c r="G373" i="4"/>
  <c r="H373" i="4" l="1"/>
  <c r="G374" i="4"/>
  <c r="G375" i="4" l="1"/>
  <c r="H374" i="4"/>
  <c r="H375" i="4" l="1"/>
  <c r="G376" i="4"/>
  <c r="H376" i="4" l="1"/>
  <c r="G377" i="4"/>
  <c r="G378" i="4" l="1"/>
  <c r="H377" i="4"/>
  <c r="G379" i="4" l="1"/>
  <c r="H378" i="4"/>
  <c r="G380" i="4" l="1"/>
  <c r="H379" i="4"/>
  <c r="H380" i="4" l="1"/>
  <c r="G381" i="4"/>
  <c r="G382" i="4" l="1"/>
  <c r="H381" i="4"/>
  <c r="G383" i="4" l="1"/>
  <c r="H382" i="4"/>
  <c r="G384" i="4" l="1"/>
  <c r="H383" i="4"/>
  <c r="H384" i="4" l="1"/>
  <c r="G385" i="4"/>
  <c r="H385" i="4" l="1"/>
  <c r="G386" i="4"/>
  <c r="G387" i="4" l="1"/>
  <c r="H386" i="4"/>
  <c r="G388" i="4" l="1"/>
  <c r="H387" i="4"/>
  <c r="H388" i="4" l="1"/>
  <c r="G389" i="4"/>
  <c r="G390" i="4" l="1"/>
  <c r="H389" i="4"/>
  <c r="H390" i="4" l="1"/>
  <c r="G391" i="4"/>
  <c r="G392" i="4" l="1"/>
  <c r="H391" i="4"/>
  <c r="H392" i="4" l="1"/>
  <c r="G393" i="4"/>
  <c r="H393" i="4" l="1"/>
  <c r="G394" i="4"/>
  <c r="H394" i="4" l="1"/>
  <c r="G395" i="4"/>
  <c r="G396" i="4" l="1"/>
  <c r="H395" i="4"/>
  <c r="H396" i="4" l="1"/>
  <c r="G397" i="4"/>
  <c r="H397" i="4" l="1"/>
  <c r="G398" i="4"/>
  <c r="G399" i="4" l="1"/>
  <c r="H398" i="4"/>
  <c r="G400" i="4" l="1"/>
  <c r="H399" i="4"/>
  <c r="G401" i="4" l="1"/>
  <c r="H400" i="4"/>
  <c r="H401" i="4" l="1"/>
  <c r="G402" i="4"/>
  <c r="H402" i="4" l="1"/>
  <c r="G403" i="4"/>
  <c r="G404" i="4" l="1"/>
  <c r="H403" i="4"/>
  <c r="G405" i="4" l="1"/>
  <c r="H404" i="4"/>
  <c r="H405" i="4" l="1"/>
  <c r="G406" i="4"/>
  <c r="H406" i="4" l="1"/>
  <c r="G407" i="4"/>
  <c r="H407" i="4" l="1"/>
  <c r="G408" i="4"/>
  <c r="G409" i="4" l="1"/>
  <c r="H408" i="4"/>
  <c r="G410" i="4" l="1"/>
  <c r="H409" i="4"/>
  <c r="H410" i="4" l="1"/>
  <c r="G411" i="4"/>
  <c r="H411" i="4" l="1"/>
  <c r="G412" i="4"/>
  <c r="H412" i="4" l="1"/>
  <c r="G413" i="4"/>
  <c r="G414" i="4" l="1"/>
  <c r="H413" i="4"/>
  <c r="G415" i="4" l="1"/>
  <c r="H414" i="4"/>
  <c r="H415" i="4" l="1"/>
  <c r="G416" i="4"/>
  <c r="G417" i="4" l="1"/>
  <c r="H416" i="4"/>
  <c r="G418" i="4" l="1"/>
  <c r="H417" i="4"/>
  <c r="G419" i="4" l="1"/>
  <c r="H418" i="4"/>
  <c r="G420" i="4" l="1"/>
  <c r="H419" i="4"/>
  <c r="H420" i="4" l="1"/>
  <c r="G421" i="4"/>
  <c r="H421" i="4" l="1"/>
  <c r="G422" i="4"/>
  <c r="H422" i="4" l="1"/>
  <c r="G423" i="4"/>
  <c r="H423" i="4" l="1"/>
  <c r="G424" i="4"/>
  <c r="H424" i="4" l="1"/>
  <c r="G425" i="4"/>
  <c r="H425" i="4" l="1"/>
  <c r="G426" i="4"/>
  <c r="G427" i="4" l="1"/>
  <c r="H426" i="4"/>
  <c r="H427" i="4" l="1"/>
  <c r="G428" i="4"/>
  <c r="G429" i="4" l="1"/>
  <c r="H428" i="4"/>
  <c r="H429" i="4" l="1"/>
  <c r="G430" i="4"/>
  <c r="H430" i="4" l="1"/>
  <c r="G431" i="4"/>
  <c r="G432" i="4" l="1"/>
  <c r="H431" i="4"/>
  <c r="G433" i="4" l="1"/>
  <c r="H432" i="4"/>
  <c r="G434" i="4" l="1"/>
  <c r="H433" i="4"/>
  <c r="G435" i="4" l="1"/>
  <c r="H434" i="4"/>
  <c r="G436" i="4" l="1"/>
  <c r="H435" i="4"/>
  <c r="H436" i="4" l="1"/>
  <c r="G437" i="4"/>
  <c r="G438" i="4" l="1"/>
  <c r="H437" i="4"/>
  <c r="H438" i="4" l="1"/>
  <c r="G439" i="4"/>
  <c r="H439" i="4" l="1"/>
  <c r="G440" i="4"/>
  <c r="G441" i="4" l="1"/>
  <c r="H440" i="4"/>
  <c r="G442" i="4" l="1"/>
  <c r="H441" i="4"/>
  <c r="H442" i="4" l="1"/>
  <c r="G443" i="4"/>
  <c r="H443" i="4" l="1"/>
  <c r="G444" i="4"/>
  <c r="H444" i="4" l="1"/>
  <c r="G445" i="4"/>
  <c r="G446" i="4" l="1"/>
  <c r="H445" i="4"/>
  <c r="H446" i="4" l="1"/>
  <c r="G447" i="4"/>
  <c r="G448" i="4" l="1"/>
  <c r="H447" i="4"/>
  <c r="H448" i="4" l="1"/>
  <c r="G449" i="4"/>
  <c r="G450" i="4" l="1"/>
  <c r="H449" i="4"/>
  <c r="H450" i="4" l="1"/>
  <c r="G451" i="4"/>
  <c r="H451" i="4" l="1"/>
  <c r="G452" i="4"/>
  <c r="G453" i="4" l="1"/>
  <c r="H452" i="4"/>
  <c r="H453" i="4" l="1"/>
  <c r="G454" i="4"/>
  <c r="G455" i="4" l="1"/>
  <c r="H454" i="4"/>
  <c r="G456" i="4" l="1"/>
  <c r="H455" i="4"/>
  <c r="G457" i="4" l="1"/>
  <c r="H456" i="4"/>
  <c r="H457" i="4" l="1"/>
  <c r="G458" i="4"/>
  <c r="H458" i="4" l="1"/>
  <c r="G459" i="4"/>
  <c r="G460" i="4" l="1"/>
  <c r="H459" i="4"/>
  <c r="H460" i="4" l="1"/>
  <c r="G461" i="4"/>
  <c r="G462" i="4" l="1"/>
  <c r="H461" i="4"/>
  <c r="H462" i="4" l="1"/>
  <c r="G463" i="4"/>
  <c r="G464" i="4" l="1"/>
  <c r="H463" i="4"/>
  <c r="G465" i="4" l="1"/>
  <c r="H464" i="4"/>
  <c r="G466" i="4" l="1"/>
  <c r="H465" i="4"/>
  <c r="G467" i="4" l="1"/>
  <c r="H466" i="4"/>
  <c r="H467" i="4" l="1"/>
  <c r="G468" i="4"/>
  <c r="H468" i="4" l="1"/>
  <c r="G469" i="4"/>
  <c r="H469" i="4" l="1"/>
  <c r="G470" i="4"/>
  <c r="G471" i="4" l="1"/>
  <c r="H470" i="4"/>
  <c r="H471" i="4" l="1"/>
  <c r="G472" i="4"/>
  <c r="H472" i="4" l="1"/>
  <c r="G473" i="4"/>
  <c r="G474" i="4" l="1"/>
  <c r="H473" i="4"/>
  <c r="H474" i="4" l="1"/>
  <c r="G475" i="4"/>
  <c r="H475" i="4" l="1"/>
  <c r="G476" i="4"/>
  <c r="H476" i="4" l="1"/>
  <c r="G477" i="4"/>
  <c r="H477" i="4" l="1"/>
  <c r="G478" i="4"/>
  <c r="G479" i="4" l="1"/>
  <c r="H478" i="4"/>
  <c r="H479" i="4" l="1"/>
  <c r="G480" i="4"/>
  <c r="H480" i="4" l="1"/>
  <c r="G481" i="4"/>
  <c r="H481" i="4" l="1"/>
  <c r="G482" i="4"/>
  <c r="H482" i="4" l="1"/>
  <c r="G483" i="4"/>
  <c r="H483" i="4" l="1"/>
  <c r="G484" i="4"/>
  <c r="H484" i="4" l="1"/>
  <c r="G485" i="4"/>
  <c r="H485" i="4" l="1"/>
  <c r="G486" i="4"/>
  <c r="H486" i="4" s="1"/>
  <c r="B11" i="1" s="1"/>
  <c r="B12" i="1" s="1"/>
</calcChain>
</file>

<file path=xl/sharedStrings.xml><?xml version="1.0" encoding="utf-8"?>
<sst xmlns="http://schemas.openxmlformats.org/spreadsheetml/2006/main" count="85" uniqueCount="74">
  <si>
    <t>Refinance Break-Even Planner</t>
  </si>
  <si>
    <t>Current periodic repayment</t>
  </si>
  <si>
    <t>Proposed periodic repayment</t>
  </si>
  <si>
    <t>Monthly cash-flow difference</t>
  </si>
  <si>
    <t>Upfront switching costs</t>
  </si>
  <si>
    <t>First break-even month</t>
  </si>
  <si>
    <t>Estimated break-even date</t>
  </si>
  <si>
    <t>One-year cost difference</t>
  </si>
  <si>
    <t>Three-year cost difference</t>
  </si>
  <si>
    <t>Five-year cost difference</t>
  </si>
  <si>
    <t>Lifetime interest difference</t>
  </si>
  <si>
    <t>Lifetime fee difference</t>
  </si>
  <si>
    <t>Lifetime total cost difference</t>
  </si>
  <si>
    <t>Estimated differences under entered assumptions. Future rates, fees, repayment behaviour and terms can change results. First break-even may reverse for longer new terms. Cash-flow differences include principal; they are not net-worth savings.</t>
  </si>
  <si>
    <t>Calcy. Version 1.0.1. Reviewed 17 October 2026. General information, not personal financial advice. No macros, connections, personal data or tracking.</t>
  </si>
  <si>
    <t>Current Loan</t>
  </si>
  <si>
    <t>Remaining balance</t>
  </si>
  <si>
    <t>Same principal for both paths. Costs are cash-paid, not financed.</t>
  </si>
  <si>
    <t>Current annual rate</t>
  </si>
  <si>
    <t>Constant illustrative rate.</t>
  </si>
  <si>
    <t>Remaining term (years)</t>
  </si>
  <si>
    <t>Whole years 1–40.</t>
  </si>
  <si>
    <t>Repayment frequency</t>
  </si>
  <si>
    <t>monthly</t>
  </si>
  <si>
    <t>Monthly / fortnightly / weekly.</t>
  </si>
  <si>
    <t>Annual fees</t>
  </si>
  <si>
    <t>Combined annual account/package fees.</t>
  </si>
  <si>
    <t>Planned switching date</t>
  </si>
  <si>
    <t>Editable date used for estimated break-even date.</t>
  </si>
  <si>
    <t>Inputs valid</t>
  </si>
  <si>
    <t>Periods per year</t>
  </si>
  <si>
    <t>Required periodic repayment</t>
  </si>
  <si>
    <t>Monthly budget equivalent</t>
  </si>
  <si>
    <t>Proposed Loan</t>
  </si>
  <si>
    <t>Proposed annual rate</t>
  </si>
  <si>
    <t>Proposed term (years)</t>
  </si>
  <si>
    <t>Longer terms may lower payment but increase lifetime cost.</t>
  </si>
  <si>
    <t>Annualised to a monthly budget for cash-flow comparison.</t>
  </si>
  <si>
    <t>Application fee</t>
  </si>
  <si>
    <t>Cash-paid upfront.</t>
  </si>
  <si>
    <t>Valuation fee</t>
  </si>
  <si>
    <t>Quoted cost or zero.</t>
  </si>
  <si>
    <t>Legal fee</t>
  </si>
  <si>
    <t>Discharge fee</t>
  </si>
  <si>
    <t>Count existing-lender discharge once.</t>
  </si>
  <si>
    <t>Other switching costs</t>
  </si>
  <si>
    <t>Actual quoted break cost/LMI here if relevant; no automatic estimate.</t>
  </si>
  <si>
    <t>Annual/package fees</t>
  </si>
  <si>
    <t>Combined annual amount; avoid double counting.</t>
  </si>
  <si>
    <t>Break-Even Analysis</t>
  </si>
  <si>
    <t>Month</t>
  </si>
  <si>
    <t>Current repayment</t>
  </si>
  <si>
    <t>Current fees</t>
  </si>
  <si>
    <t>Proposed repayment</t>
  </si>
  <si>
    <t>Proposed fees</t>
  </si>
  <si>
    <t>Monthly difference</t>
  </si>
  <si>
    <t>Cumulative difference</t>
  </si>
  <si>
    <t>Costs recovered</t>
  </si>
  <si>
    <t>Year-by-Year Comparison</t>
  </si>
  <si>
    <t>Year</t>
  </si>
  <si>
    <t>Current repayments</t>
  </si>
  <si>
    <t>Proposed repayments</t>
  </si>
  <si>
    <t>Annual difference</t>
  </si>
  <si>
    <t>Net cumulative difference</t>
  </si>
  <si>
    <t>Charts</t>
  </si>
  <si>
    <t>Cumulative cost difference</t>
  </si>
  <si>
    <t>Instructions</t>
  </si>
  <si>
    <t>Enter remaining principal, current/new rates, terms and frequency, annual fees and each quoted upfront cost once. Use Other switching costs for actual break costs or LMI if applicable. No automatic insurance, cashback or offset model.</t>
  </si>
  <si>
    <t>Periodic repayments use the canonical 12/26/52-period mortgage formula; monthly cases match refinance monthlyRepayment. Break-even uses monthly budget equivalents, adds fees, and stops each loan at its own term. It does not reproduce exact debit dates.</t>
  </si>
  <si>
    <t>First break-even is the first non-negative cumulative cash-flow difference. Zero upfront and positive monthly difference show month zero. Equal payments with zero costs reach equality in month one. A first crossing can reverse later; inspect the full chart and lifetime totals.</t>
  </si>
  <si>
    <t>One/three/five-year differences include principal cash flow. Different remaining debts matter. Lifetime interest difference plus fee difference equals total cost difference. Positive values mean the proposed path costs less under the entered assumptions.</t>
  </si>
  <si>
    <t>Green inputs remain editable; formula protection is not encryption. Save a personal copy. Loan bounds: 0–$100 million, 0–30% constant rate, 1–40 whole years. These model bounds do not establish lending eligibility.</t>
  </si>
  <si>
    <t>Methodology: https://calcy.com.au/methodology. Corrections: https://calcy.com.au/contact. General context: https://moneysmart.gov.au/home-loans. Examples are illustrative, not live offers.</t>
  </si>
  <si>
    <t>Calendar convention: estimated break-even date uses EDATE(start date, break-even months). If the destination month is shorter, the date is clamped to its last day. Month zero retains the original date. Monetary break-even logic is unchanged.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</si>
</sst>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 mmm\ yyyy"/>
    <numFmt numFmtId="165" formatCode="&quot;$&quot;#,##0.00;\(&quot;$&quot;#,##0.00\);&quot;$&quot;0.00"/>
    <numFmt numFmtId="166" formatCode="&quot;$&quot;#,##0.00"/>
  </numFmts>
  <fonts count="10">
    <font>
      <sz val="11"/>
      <name val="Carlito"/>
    </font>
    <font>
      <sz val="10"/>
      <color rgb="FF17201B"/>
      <name val="Arial"/>
      <family val="2"/>
    </font>
    <font>
      <b/>
      <sz val="14"/>
      <color rgb="FFFFFFFF"/>
      <name val="Arial"/>
      <family val="2"/>
    </font>
    <font>
      <b/>
      <sz val="10"/>
      <color rgb="FF2D6A4F"/>
      <name val="Arial"/>
      <family val="2"/>
    </font>
    <font>
      <b/>
      <sz val="10"/>
      <color rgb="FFFFFFFF"/>
      <name val="Arial"/>
      <family val="2"/>
    </font>
    <font>
      <sz val="12"/>
      <color rgb="FF17201B"/>
      <name val="Arial"/>
      <family val="2"/>
    </font>
    <font>
      <b/>
      <sz val="16"/>
      <color rgb="FFFFFFFF"/>
      <name val="Arial"/>
      <family val="2"/>
    </font>
    <font>
      <sz val="11"/>
      <color rgb="FF17201B"/>
      <name val="Arial"/>
      <family val="2"/>
    </font>
    <font>
      <b/>
      <sz val="14"/>
      <color rgb="FF2D6A4F"/>
      <name val="Arial"/>
      <family val="2"/>
    </font>
    <font>
      <sz val="10"/>
      <name val="Arial"/>
      <family val="2"/>
    </font>
  </fonts>
  <fills count="4">
    <fill>
      <patternFill patternType="none"/>
    </fill>
    <fill>
      <patternFill patternType="gray125"/>
    </fill>
    <fill>
      <patternFill patternType="solid">
        <fgColor rgb="FF2D6A4F"/>
      </patternFill>
    </fill>
    <fill>
      <patternFill patternType="solid">
        <fgColor rgb="FFEAF4EE"/>
      </patternFill>
    </fill>
  </fills>
  <borders count="1">
    <border>
      <left/>
      <right/>
      <top/>
      <bottom/>
      <diagonal/>
    </border>
  </borders>
  <cellStyleXfs count="1">
    <xf numFmtId="0" fontId="0" fillId="0" borderId="0"/>
  </cellStyleXfs>
  <cellXfs count="21">
    <xf numFmtId="0" fontId="0" fillId="0" borderId="0" xfId="0"/>
    <xf numFmtId="0" fontId="1" fillId="0" borderId="0" xfId="0" applyNumberFormat="1" applyFont="1" applyFill="1" applyBorder="1" applyAlignment="1">
      <alignment vertical="center"/>
    </xf>
    <xf numFmtId="0" fontId="4" fillId="2" borderId="0" xfId="0" applyNumberFormat="1" applyFont="1" applyFill="1" applyBorder="1" applyAlignment="1">
      <alignment vertical="center" wrapText="1"/>
    </xf>
    <xf numFmtId="165" fontId="1" fillId="0" borderId="0" xfId="0" applyNumberFormat="1" applyFont="1" applyFill="1" applyBorder="1" applyAlignment="1">
      <alignment vertical="center"/>
    </xf>
    <xf numFmtId="0" fontId="5" fillId="0" borderId="0" xfId="0" applyNumberFormat="1" applyFont="1" applyFill="1" applyBorder="1" applyAlignment="1">
      <alignment vertical="center"/>
    </xf>
    <xf numFmtId="0" fontId="7" fillId="0" borderId="0" xfId="0" applyNumberFormat="1" applyFont="1" applyFill="1" applyBorder="1" applyAlignment="1">
      <alignment vertical="center"/>
    </xf>
    <xf numFmtId="165" fontId="8" fillId="0" borderId="0" xfId="0" applyNumberFormat="1" applyFont="1" applyFill="1" applyBorder="1" applyAlignment="1">
      <alignment vertical="center"/>
    </xf>
    <xf numFmtId="1" fontId="8" fillId="0" borderId="0" xfId="0" applyNumberFormat="1" applyFont="1" applyFill="1" applyBorder="1" applyAlignment="1">
      <alignment vertical="center"/>
    </xf>
    <xf numFmtId="164" fontId="8" fillId="0" borderId="0" xfId="0" applyNumberFormat="1" applyFont="1" applyFill="1" applyBorder="1" applyAlignment="1">
      <alignment vertical="center"/>
    </xf>
    <xf numFmtId="166" fontId="1" fillId="0" borderId="0" xfId="0" applyNumberFormat="1" applyFont="1" applyFill="1" applyBorder="1" applyAlignment="1">
      <alignment vertical="center"/>
    </xf>
    <xf numFmtId="166" fontId="3" fillId="3" borderId="0" xfId="0" applyNumberFormat="1" applyFont="1" applyFill="1" applyBorder="1" applyAlignment="1" applyProtection="1">
      <alignment vertical="center"/>
      <protection locked="0"/>
    </xf>
    <xf numFmtId="10" fontId="3" fillId="3" borderId="0" xfId="0" applyNumberFormat="1" applyFont="1" applyFill="1" applyBorder="1" applyAlignment="1" applyProtection="1">
      <alignment vertical="center"/>
      <protection locked="0"/>
    </xf>
    <xf numFmtId="0" fontId="3" fillId="3" borderId="0" xfId="0" applyNumberFormat="1" applyFont="1"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9" fillId="0" borderId="0" xfId="0" applyFont="1"/>
    <xf numFmtId="165" fontId="9" fillId="0" borderId="0" xfId="0" applyNumberFormat="1" applyFont="1" applyFill="1" applyBorder="1"/>
    <xf numFmtId="0" fontId="6" fillId="2" borderId="0" xfId="0" applyNumberFormat="1" applyFont="1" applyFill="1" applyBorder="1" applyAlignment="1">
      <alignment vertical="center"/>
    </xf>
    <xf numFmtId="0" fontId="7" fillId="0" borderId="0" xfId="0" applyNumberFormat="1" applyFont="1" applyFill="1" applyBorder="1" applyAlignment="1">
      <alignment vertical="center" wrapText="1"/>
    </xf>
    <xf numFmtId="0" fontId="5" fillId="0" borderId="0" xfId="0" applyNumberFormat="1" applyFont="1" applyFill="1" applyBorder="1" applyAlignment="1">
      <alignment vertical="center" wrapText="1"/>
    </xf>
    <xf numFmtId="0" fontId="1" fillId="0" borderId="0" xfId="0" applyNumberFormat="1" applyFont="1" applyFill="1" applyBorder="1" applyAlignment="1">
      <alignment vertical="center" wrapText="1"/>
    </xf>
    <xf numFmtId="0" fontId="2" fillId="2" borderId="0" xfId="0" applyNumberFormat="1"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sz="900">
                <a:latin typeface="Arial"/>
                <a:ea typeface="Arial"/>
                <a:cs typeface="Arial"/>
              </a:rPr>
              <a:t>Net refinancing cash-flow difference (AUD)</a:t>
            </a:r>
          </a:p>
        </c:rich>
      </c:tx>
      <c:overlay val="0"/>
    </c:title>
    <c:autoTitleDeleted val="0"/>
    <c:plotArea>
      <c:layout/>
      <c:lineChart>
        <c:grouping val="standard"/>
        <c:varyColors val="0"/>
        <c:ser>
          <c:idx val="0"/>
          <c:order val="0"/>
          <c:tx>
            <c:v>Cumulative cost difference</c:v>
          </c:tx>
          <c:spPr>
            <a:ln w="19050">
              <a:solidFill>
                <a:srgbClr val="2D6A4F"/>
              </a:solidFill>
            </a:ln>
          </c:spPr>
          <c:marker>
            <c:symbol val="none"/>
          </c:marker>
          <c:cat>
            <c:numRef>
              <c:f>Charts!$A$26:$A$66</c:f>
              <c:numCache>
                <c:formatCode>General</c:formatCode>
                <c:ptCount val="4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numCache>
            </c:numRef>
          </c:cat>
          <c:val>
            <c:numRef>
              <c:f>Charts!$B$26:$B$66</c:f>
              <c:numCache>
                <c:formatCode>General</c:formatCode>
                <c:ptCount val="41"/>
                <c:pt idx="0">
                  <c:v>-1550</c:v>
                </c:pt>
                <c:pt idx="1">
                  <c:v>980.64926924580504</c:v>
                </c:pt>
                <c:pt idx="2">
                  <c:v>3511.2985384916101</c:v>
                </c:pt>
                <c:pt idx="3">
                  <c:v>6041.9478077374151</c:v>
                </c:pt>
                <c:pt idx="4">
                  <c:v>8572.5970769832202</c:v>
                </c:pt>
                <c:pt idx="5">
                  <c:v>11103.246346229025</c:v>
                </c:pt>
                <c:pt idx="6">
                  <c:v>13633.89561547483</c:v>
                </c:pt>
                <c:pt idx="7">
                  <c:v>16164.544884720635</c:v>
                </c:pt>
                <c:pt idx="8">
                  <c:v>18695.19415396644</c:v>
                </c:pt>
                <c:pt idx="9">
                  <c:v>21225.843423212245</c:v>
                </c:pt>
                <c:pt idx="10">
                  <c:v>23756.49269245805</c:v>
                </c:pt>
                <c:pt idx="11">
                  <c:v>26287.141961703855</c:v>
                </c:pt>
                <c:pt idx="12">
                  <c:v>28817.791230949661</c:v>
                </c:pt>
                <c:pt idx="13">
                  <c:v>31348.440500195466</c:v>
                </c:pt>
                <c:pt idx="14">
                  <c:v>33879.089769441271</c:v>
                </c:pt>
                <c:pt idx="15">
                  <c:v>36409.739038687076</c:v>
                </c:pt>
                <c:pt idx="16">
                  <c:v>38940.388307932881</c:v>
                </c:pt>
                <c:pt idx="17">
                  <c:v>41471.037577178686</c:v>
                </c:pt>
                <c:pt idx="18">
                  <c:v>44001.686846424491</c:v>
                </c:pt>
                <c:pt idx="19">
                  <c:v>46532.336115670296</c:v>
                </c:pt>
                <c:pt idx="20">
                  <c:v>49062.985384916101</c:v>
                </c:pt>
                <c:pt idx="21">
                  <c:v>51593.634654161906</c:v>
                </c:pt>
                <c:pt idx="22">
                  <c:v>54124.283923407711</c:v>
                </c:pt>
                <c:pt idx="23">
                  <c:v>56654.933192653516</c:v>
                </c:pt>
                <c:pt idx="24">
                  <c:v>59185.582461899321</c:v>
                </c:pt>
                <c:pt idx="25">
                  <c:v>61716.231731145126</c:v>
                </c:pt>
                <c:pt idx="26">
                  <c:v>61716.231731145126</c:v>
                </c:pt>
                <c:pt idx="27">
                  <c:v>61716.231731145126</c:v>
                </c:pt>
                <c:pt idx="28">
                  <c:v>61716.231731145126</c:v>
                </c:pt>
                <c:pt idx="29">
                  <c:v>61716.231731145126</c:v>
                </c:pt>
                <c:pt idx="30">
                  <c:v>61716.231731145126</c:v>
                </c:pt>
                <c:pt idx="31">
                  <c:v>61716.231731145126</c:v>
                </c:pt>
                <c:pt idx="32">
                  <c:v>61716.231731145126</c:v>
                </c:pt>
                <c:pt idx="33">
                  <c:v>61716.231731145126</c:v>
                </c:pt>
                <c:pt idx="34">
                  <c:v>61716.231731145126</c:v>
                </c:pt>
                <c:pt idx="35">
                  <c:v>61716.231731145126</c:v>
                </c:pt>
                <c:pt idx="36">
                  <c:v>61716.231731145126</c:v>
                </c:pt>
                <c:pt idx="37">
                  <c:v>61716.231731145126</c:v>
                </c:pt>
                <c:pt idx="38">
                  <c:v>61716.231731145126</c:v>
                </c:pt>
                <c:pt idx="39">
                  <c:v>61716.231731145126</c:v>
                </c:pt>
                <c:pt idx="40">
                  <c:v>61716.231731145126</c:v>
                </c:pt>
              </c:numCache>
            </c:numRef>
          </c:val>
          <c:smooth val="0"/>
          <c:extLst>
            <c:ext xmlns:c16="http://schemas.microsoft.com/office/drawing/2014/chart" uri="{C3380CC4-5D6E-409C-BE32-E72D297353CC}">
              <c16:uniqueId val="{00000000-5387-4FE7-AF60-F1B0D73A1CA3}"/>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crossAx val="48650112"/>
        <c:crosses val="autoZero"/>
        <c:crossBetween val="between"/>
      </c:valAx>
    </c:plotArea>
    <c:legend>
      <c:legendPos val="t"/>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8</xdr:col>
      <xdr:colOff>0</xdr:colOff>
      <xdr:row>20</xdr:row>
      <xdr:rowOff>0</xdr:rowOff>
    </xdr:to>
    <xdr:graphicFrame macro="">
      <xdr:nvGraphicFramePr>
        <xdr:cNvPr id="2" name="Chart">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D6A4F"/>
    <pageSetUpPr fitToPage="1"/>
  </sheetPr>
  <dimension ref="A1:H70"/>
  <sheetViews>
    <sheetView showGridLines="0" tabSelected="1" zoomScaleNormal="100" workbookViewId="0">
      <selection sqref="A1:H2"/>
    </sheetView>
  </sheetViews>
  <sheetFormatPr defaultRowHeight="14.15"/>
  <cols>
    <col min="1" max="1" width="41" customWidth="1"/>
    <col min="2" max="2" width="28" customWidth="1"/>
    <col min="3" max="8" width="17" customWidth="1"/>
  </cols>
  <sheetData>
    <row r="1" spans="1:8" ht="18" customHeight="1">
      <c r="A1" s="16" t="s">
        <v>0</v>
      </c>
      <c r="B1" s="16"/>
      <c r="C1" s="16"/>
      <c r="D1" s="16"/>
      <c r="E1" s="16"/>
      <c r="F1" s="16"/>
      <c r="G1" s="16"/>
      <c r="H1" s="16"/>
    </row>
    <row r="2" spans="1:8" ht="18" customHeight="1">
      <c r="A2" s="16"/>
      <c r="B2" s="16"/>
      <c r="C2" s="16"/>
      <c r="D2" s="16"/>
      <c r="E2" s="16"/>
      <c r="F2" s="16"/>
      <c r="G2" s="16"/>
      <c r="H2" s="16"/>
    </row>
    <row r="3" spans="1:8" ht="14.05" customHeight="1">
      <c r="A3" s="4"/>
      <c r="B3" s="4"/>
      <c r="C3" s="4"/>
      <c r="D3" s="4"/>
      <c r="E3" s="4"/>
      <c r="F3" s="4"/>
      <c r="G3" s="4"/>
      <c r="H3" s="4"/>
    </row>
    <row r="4" spans="1:8" ht="14.05" customHeight="1">
      <c r="A4" s="18" t="str">
        <f>IF('Current Loan'!$B$13,"Illustrative estimate in AUD. Edit green inputs.","Check required inputs, dates and supported bounds; outputs unavailable.")</f>
        <v>Illustrative estimate in AUD. Edit green inputs.</v>
      </c>
      <c r="B4" s="18"/>
      <c r="C4" s="18"/>
      <c r="D4" s="18"/>
      <c r="E4" s="18"/>
      <c r="F4" s="18"/>
      <c r="G4" s="18"/>
      <c r="H4" s="18"/>
    </row>
    <row r="5" spans="1:8" ht="14.05" customHeight="1">
      <c r="A5" s="18"/>
      <c r="B5" s="18"/>
      <c r="C5" s="18"/>
      <c r="D5" s="18"/>
      <c r="E5" s="18"/>
      <c r="F5" s="18"/>
      <c r="G5" s="18"/>
      <c r="H5" s="18"/>
    </row>
    <row r="6" spans="1:8" ht="14.05" customHeight="1">
      <c r="A6" s="4"/>
      <c r="B6" s="4"/>
      <c r="C6" s="4"/>
      <c r="D6" s="4"/>
      <c r="E6" s="4"/>
      <c r="F6" s="4"/>
      <c r="G6" s="4"/>
      <c r="H6" s="4"/>
    </row>
    <row r="7" spans="1:8" ht="20.05" customHeight="1">
      <c r="A7" s="4" t="s">
        <v>1</v>
      </c>
      <c r="B7" s="6">
        <f>IF('Current Loan'!$B$13,'Current Loan'!B16,"")</f>
        <v>4388.8465487596777</v>
      </c>
      <c r="C7" s="4"/>
      <c r="D7" s="4"/>
      <c r="E7" s="4"/>
      <c r="F7" s="4"/>
      <c r="G7" s="4"/>
      <c r="H7" s="4"/>
    </row>
    <row r="8" spans="1:8" ht="20.05" customHeight="1">
      <c r="A8" s="4" t="s">
        <v>2</v>
      </c>
      <c r="B8" s="6">
        <f>IF('Current Loan'!$B$13,'Proposed Loan'!B16,"")</f>
        <v>4187.9591096558606</v>
      </c>
      <c r="C8" s="4"/>
      <c r="D8" s="4"/>
      <c r="E8" s="4"/>
      <c r="F8" s="4"/>
      <c r="G8" s="4"/>
      <c r="H8" s="4"/>
    </row>
    <row r="9" spans="1:8" ht="20.05" customHeight="1">
      <c r="A9" s="4" t="s">
        <v>3</v>
      </c>
      <c r="B9" s="6">
        <f>IF('Current Loan'!$B$13,'Current Loan'!B17-'Proposed Loan'!B17+('Current Loan'!B9-'Proposed Loan'!B13)/12,"")</f>
        <v>210.88743910381709</v>
      </c>
      <c r="C9" s="4"/>
      <c r="D9" s="4"/>
      <c r="E9" s="4"/>
      <c r="F9" s="4"/>
      <c r="G9" s="4"/>
      <c r="H9" s="4"/>
    </row>
    <row r="10" spans="1:8" ht="20.05" customHeight="1">
      <c r="A10" s="4" t="s">
        <v>4</v>
      </c>
      <c r="B10" s="6">
        <f>IF('Current Loan'!$B$13,'Proposed Loan'!B18,"")</f>
        <v>1550</v>
      </c>
      <c r="C10" s="4"/>
      <c r="D10" s="4"/>
      <c r="E10" s="4"/>
      <c r="F10" s="4"/>
      <c r="G10" s="4"/>
      <c r="H10" s="4"/>
    </row>
    <row r="11" spans="1:8" ht="20.05" customHeight="1">
      <c r="A11" s="4" t="s">
        <v>5</v>
      </c>
      <c r="B11" s="7">
        <f>IF('Current Loan'!$B$13,IF(AND(B10=0,B9&gt;0),0,IFERROR(MATCH(1,'Break-Even Analysis'!H7:H486,0),"Not within model term")),"")</f>
        <v>8</v>
      </c>
      <c r="C11" s="4"/>
      <c r="D11" s="4"/>
      <c r="E11" s="4"/>
      <c r="F11" s="4"/>
      <c r="G11" s="4"/>
      <c r="H11" s="4"/>
    </row>
    <row r="12" spans="1:8" ht="20.05" customHeight="1">
      <c r="A12" s="4" t="s">
        <v>6</v>
      </c>
      <c r="B12" s="8">
        <f>IF('Current Loan'!$B$13,IF(ISNUMBER(B11),EDATE('Current Loan'!B10,B11),"Not within model term"),"")</f>
        <v>46569</v>
      </c>
      <c r="C12" s="4"/>
      <c r="D12" s="4"/>
      <c r="E12" s="4"/>
      <c r="F12" s="4"/>
      <c r="G12" s="4"/>
      <c r="H12" s="4"/>
    </row>
    <row r="13" spans="1:8" ht="20.05" customHeight="1">
      <c r="A13" s="4" t="s">
        <v>7</v>
      </c>
      <c r="B13" s="6">
        <f>IF('Current Loan'!$B$13,SUM('Break-Even Analysis'!F7:F18)-B10,"")</f>
        <v>980.64926924580504</v>
      </c>
      <c r="C13" s="4"/>
      <c r="D13" s="4"/>
      <c r="E13" s="4"/>
      <c r="F13" s="4"/>
      <c r="G13" s="4"/>
      <c r="H13" s="4"/>
    </row>
    <row r="14" spans="1:8" ht="20.05" customHeight="1">
      <c r="A14" s="4" t="s">
        <v>8</v>
      </c>
      <c r="B14" s="6">
        <f>IF('Current Loan'!$B$13,SUM('Break-Even Analysis'!F7:F42)-B10,"")</f>
        <v>6041.9478077374151</v>
      </c>
      <c r="C14" s="4"/>
      <c r="D14" s="4"/>
      <c r="E14" s="4"/>
      <c r="F14" s="4"/>
      <c r="G14" s="4"/>
      <c r="H14" s="4"/>
    </row>
    <row r="15" spans="1:8" ht="20.05" customHeight="1">
      <c r="A15" s="4" t="s">
        <v>9</v>
      </c>
      <c r="B15" s="6">
        <f>IF('Current Loan'!$B$13,SUM('Break-Even Analysis'!F7:F66)-B10,"")</f>
        <v>11103.246346229025</v>
      </c>
      <c r="C15" s="4"/>
      <c r="D15" s="4"/>
      <c r="E15" s="4"/>
      <c r="F15" s="4"/>
      <c r="G15" s="4"/>
      <c r="H15" s="4"/>
    </row>
    <row r="16" spans="1:8" ht="20.05" customHeight="1">
      <c r="A16" s="4" t="s">
        <v>10</v>
      </c>
      <c r="B16" s="6">
        <f>IF('Current Loan'!$B$13,('Current Loan'!B17*'Current Loan'!B7*12-'Current Loan'!B5)-('Proposed Loan'!B17*'Proposed Loan'!B6*12-'Current Loan'!B5),"")</f>
        <v>60266.231731145177</v>
      </c>
      <c r="C16" s="4"/>
      <c r="D16" s="4"/>
      <c r="E16" s="4"/>
      <c r="F16" s="4"/>
      <c r="G16" s="4"/>
      <c r="H16" s="4"/>
    </row>
    <row r="17" spans="1:8" ht="20.05" customHeight="1">
      <c r="A17" s="5" t="s">
        <v>11</v>
      </c>
      <c r="B17" s="6">
        <f>IF('Current Loan'!$B$13,'Current Loan'!B9*'Current Loan'!B7-('Proposed Loan'!B13*'Proposed Loan'!B6+B10),"")</f>
        <v>1450</v>
      </c>
      <c r="C17" s="5"/>
      <c r="D17" s="5"/>
      <c r="E17" s="5"/>
      <c r="F17" s="5"/>
      <c r="G17" s="5"/>
      <c r="H17" s="5"/>
    </row>
    <row r="18" spans="1:8" ht="20.05" customHeight="1">
      <c r="A18" s="5" t="s">
        <v>12</v>
      </c>
      <c r="B18" s="6">
        <f>IF('Current Loan'!$B$13,SUM(B16:B17),"")</f>
        <v>61716.231731145177</v>
      </c>
      <c r="C18" s="5"/>
      <c r="D18" s="5"/>
      <c r="E18" s="5"/>
      <c r="F18" s="5"/>
      <c r="G18" s="5"/>
      <c r="H18" s="5"/>
    </row>
    <row r="19" spans="1:8" ht="14.05" customHeight="1">
      <c r="A19" s="5"/>
      <c r="B19" s="5"/>
      <c r="C19" s="5"/>
      <c r="D19" s="5"/>
      <c r="E19" s="5"/>
      <c r="F19" s="5"/>
      <c r="G19" s="5"/>
      <c r="H19" s="5"/>
    </row>
    <row r="20" spans="1:8" ht="14.05" customHeight="1">
      <c r="A20" s="4"/>
      <c r="B20" s="4"/>
      <c r="C20" s="4"/>
      <c r="D20" s="4"/>
      <c r="E20" s="4"/>
      <c r="F20" s="4"/>
      <c r="G20" s="4"/>
      <c r="H20" s="4"/>
    </row>
    <row r="21" spans="1:8" ht="14.05" customHeight="1">
      <c r="A21" s="4"/>
      <c r="B21" s="4"/>
      <c r="C21" s="4"/>
      <c r="D21" s="4"/>
      <c r="E21" s="4"/>
      <c r="F21" s="4"/>
      <c r="G21" s="4"/>
      <c r="H21" s="4"/>
    </row>
    <row r="22" spans="1:8" ht="14.05" customHeight="1">
      <c r="A22" s="4"/>
      <c r="B22" s="4"/>
      <c r="C22" s="4"/>
      <c r="D22" s="4"/>
      <c r="E22" s="4"/>
      <c r="F22" s="4"/>
      <c r="G22" s="4"/>
      <c r="H22" s="4"/>
    </row>
    <row r="23" spans="1:8" ht="14.05" customHeight="1">
      <c r="A23" s="17" t="s">
        <v>13</v>
      </c>
      <c r="B23" s="17"/>
      <c r="C23" s="17"/>
      <c r="D23" s="17"/>
      <c r="E23" s="17"/>
      <c r="F23" s="17"/>
      <c r="G23" s="17"/>
      <c r="H23" s="17"/>
    </row>
    <row r="24" spans="1:8" ht="14.05" customHeight="1">
      <c r="A24" s="17"/>
      <c r="B24" s="17"/>
      <c r="C24" s="17"/>
      <c r="D24" s="17"/>
      <c r="E24" s="17"/>
      <c r="F24" s="17"/>
      <c r="G24" s="17"/>
      <c r="H24" s="17"/>
    </row>
    <row r="25" spans="1:8" ht="14.05" customHeight="1">
      <c r="A25" s="17"/>
      <c r="B25" s="17"/>
      <c r="C25" s="17"/>
      <c r="D25" s="17"/>
      <c r="E25" s="17"/>
      <c r="F25" s="17"/>
      <c r="G25" s="17"/>
      <c r="H25" s="17"/>
    </row>
    <row r="26" spans="1:8" ht="14.05" customHeight="1">
      <c r="A26" s="4"/>
      <c r="B26" s="4"/>
      <c r="C26" s="4"/>
      <c r="D26" s="4"/>
      <c r="E26" s="4"/>
      <c r="F26" s="4"/>
      <c r="G26" s="4"/>
      <c r="H26" s="4"/>
    </row>
    <row r="27" spans="1:8" ht="14.05" customHeight="1">
      <c r="A27" s="4"/>
      <c r="B27" s="4"/>
      <c r="C27" s="4"/>
      <c r="D27" s="4"/>
      <c r="E27" s="4"/>
      <c r="F27" s="4"/>
      <c r="G27" s="4"/>
      <c r="H27" s="4"/>
    </row>
    <row r="28" spans="1:8" ht="14.05" customHeight="1">
      <c r="A28" s="4"/>
      <c r="B28" s="4"/>
      <c r="C28" s="4"/>
      <c r="D28" s="4"/>
      <c r="E28" s="4"/>
      <c r="F28" s="4"/>
      <c r="G28" s="4"/>
      <c r="H28" s="4"/>
    </row>
    <row r="29" spans="1:8" ht="14.05" customHeight="1">
      <c r="A29" s="4"/>
      <c r="B29" s="4"/>
      <c r="C29" s="4"/>
      <c r="D29" s="4"/>
      <c r="E29" s="4"/>
      <c r="F29" s="4"/>
      <c r="G29" s="4"/>
      <c r="H29" s="4"/>
    </row>
    <row r="30" spans="1:8" ht="14.05" customHeight="1">
      <c r="A30" s="4"/>
      <c r="B30" s="4"/>
      <c r="C30" s="4"/>
      <c r="D30" s="4"/>
      <c r="E30" s="4"/>
      <c r="F30" s="4"/>
      <c r="G30" s="4"/>
      <c r="H30" s="4"/>
    </row>
    <row r="31" spans="1:8" ht="14.05" customHeight="1">
      <c r="A31" s="4"/>
      <c r="B31" s="4"/>
      <c r="C31" s="4"/>
      <c r="D31" s="4"/>
      <c r="E31" s="4"/>
      <c r="F31" s="4"/>
      <c r="G31" s="4"/>
      <c r="H31" s="4"/>
    </row>
    <row r="32" spans="1:8" ht="14.05" customHeight="1">
      <c r="A32" s="17" t="s">
        <v>14</v>
      </c>
      <c r="B32" s="17"/>
      <c r="C32" s="17"/>
      <c r="D32" s="17"/>
      <c r="E32" s="17"/>
      <c r="F32" s="17"/>
      <c r="G32" s="17"/>
      <c r="H32" s="17"/>
    </row>
    <row r="33" spans="1:8" ht="14.05" customHeight="1">
      <c r="A33" s="17"/>
      <c r="B33" s="17"/>
      <c r="C33" s="17"/>
      <c r="D33" s="17"/>
      <c r="E33" s="17"/>
      <c r="F33" s="17"/>
      <c r="G33" s="17"/>
      <c r="H33" s="17"/>
    </row>
    <row r="34" spans="1:8" ht="14.05" customHeight="1">
      <c r="A34" s="17"/>
      <c r="B34" s="17"/>
      <c r="C34" s="17"/>
      <c r="D34" s="17"/>
      <c r="E34" s="17"/>
      <c r="F34" s="17"/>
      <c r="G34" s="17"/>
      <c r="H34" s="17"/>
    </row>
    <row r="35" spans="1:8" ht="14.05" customHeight="1">
      <c r="A35" s="4"/>
      <c r="B35" s="4"/>
      <c r="C35" s="4"/>
      <c r="D35" s="4"/>
      <c r="E35" s="4"/>
      <c r="F35" s="4"/>
      <c r="G35" s="4"/>
      <c r="H35" s="4"/>
    </row>
    <row r="36" spans="1:8" ht="14.05" customHeight="1">
      <c r="A36" s="4"/>
      <c r="B36" s="4"/>
      <c r="C36" s="4"/>
      <c r="D36" s="4"/>
      <c r="E36" s="4"/>
      <c r="F36" s="4"/>
      <c r="G36" s="4"/>
      <c r="H36" s="4"/>
    </row>
    <row r="37" spans="1:8" ht="14.05" customHeight="1">
      <c r="A37" s="4"/>
      <c r="B37" s="4"/>
      <c r="C37" s="4"/>
      <c r="D37" s="4"/>
      <c r="E37" s="4"/>
      <c r="F37" s="4"/>
      <c r="G37" s="4"/>
      <c r="H37" s="4"/>
    </row>
    <row r="38" spans="1:8" ht="23.05" customHeight="1">
      <c r="A38" s="1"/>
      <c r="B38" s="1"/>
      <c r="C38" s="1"/>
      <c r="D38" s="1"/>
      <c r="E38" s="1"/>
      <c r="F38" s="1"/>
      <c r="G38" s="1"/>
      <c r="H38" s="1"/>
    </row>
    <row r="39" spans="1:8" ht="23.05" customHeight="1">
      <c r="A39" s="1"/>
      <c r="B39" s="1"/>
      <c r="C39" s="1"/>
      <c r="D39" s="1"/>
      <c r="E39" s="1"/>
      <c r="F39" s="1"/>
      <c r="G39" s="1"/>
      <c r="H39" s="1"/>
    </row>
    <row r="40" spans="1:8" ht="23.05" customHeight="1">
      <c r="A40" s="1"/>
      <c r="B40" s="1"/>
      <c r="C40" s="1"/>
      <c r="D40" s="1"/>
      <c r="E40" s="1"/>
      <c r="F40" s="1"/>
      <c r="G40" s="1"/>
      <c r="H40" s="1"/>
    </row>
    <row r="41" spans="1:8" ht="23.05" customHeight="1">
      <c r="A41" s="1"/>
      <c r="B41" s="1"/>
      <c r="C41" s="1"/>
      <c r="D41" s="1"/>
      <c r="E41" s="1"/>
      <c r="F41" s="1"/>
      <c r="G41" s="1"/>
      <c r="H41" s="1"/>
    </row>
    <row r="42" spans="1:8" ht="23.05" customHeight="1">
      <c r="A42" s="1"/>
      <c r="B42" s="1"/>
      <c r="C42" s="1"/>
      <c r="D42" s="1"/>
      <c r="E42" s="1"/>
      <c r="F42" s="1"/>
      <c r="G42" s="1"/>
      <c r="H42" s="1"/>
    </row>
    <row r="43" spans="1:8" ht="23.05" customHeight="1">
      <c r="A43" s="1"/>
      <c r="B43" s="1"/>
      <c r="C43" s="1"/>
      <c r="D43" s="1"/>
      <c r="E43" s="1"/>
      <c r="F43" s="1"/>
      <c r="G43" s="1"/>
      <c r="H43" s="1"/>
    </row>
    <row r="44" spans="1:8" ht="23.05" customHeight="1">
      <c r="A44" s="1"/>
      <c r="B44" s="1"/>
      <c r="C44" s="1"/>
      <c r="D44" s="1"/>
      <c r="E44" s="1"/>
      <c r="F44" s="1"/>
      <c r="G44" s="1"/>
      <c r="H44" s="1"/>
    </row>
    <row r="45" spans="1:8" ht="23.05" customHeight="1">
      <c r="A45" s="1"/>
      <c r="B45" s="1"/>
      <c r="C45" s="1"/>
      <c r="D45" s="1"/>
      <c r="E45" s="1"/>
      <c r="F45" s="1"/>
      <c r="G45" s="1"/>
      <c r="H45" s="1"/>
    </row>
    <row r="46" spans="1:8" ht="23.05" customHeight="1">
      <c r="A46" s="1"/>
      <c r="B46" s="1"/>
      <c r="C46" s="1"/>
      <c r="D46" s="1"/>
      <c r="E46" s="1"/>
      <c r="F46" s="1"/>
      <c r="G46" s="1"/>
      <c r="H46" s="1"/>
    </row>
    <row r="47" spans="1:8" ht="23.05" customHeight="1">
      <c r="A47" s="1"/>
      <c r="B47" s="1"/>
      <c r="C47" s="1"/>
      <c r="D47" s="1"/>
      <c r="E47" s="1"/>
      <c r="F47" s="1"/>
      <c r="G47" s="1"/>
      <c r="H47" s="1"/>
    </row>
    <row r="48" spans="1:8" ht="23.05" customHeight="1">
      <c r="A48" s="1"/>
      <c r="B48" s="1"/>
      <c r="C48" s="1"/>
      <c r="D48" s="1"/>
      <c r="E48" s="1"/>
      <c r="F48" s="1"/>
      <c r="G48" s="1"/>
      <c r="H48" s="1"/>
    </row>
    <row r="49" spans="1:8" ht="23.05" customHeight="1">
      <c r="A49" s="1"/>
      <c r="B49" s="1"/>
      <c r="C49" s="1"/>
      <c r="D49" s="1"/>
      <c r="E49" s="1"/>
      <c r="F49" s="1"/>
      <c r="G49" s="1"/>
      <c r="H49" s="1"/>
    </row>
    <row r="50" spans="1:8" ht="23.05" customHeight="1">
      <c r="A50" s="1"/>
      <c r="B50" s="1"/>
      <c r="C50" s="1"/>
      <c r="D50" s="1"/>
      <c r="E50" s="1"/>
      <c r="F50" s="1"/>
      <c r="G50" s="1"/>
      <c r="H50" s="1"/>
    </row>
    <row r="51" spans="1:8" ht="23.05" customHeight="1">
      <c r="A51" s="1"/>
      <c r="B51" s="1"/>
      <c r="C51" s="1"/>
      <c r="D51" s="1"/>
      <c r="E51" s="1"/>
      <c r="F51" s="1"/>
      <c r="G51" s="1"/>
      <c r="H51" s="1"/>
    </row>
    <row r="52" spans="1:8" ht="23.05" customHeight="1">
      <c r="A52" s="1"/>
      <c r="B52" s="1"/>
      <c r="C52" s="1"/>
      <c r="D52" s="1"/>
      <c r="E52" s="1"/>
      <c r="F52" s="1"/>
      <c r="G52" s="1"/>
      <c r="H52" s="1"/>
    </row>
    <row r="53" spans="1:8" ht="23.05" customHeight="1">
      <c r="A53" s="1"/>
      <c r="B53" s="1"/>
      <c r="C53" s="1"/>
      <c r="D53" s="1"/>
      <c r="E53" s="1"/>
      <c r="F53" s="1"/>
      <c r="G53" s="1"/>
      <c r="H53" s="1"/>
    </row>
    <row r="54" spans="1:8" ht="23.05" customHeight="1">
      <c r="A54" s="1"/>
      <c r="B54" s="1"/>
      <c r="C54" s="1"/>
      <c r="D54" s="1"/>
      <c r="E54" s="1"/>
      <c r="F54" s="1"/>
      <c r="G54" s="1"/>
      <c r="H54" s="1"/>
    </row>
    <row r="55" spans="1:8" ht="23.05" customHeight="1">
      <c r="A55" s="1"/>
      <c r="B55" s="1"/>
      <c r="C55" s="1"/>
      <c r="D55" s="1"/>
      <c r="E55" s="1"/>
      <c r="F55" s="1"/>
      <c r="G55" s="1"/>
      <c r="H55" s="1"/>
    </row>
    <row r="56" spans="1:8" ht="23.05" customHeight="1">
      <c r="A56" s="1"/>
      <c r="B56" s="1"/>
      <c r="C56" s="1"/>
      <c r="D56" s="1"/>
      <c r="E56" s="1"/>
      <c r="F56" s="1"/>
      <c r="G56" s="1"/>
      <c r="H56" s="1"/>
    </row>
    <row r="57" spans="1:8" ht="23.05" customHeight="1">
      <c r="A57" s="1"/>
      <c r="B57" s="1"/>
      <c r="C57" s="1"/>
      <c r="D57" s="1"/>
      <c r="E57" s="1"/>
      <c r="F57" s="1"/>
      <c r="G57" s="1"/>
      <c r="H57" s="1"/>
    </row>
    <row r="58" spans="1:8" ht="23.05" customHeight="1">
      <c r="A58" s="1"/>
      <c r="B58" s="1"/>
      <c r="C58" s="1"/>
      <c r="D58" s="1"/>
      <c r="E58" s="1"/>
      <c r="F58" s="1"/>
      <c r="G58" s="1"/>
      <c r="H58" s="1"/>
    </row>
    <row r="59" spans="1:8" ht="23.05" customHeight="1">
      <c r="A59" s="1"/>
      <c r="B59" s="1"/>
      <c r="C59" s="1"/>
      <c r="D59" s="1"/>
      <c r="E59" s="1"/>
      <c r="F59" s="1"/>
      <c r="G59" s="1"/>
      <c r="H59" s="1"/>
    </row>
    <row r="60" spans="1:8" ht="23.05" customHeight="1">
      <c r="A60" s="1"/>
      <c r="B60" s="1"/>
      <c r="C60" s="1"/>
      <c r="D60" s="1"/>
      <c r="E60" s="1"/>
      <c r="F60" s="1"/>
      <c r="G60" s="1"/>
      <c r="H60" s="1"/>
    </row>
    <row r="61" spans="1:8" ht="23.05" customHeight="1">
      <c r="A61" s="1"/>
      <c r="B61" s="1"/>
      <c r="C61" s="1"/>
      <c r="D61" s="1"/>
      <c r="E61" s="1"/>
      <c r="F61" s="1"/>
      <c r="G61" s="1"/>
      <c r="H61" s="1"/>
    </row>
    <row r="62" spans="1:8" ht="23.05" customHeight="1">
      <c r="A62" s="1"/>
      <c r="B62" s="1"/>
      <c r="C62" s="1"/>
      <c r="D62" s="1"/>
      <c r="E62" s="1"/>
      <c r="F62" s="1"/>
      <c r="G62" s="1"/>
      <c r="H62" s="1"/>
    </row>
    <row r="63" spans="1:8" ht="23.05" customHeight="1">
      <c r="A63" s="1"/>
      <c r="B63" s="1"/>
      <c r="C63" s="1"/>
      <c r="D63" s="1"/>
      <c r="E63" s="1"/>
      <c r="F63" s="1"/>
      <c r="G63" s="1"/>
      <c r="H63" s="1"/>
    </row>
    <row r="64" spans="1:8" ht="23.05" customHeight="1">
      <c r="A64" s="1"/>
      <c r="B64" s="1"/>
      <c r="C64" s="1"/>
      <c r="D64" s="1"/>
      <c r="E64" s="1"/>
      <c r="F64" s="1"/>
      <c r="G64" s="1"/>
      <c r="H64" s="1"/>
    </row>
    <row r="65" spans="1:8" ht="23.05" customHeight="1">
      <c r="A65" s="1"/>
      <c r="B65" s="1"/>
      <c r="C65" s="1"/>
      <c r="D65" s="1"/>
      <c r="E65" s="1"/>
      <c r="F65" s="1"/>
      <c r="G65" s="1"/>
      <c r="H65" s="1"/>
    </row>
    <row r="66" spans="1:8" ht="23.05" customHeight="1">
      <c r="A66" s="1"/>
      <c r="B66" s="1"/>
      <c r="C66" s="1"/>
      <c r="D66" s="1"/>
      <c r="E66" s="1"/>
      <c r="F66" s="1"/>
      <c r="G66" s="1"/>
      <c r="H66" s="1"/>
    </row>
    <row r="67" spans="1:8" ht="23.05" customHeight="1">
      <c r="A67" s="1"/>
      <c r="B67" s="1"/>
      <c r="C67" s="1"/>
      <c r="D67" s="1"/>
      <c r="E67" s="1"/>
      <c r="F67" s="1"/>
      <c r="G67" s="1"/>
      <c r="H67" s="1"/>
    </row>
    <row r="68" spans="1:8" ht="23.05" customHeight="1">
      <c r="A68" s="1"/>
      <c r="B68" s="1"/>
      <c r="C68" s="1"/>
      <c r="D68" s="1"/>
      <c r="E68" s="1"/>
      <c r="F68" s="1"/>
      <c r="G68" s="1"/>
      <c r="H68" s="1"/>
    </row>
    <row r="69" spans="1:8" ht="23.05" customHeight="1">
      <c r="A69" s="1"/>
      <c r="B69" s="1"/>
      <c r="C69" s="1"/>
      <c r="D69" s="1"/>
      <c r="E69" s="1"/>
      <c r="F69" s="1"/>
      <c r="G69" s="1"/>
      <c r="H69" s="1"/>
    </row>
    <row r="70" spans="1:8" ht="23.05" customHeight="1">
      <c r="A70" s="1"/>
      <c r="B70" s="1"/>
      <c r="C70" s="1"/>
      <c r="D70" s="1"/>
      <c r="E70" s="1"/>
      <c r="F70" s="1"/>
      <c r="G70" s="1"/>
      <c r="H70" s="1"/>
    </row>
  </sheetData>
  <sheetProtection sheet="1" objects="1" scenarios="1"/>
  <mergeCells count="4">
    <mergeCell ref="A1:H2"/>
    <mergeCell ref="A23:H25"/>
    <mergeCell ref="A4:H5"/>
    <mergeCell ref="A32:H34"/>
  </mergeCells>
  <pageMargins left="0.39370078740157477" right="0.39370078740157477" top="0.39370078740157477" bottom="0.59055118110236215" header="0.3" footer="0.19685039370078738"/>
  <pageSetup paperSize="9" scale="74" orientation="landscape" r:id="rId1"/>
  <headerFooter>
    <oddFooter>&amp;CCalcy | Page &amp;P&amp;Rcalcy.com.au</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D6A4F"/>
    <pageSetUpPr fitToPage="1"/>
  </sheetPr>
  <dimension ref="A1:H70"/>
  <sheetViews>
    <sheetView showGridLines="0" zoomScaleNormal="100" workbookViewId="0">
      <selection sqref="A1:H2"/>
    </sheetView>
  </sheetViews>
  <sheetFormatPr defaultRowHeight="14.15"/>
  <cols>
    <col min="1" max="1" width="36" customWidth="1"/>
    <col min="2" max="8" width="17" customWidth="1"/>
  </cols>
  <sheetData>
    <row r="1" spans="1:8" ht="23.05" customHeight="1">
      <c r="A1" s="20" t="s">
        <v>15</v>
      </c>
      <c r="B1" s="20"/>
      <c r="C1" s="20"/>
      <c r="D1" s="20"/>
      <c r="E1" s="20"/>
      <c r="F1" s="20"/>
      <c r="G1" s="20"/>
      <c r="H1" s="20"/>
    </row>
    <row r="2" spans="1:8" ht="23.05" customHeight="1">
      <c r="A2" s="20"/>
      <c r="B2" s="20"/>
      <c r="C2" s="20"/>
      <c r="D2" s="20"/>
      <c r="E2" s="20"/>
      <c r="F2" s="20"/>
      <c r="G2" s="20"/>
      <c r="H2" s="20"/>
    </row>
    <row r="3" spans="1:8" ht="23.05" customHeight="1">
      <c r="A3" s="1"/>
      <c r="B3" s="1"/>
      <c r="C3" s="1"/>
      <c r="D3" s="1"/>
      <c r="E3" s="1"/>
      <c r="F3" s="1"/>
      <c r="G3" s="1"/>
      <c r="H3" s="1"/>
    </row>
    <row r="4" spans="1:8" ht="23.05" customHeight="1">
      <c r="A4" s="1"/>
      <c r="B4" s="1"/>
      <c r="C4" s="1"/>
      <c r="D4" s="1"/>
      <c r="E4" s="1"/>
      <c r="F4" s="1"/>
      <c r="G4" s="1"/>
      <c r="H4" s="1"/>
    </row>
    <row r="5" spans="1:8" ht="34" customHeight="1">
      <c r="A5" s="1" t="s">
        <v>16</v>
      </c>
      <c r="B5" s="10">
        <v>650000</v>
      </c>
      <c r="C5" s="19" t="s">
        <v>17</v>
      </c>
      <c r="D5" s="19"/>
      <c r="E5" s="19"/>
      <c r="F5" s="19"/>
      <c r="G5" s="19"/>
      <c r="H5" s="19"/>
    </row>
    <row r="6" spans="1:8" ht="34" customHeight="1">
      <c r="A6" s="1" t="s">
        <v>18</v>
      </c>
      <c r="B6" s="11">
        <v>6.5000000000000002E-2</v>
      </c>
      <c r="C6" s="19" t="s">
        <v>19</v>
      </c>
      <c r="D6" s="19"/>
      <c r="E6" s="19"/>
      <c r="F6" s="19"/>
      <c r="G6" s="19"/>
      <c r="H6" s="19"/>
    </row>
    <row r="7" spans="1:8" ht="34" customHeight="1">
      <c r="A7" s="1" t="s">
        <v>20</v>
      </c>
      <c r="B7" s="12">
        <v>25</v>
      </c>
      <c r="C7" s="19" t="s">
        <v>21</v>
      </c>
      <c r="D7" s="19"/>
      <c r="E7" s="19"/>
      <c r="F7" s="19"/>
      <c r="G7" s="19"/>
      <c r="H7" s="19"/>
    </row>
    <row r="8" spans="1:8" ht="34" customHeight="1">
      <c r="A8" s="1" t="s">
        <v>22</v>
      </c>
      <c r="B8" s="12" t="s">
        <v>23</v>
      </c>
      <c r="C8" s="19" t="s">
        <v>24</v>
      </c>
      <c r="D8" s="19"/>
      <c r="E8" s="19"/>
      <c r="F8" s="19"/>
      <c r="G8" s="19"/>
      <c r="H8" s="19"/>
    </row>
    <row r="9" spans="1:8" ht="34" customHeight="1">
      <c r="A9" s="1" t="s">
        <v>25</v>
      </c>
      <c r="B9" s="10">
        <v>420</v>
      </c>
      <c r="C9" s="19" t="s">
        <v>26</v>
      </c>
      <c r="D9" s="19"/>
      <c r="E9" s="19"/>
      <c r="F9" s="19"/>
      <c r="G9" s="19"/>
      <c r="H9" s="19"/>
    </row>
    <row r="10" spans="1:8" ht="34" customHeight="1">
      <c r="A10" s="1" t="s">
        <v>27</v>
      </c>
      <c r="B10" s="13">
        <v>46327</v>
      </c>
      <c r="C10" s="19" t="s">
        <v>28</v>
      </c>
      <c r="D10" s="19"/>
      <c r="E10" s="19"/>
      <c r="F10" s="19"/>
      <c r="G10" s="19"/>
      <c r="H10" s="19"/>
    </row>
    <row r="11" spans="1:8" ht="23.05" customHeight="1">
      <c r="A11" s="1"/>
      <c r="B11" s="1"/>
      <c r="C11" s="1"/>
      <c r="D11" s="1"/>
      <c r="E11" s="1"/>
      <c r="F11" s="1"/>
      <c r="G11" s="1"/>
      <c r="H11" s="1"/>
    </row>
    <row r="12" spans="1:8" ht="23.05" customHeight="1">
      <c r="A12" s="1"/>
      <c r="B12" s="1"/>
      <c r="C12" s="1"/>
      <c r="D12" s="1"/>
      <c r="E12" s="1"/>
      <c r="F12" s="1"/>
      <c r="G12" s="1"/>
      <c r="H12" s="1"/>
    </row>
    <row r="13" spans="1:8" ht="23.05" customHeight="1">
      <c r="A13" s="1" t="s">
        <v>29</v>
      </c>
      <c r="B13" s="1" t="b">
        <f>IFERROR(AND(AND(ISNUMBER(B5),B5&gt;=0,B5&lt;=100000000),AND(ISNUMBER(B6),B6&gt;=0,B6&lt;=0.3),AND(ISNUMBER(B7),B7&gt;=1,B7&lt;=40),MOD(B7,1)=0,OR(B8="monthly",B8="fortnightly",B8="weekly"),AND(ISNUMBER(B9),B9&gt;=0,B9&lt;=10000000),AND(ISNUMBER(B10),B10&gt;=36526,B10&lt;=73050),AND(ISNUMBER('Proposed Loan'!B5),'Proposed Loan'!B5&gt;=0,'Proposed Loan'!B5&lt;=0.3),AND(ISNUMBER('Proposed Loan'!B6),'Proposed Loan'!B6&gt;=1,'Proposed Loan'!B6&lt;=40),MOD('Proposed Loan'!B6,1)=0,OR('Proposed Loan'!B7="monthly",'Proposed Loan'!B7="fortnightly",'Proposed Loan'!B7="weekly"),AND(ISNUMBER('Proposed Loan'!B8),'Proposed Loan'!B8&gt;=0,'Proposed Loan'!B8&lt;=10000000),AND(ISNUMBER('Proposed Loan'!B9),'Proposed Loan'!B9&gt;=0,'Proposed Loan'!B9&lt;=10000000),AND(ISNUMBER('Proposed Loan'!B10),'Proposed Loan'!B10&gt;=0,'Proposed Loan'!B10&lt;=10000000),AND(ISNUMBER('Proposed Loan'!B11),'Proposed Loan'!B11&gt;=0,'Proposed Loan'!B11&lt;=10000000),AND(ISNUMBER('Proposed Loan'!B12),'Proposed Loan'!B12&gt;=0,'Proposed Loan'!B12&lt;=10000000),AND(ISNUMBER('Proposed Loan'!B13),'Proposed Loan'!B13&gt;=0,'Proposed Loan'!B13&lt;=10000000)),FALSE)</f>
        <v>1</v>
      </c>
      <c r="C13" s="1"/>
      <c r="D13" s="1"/>
      <c r="E13" s="1"/>
      <c r="F13" s="1"/>
      <c r="G13" s="1"/>
      <c r="H13" s="1"/>
    </row>
    <row r="14" spans="1:8" ht="23.05" customHeight="1">
      <c r="A14" s="1"/>
      <c r="B14" s="1"/>
      <c r="C14" s="1"/>
      <c r="D14" s="1"/>
      <c r="E14" s="1"/>
      <c r="F14" s="1"/>
      <c r="G14" s="1"/>
      <c r="H14" s="1"/>
    </row>
    <row r="15" spans="1:8" ht="23.05" customHeight="1">
      <c r="A15" s="1" t="s">
        <v>30</v>
      </c>
      <c r="B15" s="1">
        <f>IF(B8="monthly",12,IF(B8="fortnightly",26,52))</f>
        <v>12</v>
      </c>
      <c r="C15" s="1"/>
      <c r="D15" s="1"/>
      <c r="E15" s="1"/>
      <c r="F15" s="1"/>
      <c r="G15" s="1"/>
      <c r="H15" s="1"/>
    </row>
    <row r="16" spans="1:8" ht="23.05" customHeight="1">
      <c r="A16" s="1" t="s">
        <v>31</v>
      </c>
      <c r="B16" s="9">
        <f>IF(B13,IF((B6/B15)=0,B5/(B7*B15),B5*(B6/B15)*(1+(B6/B15))^(B7*B15)/((1+(B6/B15))^(B7*B15)-1)),"")</f>
        <v>4388.8465487596777</v>
      </c>
      <c r="C16" s="1"/>
      <c r="D16" s="1"/>
      <c r="E16" s="1"/>
      <c r="F16" s="1"/>
      <c r="G16" s="1"/>
      <c r="H16" s="1"/>
    </row>
    <row r="17" spans="1:8" ht="23.05" customHeight="1">
      <c r="A17" s="1" t="s">
        <v>32</v>
      </c>
      <c r="B17" s="9">
        <f>IF('Current Loan'!$B$13,B16*B15/12,"")</f>
        <v>4388.8465487596777</v>
      </c>
      <c r="C17" s="1"/>
      <c r="D17" s="1"/>
      <c r="E17" s="1"/>
      <c r="F17" s="1"/>
      <c r="G17" s="1"/>
      <c r="H17" s="1"/>
    </row>
    <row r="18" spans="1:8" ht="23.05" customHeight="1">
      <c r="A18" s="1"/>
      <c r="B18" s="1"/>
      <c r="C18" s="1"/>
      <c r="D18" s="1"/>
      <c r="E18" s="1"/>
      <c r="F18" s="1"/>
      <c r="G18" s="1"/>
      <c r="H18" s="1"/>
    </row>
    <row r="19" spans="1:8" ht="23.05" customHeight="1">
      <c r="A19" s="1"/>
      <c r="B19" s="1"/>
      <c r="C19" s="1"/>
      <c r="D19" s="1"/>
      <c r="E19" s="1"/>
      <c r="F19" s="1"/>
      <c r="G19" s="1"/>
      <c r="H19" s="1"/>
    </row>
    <row r="20" spans="1:8" ht="23.05" customHeight="1">
      <c r="A20" s="1"/>
      <c r="B20" s="1"/>
      <c r="C20" s="1"/>
      <c r="D20" s="1"/>
      <c r="E20" s="1"/>
      <c r="F20" s="1"/>
      <c r="G20" s="1"/>
      <c r="H20" s="1"/>
    </row>
    <row r="21" spans="1:8" ht="23.05" customHeight="1">
      <c r="A21" s="1"/>
      <c r="B21" s="1"/>
      <c r="C21" s="1"/>
      <c r="D21" s="1"/>
      <c r="E21" s="1"/>
      <c r="F21" s="1"/>
      <c r="G21" s="1"/>
      <c r="H21" s="1"/>
    </row>
    <row r="22" spans="1:8" ht="23.05" customHeight="1">
      <c r="A22" s="1"/>
      <c r="B22" s="1"/>
      <c r="C22" s="1"/>
      <c r="D22" s="1"/>
      <c r="E22" s="1"/>
      <c r="F22" s="1"/>
      <c r="G22" s="1"/>
      <c r="H22" s="1"/>
    </row>
    <row r="23" spans="1:8" ht="23.05" customHeight="1">
      <c r="A23" s="1"/>
      <c r="B23" s="1"/>
      <c r="C23" s="1"/>
      <c r="D23" s="1"/>
      <c r="E23" s="1"/>
      <c r="F23" s="1"/>
      <c r="G23" s="1"/>
      <c r="H23" s="1"/>
    </row>
    <row r="24" spans="1:8" ht="23.05" customHeight="1">
      <c r="A24" s="1"/>
      <c r="B24" s="1"/>
      <c r="C24" s="1"/>
      <c r="D24" s="1"/>
      <c r="E24" s="1"/>
      <c r="F24" s="1"/>
      <c r="G24" s="1"/>
      <c r="H24" s="1"/>
    </row>
    <row r="25" spans="1:8" ht="23.05" customHeight="1">
      <c r="A25" s="1"/>
      <c r="B25" s="1"/>
      <c r="C25" s="1"/>
      <c r="D25" s="1"/>
      <c r="E25" s="1"/>
      <c r="F25" s="1"/>
      <c r="G25" s="1"/>
      <c r="H25" s="1"/>
    </row>
    <row r="26" spans="1:8" ht="23.05" customHeight="1">
      <c r="A26" s="1"/>
      <c r="B26" s="1"/>
      <c r="C26" s="1"/>
      <c r="D26" s="1"/>
      <c r="E26" s="1"/>
      <c r="F26" s="1"/>
      <c r="G26" s="1"/>
      <c r="H26" s="1"/>
    </row>
    <row r="27" spans="1:8" ht="23.05" customHeight="1">
      <c r="A27" s="1"/>
      <c r="B27" s="1"/>
      <c r="C27" s="1"/>
      <c r="D27" s="1"/>
      <c r="E27" s="1"/>
      <c r="F27" s="1"/>
      <c r="G27" s="1"/>
      <c r="H27" s="1"/>
    </row>
    <row r="28" spans="1:8" ht="23.05" customHeight="1">
      <c r="A28" s="1"/>
      <c r="B28" s="1"/>
      <c r="C28" s="1"/>
      <c r="D28" s="1"/>
      <c r="E28" s="1"/>
      <c r="F28" s="1"/>
      <c r="G28" s="1"/>
      <c r="H28" s="1"/>
    </row>
    <row r="29" spans="1:8" ht="23.05" customHeight="1">
      <c r="A29" s="1"/>
      <c r="B29" s="1"/>
      <c r="C29" s="1"/>
      <c r="D29" s="1"/>
      <c r="E29" s="1"/>
      <c r="F29" s="1"/>
      <c r="G29" s="1"/>
      <c r="H29" s="1"/>
    </row>
    <row r="30" spans="1:8" ht="23.05" customHeight="1">
      <c r="A30" s="1"/>
      <c r="B30" s="1"/>
      <c r="C30" s="1"/>
      <c r="D30" s="1"/>
      <c r="E30" s="1"/>
      <c r="F30" s="1"/>
      <c r="G30" s="1"/>
      <c r="H30" s="1"/>
    </row>
    <row r="31" spans="1:8" ht="23.05" customHeight="1">
      <c r="A31" s="1"/>
      <c r="B31" s="1"/>
      <c r="C31" s="1"/>
      <c r="D31" s="1"/>
      <c r="E31" s="1"/>
      <c r="F31" s="1"/>
      <c r="G31" s="1"/>
      <c r="H31" s="1"/>
    </row>
    <row r="32" spans="1:8" ht="23.05" customHeight="1">
      <c r="A32" s="1"/>
      <c r="B32" s="1"/>
      <c r="C32" s="1"/>
      <c r="D32" s="1"/>
      <c r="E32" s="1"/>
      <c r="F32" s="1"/>
      <c r="G32" s="1"/>
      <c r="H32" s="1"/>
    </row>
    <row r="33" spans="1:8" ht="23.05" customHeight="1">
      <c r="A33" s="1"/>
      <c r="B33" s="1"/>
      <c r="C33" s="1"/>
      <c r="D33" s="1"/>
      <c r="E33" s="1"/>
      <c r="F33" s="1"/>
      <c r="G33" s="1"/>
      <c r="H33" s="1"/>
    </row>
    <row r="34" spans="1:8" ht="23.05" customHeight="1">
      <c r="A34" s="1"/>
      <c r="B34" s="1"/>
      <c r="C34" s="1"/>
      <c r="D34" s="1"/>
      <c r="E34" s="1"/>
      <c r="F34" s="1"/>
      <c r="G34" s="1"/>
      <c r="H34" s="1"/>
    </row>
    <row r="35" spans="1:8" ht="23.05" customHeight="1">
      <c r="A35" s="1"/>
      <c r="B35" s="1"/>
      <c r="C35" s="1"/>
      <c r="D35" s="1"/>
      <c r="E35" s="1"/>
      <c r="F35" s="1"/>
      <c r="G35" s="1"/>
      <c r="H35" s="1"/>
    </row>
    <row r="36" spans="1:8" ht="23.05" customHeight="1">
      <c r="A36" s="1"/>
      <c r="B36" s="1"/>
      <c r="C36" s="1"/>
      <c r="D36" s="1"/>
      <c r="E36" s="1"/>
      <c r="F36" s="1"/>
      <c r="G36" s="1"/>
      <c r="H36" s="1"/>
    </row>
    <row r="37" spans="1:8" ht="23.05" customHeight="1">
      <c r="A37" s="1"/>
      <c r="B37" s="1"/>
      <c r="C37" s="1"/>
      <c r="D37" s="1"/>
      <c r="E37" s="1"/>
      <c r="F37" s="1"/>
      <c r="G37" s="1"/>
      <c r="H37" s="1"/>
    </row>
    <row r="38" spans="1:8" ht="23.05" customHeight="1">
      <c r="A38" s="1"/>
      <c r="B38" s="1"/>
      <c r="C38" s="1"/>
      <c r="D38" s="1"/>
      <c r="E38" s="1"/>
      <c r="F38" s="1"/>
      <c r="G38" s="1"/>
      <c r="H38" s="1"/>
    </row>
    <row r="39" spans="1:8" ht="23.05" customHeight="1">
      <c r="A39" s="1"/>
      <c r="B39" s="1"/>
      <c r="C39" s="1"/>
      <c r="D39" s="1"/>
      <c r="E39" s="1"/>
      <c r="F39" s="1"/>
      <c r="G39" s="1"/>
      <c r="H39" s="1"/>
    </row>
    <row r="40" spans="1:8" ht="23.05" customHeight="1">
      <c r="A40" s="1"/>
      <c r="B40" s="1"/>
      <c r="C40" s="1"/>
      <c r="D40" s="1"/>
      <c r="E40" s="1"/>
      <c r="F40" s="1"/>
      <c r="G40" s="1"/>
      <c r="H40" s="1"/>
    </row>
    <row r="41" spans="1:8" ht="23.05" customHeight="1">
      <c r="A41" s="1"/>
      <c r="B41" s="1"/>
      <c r="C41" s="1"/>
      <c r="D41" s="1"/>
      <c r="E41" s="1"/>
      <c r="F41" s="1"/>
      <c r="G41" s="1"/>
      <c r="H41" s="1"/>
    </row>
    <row r="42" spans="1:8" ht="23.05" customHeight="1">
      <c r="A42" s="1"/>
      <c r="B42" s="1"/>
      <c r="C42" s="1"/>
      <c r="D42" s="1"/>
      <c r="E42" s="1"/>
      <c r="F42" s="1"/>
      <c r="G42" s="1"/>
      <c r="H42" s="1"/>
    </row>
    <row r="43" spans="1:8" ht="23.05" customHeight="1">
      <c r="A43" s="1"/>
      <c r="B43" s="1"/>
      <c r="C43" s="1"/>
      <c r="D43" s="1"/>
      <c r="E43" s="1"/>
      <c r="F43" s="1"/>
      <c r="G43" s="1"/>
      <c r="H43" s="1"/>
    </row>
    <row r="44" spans="1:8" ht="23.05" customHeight="1">
      <c r="A44" s="1"/>
      <c r="B44" s="1"/>
      <c r="C44" s="1"/>
      <c r="D44" s="1"/>
      <c r="E44" s="1"/>
      <c r="F44" s="1"/>
      <c r="G44" s="1"/>
      <c r="H44" s="1"/>
    </row>
    <row r="45" spans="1:8" ht="23.05" customHeight="1">
      <c r="A45" s="1"/>
      <c r="B45" s="1"/>
      <c r="C45" s="1"/>
      <c r="D45" s="1"/>
      <c r="E45" s="1"/>
      <c r="F45" s="1"/>
      <c r="G45" s="1"/>
      <c r="H45" s="1"/>
    </row>
    <row r="46" spans="1:8" ht="23.05" customHeight="1">
      <c r="A46" s="1"/>
      <c r="B46" s="1"/>
      <c r="C46" s="1"/>
      <c r="D46" s="1"/>
      <c r="E46" s="1"/>
      <c r="F46" s="1"/>
      <c r="G46" s="1"/>
      <c r="H46" s="1"/>
    </row>
    <row r="47" spans="1:8" ht="23.05" customHeight="1">
      <c r="A47" s="1"/>
      <c r="B47" s="1"/>
      <c r="C47" s="1"/>
      <c r="D47" s="1"/>
      <c r="E47" s="1"/>
      <c r="F47" s="1"/>
      <c r="G47" s="1"/>
      <c r="H47" s="1"/>
    </row>
    <row r="48" spans="1:8" ht="23.05" customHeight="1">
      <c r="A48" s="1"/>
      <c r="B48" s="1"/>
      <c r="C48" s="1"/>
      <c r="D48" s="1"/>
      <c r="E48" s="1"/>
      <c r="F48" s="1"/>
      <c r="G48" s="1"/>
      <c r="H48" s="1"/>
    </row>
    <row r="49" spans="1:8" ht="23.05" customHeight="1">
      <c r="A49" s="1"/>
      <c r="B49" s="1"/>
      <c r="C49" s="1"/>
      <c r="D49" s="1"/>
      <c r="E49" s="1"/>
      <c r="F49" s="1"/>
      <c r="G49" s="1"/>
      <c r="H49" s="1"/>
    </row>
    <row r="50" spans="1:8" ht="23.05" customHeight="1">
      <c r="A50" s="1"/>
      <c r="B50" s="1"/>
      <c r="C50" s="1"/>
      <c r="D50" s="1"/>
      <c r="E50" s="1"/>
      <c r="F50" s="1"/>
      <c r="G50" s="1"/>
      <c r="H50" s="1"/>
    </row>
    <row r="51" spans="1:8" ht="23.05" customHeight="1">
      <c r="A51" s="1"/>
      <c r="B51" s="1"/>
      <c r="C51" s="1"/>
      <c r="D51" s="1"/>
      <c r="E51" s="1"/>
      <c r="F51" s="1"/>
      <c r="G51" s="1"/>
      <c r="H51" s="1"/>
    </row>
    <row r="52" spans="1:8" ht="23.05" customHeight="1">
      <c r="A52" s="1"/>
      <c r="B52" s="1"/>
      <c r="C52" s="1"/>
      <c r="D52" s="1"/>
      <c r="E52" s="1"/>
      <c r="F52" s="1"/>
      <c r="G52" s="1"/>
      <c r="H52" s="1"/>
    </row>
    <row r="53" spans="1:8" ht="23.05" customHeight="1">
      <c r="A53" s="1"/>
      <c r="B53" s="1"/>
      <c r="C53" s="1"/>
      <c r="D53" s="1"/>
      <c r="E53" s="1"/>
      <c r="F53" s="1"/>
      <c r="G53" s="1"/>
      <c r="H53" s="1"/>
    </row>
    <row r="54" spans="1:8" ht="23.05" customHeight="1">
      <c r="A54" s="1"/>
      <c r="B54" s="1"/>
      <c r="C54" s="1"/>
      <c r="D54" s="1"/>
      <c r="E54" s="1"/>
      <c r="F54" s="1"/>
      <c r="G54" s="1"/>
      <c r="H54" s="1"/>
    </row>
    <row r="55" spans="1:8" ht="23.05" customHeight="1">
      <c r="A55" s="1"/>
      <c r="B55" s="1"/>
      <c r="C55" s="1"/>
      <c r="D55" s="1"/>
      <c r="E55" s="1"/>
      <c r="F55" s="1"/>
      <c r="G55" s="1"/>
      <c r="H55" s="1"/>
    </row>
    <row r="56" spans="1:8" ht="23.05" customHeight="1">
      <c r="A56" s="1"/>
      <c r="B56" s="1"/>
      <c r="C56" s="1"/>
      <c r="D56" s="1"/>
      <c r="E56" s="1"/>
      <c r="F56" s="1"/>
      <c r="G56" s="1"/>
      <c r="H56" s="1"/>
    </row>
    <row r="57" spans="1:8" ht="23.05" customHeight="1">
      <c r="A57" s="1"/>
      <c r="B57" s="1"/>
      <c r="C57" s="1"/>
      <c r="D57" s="1"/>
      <c r="E57" s="1"/>
      <c r="F57" s="1"/>
      <c r="G57" s="1"/>
      <c r="H57" s="1"/>
    </row>
    <row r="58" spans="1:8" ht="23.05" customHeight="1">
      <c r="A58" s="1"/>
      <c r="B58" s="1"/>
      <c r="C58" s="1"/>
      <c r="D58" s="1"/>
      <c r="E58" s="1"/>
      <c r="F58" s="1"/>
      <c r="G58" s="1"/>
      <c r="H58" s="1"/>
    </row>
    <row r="59" spans="1:8" ht="23.05" customHeight="1">
      <c r="A59" s="1"/>
      <c r="B59" s="1"/>
      <c r="C59" s="1"/>
      <c r="D59" s="1"/>
      <c r="E59" s="1"/>
      <c r="F59" s="1"/>
      <c r="G59" s="1"/>
      <c r="H59" s="1"/>
    </row>
    <row r="60" spans="1:8" ht="23.05" customHeight="1">
      <c r="A60" s="1"/>
      <c r="B60" s="1"/>
      <c r="C60" s="1"/>
      <c r="D60" s="1"/>
      <c r="E60" s="1"/>
      <c r="F60" s="1"/>
      <c r="G60" s="1"/>
      <c r="H60" s="1"/>
    </row>
    <row r="61" spans="1:8" ht="23.05" customHeight="1">
      <c r="A61" s="1"/>
      <c r="B61" s="1"/>
      <c r="C61" s="1"/>
      <c r="D61" s="1"/>
      <c r="E61" s="1"/>
      <c r="F61" s="1"/>
      <c r="G61" s="1"/>
      <c r="H61" s="1"/>
    </row>
    <row r="62" spans="1:8" ht="23.05" customHeight="1">
      <c r="A62" s="1"/>
      <c r="B62" s="1"/>
      <c r="C62" s="1"/>
      <c r="D62" s="1"/>
      <c r="E62" s="1"/>
      <c r="F62" s="1"/>
      <c r="G62" s="1"/>
      <c r="H62" s="1"/>
    </row>
    <row r="63" spans="1:8" ht="23.05" customHeight="1">
      <c r="A63" s="1"/>
      <c r="B63" s="1"/>
      <c r="C63" s="1"/>
      <c r="D63" s="1"/>
      <c r="E63" s="1"/>
      <c r="F63" s="1"/>
      <c r="G63" s="1"/>
      <c r="H63" s="1"/>
    </row>
    <row r="64" spans="1:8" ht="23.05" customHeight="1">
      <c r="A64" s="1"/>
      <c r="B64" s="1"/>
      <c r="C64" s="1"/>
      <c r="D64" s="1"/>
      <c r="E64" s="1"/>
      <c r="F64" s="1"/>
      <c r="G64" s="1"/>
      <c r="H64" s="1"/>
    </row>
    <row r="65" spans="1:8" ht="23.05" customHeight="1">
      <c r="A65" s="1"/>
      <c r="B65" s="1"/>
      <c r="C65" s="1"/>
      <c r="D65" s="1"/>
      <c r="E65" s="1"/>
      <c r="F65" s="1"/>
      <c r="G65" s="1"/>
      <c r="H65" s="1"/>
    </row>
    <row r="66" spans="1:8" ht="23.05" customHeight="1">
      <c r="A66" s="1"/>
      <c r="B66" s="1"/>
      <c r="C66" s="1"/>
      <c r="D66" s="1"/>
      <c r="E66" s="1"/>
      <c r="F66" s="1"/>
      <c r="G66" s="1"/>
      <c r="H66" s="1"/>
    </row>
    <row r="67" spans="1:8" ht="23.05" customHeight="1">
      <c r="A67" s="1"/>
      <c r="B67" s="1"/>
      <c r="C67" s="1"/>
      <c r="D67" s="1"/>
      <c r="E67" s="1"/>
      <c r="F67" s="1"/>
      <c r="G67" s="1"/>
      <c r="H67" s="1"/>
    </row>
    <row r="68" spans="1:8" ht="23.05" customHeight="1">
      <c r="A68" s="1"/>
      <c r="B68" s="1"/>
      <c r="C68" s="1"/>
      <c r="D68" s="1"/>
      <c r="E68" s="1"/>
      <c r="F68" s="1"/>
      <c r="G68" s="1"/>
      <c r="H68" s="1"/>
    </row>
    <row r="69" spans="1:8" ht="23.05" customHeight="1">
      <c r="A69" s="1"/>
      <c r="B69" s="1"/>
      <c r="C69" s="1"/>
      <c r="D69" s="1"/>
      <c r="E69" s="1"/>
      <c r="F69" s="1"/>
      <c r="G69" s="1"/>
      <c r="H69" s="1"/>
    </row>
    <row r="70" spans="1:8" ht="23.05" customHeight="1">
      <c r="A70" s="1"/>
      <c r="B70" s="1"/>
      <c r="C70" s="1"/>
      <c r="D70" s="1"/>
      <c r="E70" s="1"/>
      <c r="F70" s="1"/>
      <c r="G70" s="1"/>
      <c r="H70" s="1"/>
    </row>
  </sheetData>
  <sheetProtection sheet="1" objects="1" scenarios="1"/>
  <mergeCells count="7">
    <mergeCell ref="C9:H9"/>
    <mergeCell ref="C10:H10"/>
    <mergeCell ref="A1:H2"/>
    <mergeCell ref="C5:H5"/>
    <mergeCell ref="C6:H6"/>
    <mergeCell ref="C7:H7"/>
    <mergeCell ref="C8:H8"/>
  </mergeCells>
  <dataValidations count="1">
    <dataValidation type="list" allowBlank="1" showInputMessage="1" showErrorMessage="1" sqref="B8" xr:uid="{7D63BE90-6A65-4A8F-A2B6-8B56E2951CD6}">
      <formula1>"monthly,fortnightly,weekly"</formula1>
    </dataValidation>
  </dataValidations>
  <pageMargins left="0.39370078740157477" right="0.39370078740157477" top="0.39370078740157477" bottom="0.59055118110236215" header="0.3" footer="0.19685039370078738"/>
  <pageSetup paperSize="9" scale="82" orientation="landscape" r:id="rId1"/>
  <headerFooter>
    <oddFooter>&amp;CCalcy | Page &amp;P&amp;Rcalcy.com.au</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D6A4F"/>
    <pageSetUpPr fitToPage="1"/>
  </sheetPr>
  <dimension ref="A1:H70"/>
  <sheetViews>
    <sheetView showGridLines="0" zoomScaleNormal="100" workbookViewId="0">
      <selection sqref="A1:H2"/>
    </sheetView>
  </sheetViews>
  <sheetFormatPr defaultRowHeight="14.15"/>
  <cols>
    <col min="1" max="1" width="36" customWidth="1"/>
    <col min="2" max="8" width="17" customWidth="1"/>
  </cols>
  <sheetData>
    <row r="1" spans="1:8" ht="23.05" customHeight="1">
      <c r="A1" s="20" t="s">
        <v>33</v>
      </c>
      <c r="B1" s="20"/>
      <c r="C1" s="20"/>
      <c r="D1" s="20"/>
      <c r="E1" s="20"/>
      <c r="F1" s="20"/>
      <c r="G1" s="20"/>
      <c r="H1" s="20"/>
    </row>
    <row r="2" spans="1:8" ht="23.05" customHeight="1">
      <c r="A2" s="20"/>
      <c r="B2" s="20"/>
      <c r="C2" s="20"/>
      <c r="D2" s="20"/>
      <c r="E2" s="20"/>
      <c r="F2" s="20"/>
      <c r="G2" s="20"/>
      <c r="H2" s="20"/>
    </row>
    <row r="3" spans="1:8" ht="23.05" customHeight="1">
      <c r="A3" s="1"/>
      <c r="B3" s="1"/>
      <c r="C3" s="1"/>
      <c r="D3" s="1"/>
      <c r="E3" s="1"/>
      <c r="F3" s="1"/>
      <c r="G3" s="1"/>
      <c r="H3" s="1"/>
    </row>
    <row r="4" spans="1:8" ht="23.05" customHeight="1">
      <c r="A4" s="1"/>
      <c r="B4" s="1"/>
      <c r="C4" s="1"/>
      <c r="D4" s="1"/>
      <c r="E4" s="1"/>
      <c r="F4" s="1"/>
      <c r="G4" s="1"/>
      <c r="H4" s="1"/>
    </row>
    <row r="5" spans="1:8" ht="34" customHeight="1">
      <c r="A5" s="1" t="s">
        <v>34</v>
      </c>
      <c r="B5" s="11">
        <v>0.06</v>
      </c>
      <c r="C5" s="19" t="s">
        <v>19</v>
      </c>
      <c r="D5" s="19"/>
      <c r="E5" s="19"/>
      <c r="F5" s="19"/>
      <c r="G5" s="19"/>
      <c r="H5" s="19"/>
    </row>
    <row r="6" spans="1:8" ht="34" customHeight="1">
      <c r="A6" s="1" t="s">
        <v>35</v>
      </c>
      <c r="B6" s="12">
        <v>25</v>
      </c>
      <c r="C6" s="19" t="s">
        <v>36</v>
      </c>
      <c r="D6" s="19"/>
      <c r="E6" s="19"/>
      <c r="F6" s="19"/>
      <c r="G6" s="19"/>
      <c r="H6" s="19"/>
    </row>
    <row r="7" spans="1:8" ht="34" customHeight="1">
      <c r="A7" s="1" t="s">
        <v>22</v>
      </c>
      <c r="B7" s="12" t="s">
        <v>23</v>
      </c>
      <c r="C7" s="19" t="s">
        <v>37</v>
      </c>
      <c r="D7" s="19"/>
      <c r="E7" s="19"/>
      <c r="F7" s="19"/>
      <c r="G7" s="19"/>
      <c r="H7" s="19"/>
    </row>
    <row r="8" spans="1:8" ht="34" customHeight="1">
      <c r="A8" s="1" t="s">
        <v>38</v>
      </c>
      <c r="B8" s="10">
        <v>600</v>
      </c>
      <c r="C8" s="19" t="s">
        <v>39</v>
      </c>
      <c r="D8" s="19"/>
      <c r="E8" s="19"/>
      <c r="F8" s="19"/>
      <c r="G8" s="19"/>
      <c r="H8" s="19"/>
    </row>
    <row r="9" spans="1:8" ht="34" customHeight="1">
      <c r="A9" s="1" t="s">
        <v>40</v>
      </c>
      <c r="B9" s="10">
        <v>200</v>
      </c>
      <c r="C9" s="19" t="s">
        <v>41</v>
      </c>
      <c r="D9" s="19"/>
      <c r="E9" s="19"/>
      <c r="F9" s="19"/>
      <c r="G9" s="19"/>
      <c r="H9" s="19"/>
    </row>
    <row r="10" spans="1:8" ht="34" customHeight="1">
      <c r="A10" s="1" t="s">
        <v>42</v>
      </c>
      <c r="B10" s="10">
        <v>200</v>
      </c>
      <c r="C10" s="19" t="s">
        <v>41</v>
      </c>
      <c r="D10" s="19"/>
      <c r="E10" s="19"/>
      <c r="F10" s="19"/>
      <c r="G10" s="19"/>
      <c r="H10" s="19"/>
    </row>
    <row r="11" spans="1:8" ht="34" customHeight="1">
      <c r="A11" s="1" t="s">
        <v>43</v>
      </c>
      <c r="B11" s="10">
        <v>350</v>
      </c>
      <c r="C11" s="19" t="s">
        <v>44</v>
      </c>
      <c r="D11" s="19"/>
      <c r="E11" s="19"/>
      <c r="F11" s="19"/>
      <c r="G11" s="19"/>
      <c r="H11" s="19"/>
    </row>
    <row r="12" spans="1:8" ht="34" customHeight="1">
      <c r="A12" s="1" t="s">
        <v>45</v>
      </c>
      <c r="B12" s="10">
        <v>200</v>
      </c>
      <c r="C12" s="19" t="s">
        <v>46</v>
      </c>
      <c r="D12" s="19"/>
      <c r="E12" s="19"/>
      <c r="F12" s="19"/>
      <c r="G12" s="19"/>
      <c r="H12" s="19"/>
    </row>
    <row r="13" spans="1:8" ht="34" customHeight="1">
      <c r="A13" s="1" t="s">
        <v>47</v>
      </c>
      <c r="B13" s="10">
        <v>300</v>
      </c>
      <c r="C13" s="19" t="s">
        <v>48</v>
      </c>
      <c r="D13" s="19"/>
      <c r="E13" s="19"/>
      <c r="F13" s="19"/>
      <c r="G13" s="19"/>
      <c r="H13" s="19"/>
    </row>
    <row r="14" spans="1:8" ht="23.05" customHeight="1">
      <c r="A14" s="1"/>
      <c r="B14" s="1"/>
      <c r="C14" s="1"/>
      <c r="D14" s="1"/>
      <c r="E14" s="1"/>
      <c r="F14" s="1"/>
      <c r="G14" s="1"/>
      <c r="H14" s="1"/>
    </row>
    <row r="15" spans="1:8" ht="23.05" customHeight="1">
      <c r="A15" s="1" t="s">
        <v>30</v>
      </c>
      <c r="B15" s="1">
        <f>IF(B7="monthly",12,IF(B7="fortnightly",26,52))</f>
        <v>12</v>
      </c>
      <c r="C15" s="1"/>
      <c r="D15" s="1"/>
      <c r="E15" s="1"/>
      <c r="F15" s="1"/>
      <c r="G15" s="1"/>
      <c r="H15" s="1"/>
    </row>
    <row r="16" spans="1:8" ht="23.05" customHeight="1">
      <c r="A16" s="1" t="s">
        <v>31</v>
      </c>
      <c r="B16" s="9">
        <f>IF('Current Loan'!$B$13,IF((B5/B15)=0,'Current Loan'!B5/(B6*B15),'Current Loan'!B5*(B5/B15)*(1+(B5/B15))^(B6*B15)/((1+(B5/B15))^(B6*B15)-1)),"")</f>
        <v>4187.9591096558606</v>
      </c>
      <c r="C16" s="1"/>
      <c r="D16" s="1"/>
      <c r="E16" s="1"/>
      <c r="F16" s="1"/>
      <c r="G16" s="1"/>
      <c r="H16" s="1"/>
    </row>
    <row r="17" spans="1:8" ht="23.05" customHeight="1">
      <c r="A17" s="1" t="s">
        <v>32</v>
      </c>
      <c r="B17" s="9">
        <f>IF('Current Loan'!$B$13,B16*B15/12,"")</f>
        <v>4187.9591096558606</v>
      </c>
      <c r="C17" s="1"/>
      <c r="D17" s="1"/>
      <c r="E17" s="1"/>
      <c r="F17" s="1"/>
      <c r="G17" s="1"/>
      <c r="H17" s="1"/>
    </row>
    <row r="18" spans="1:8" ht="23.05" customHeight="1">
      <c r="A18" s="1" t="s">
        <v>4</v>
      </c>
      <c r="B18" s="9">
        <f>IF('Current Loan'!$B$13,SUM(B8:B12),"")</f>
        <v>1550</v>
      </c>
      <c r="C18" s="1"/>
      <c r="D18" s="1"/>
      <c r="E18" s="1"/>
      <c r="F18" s="1"/>
      <c r="G18" s="1"/>
      <c r="H18" s="1"/>
    </row>
    <row r="19" spans="1:8" ht="23.05" customHeight="1">
      <c r="A19" s="1"/>
      <c r="B19" s="1"/>
      <c r="C19" s="1"/>
      <c r="D19" s="1"/>
      <c r="E19" s="1"/>
      <c r="F19" s="1"/>
      <c r="G19" s="1"/>
      <c r="H19" s="1"/>
    </row>
    <row r="20" spans="1:8" ht="23.05" customHeight="1">
      <c r="A20" s="1"/>
      <c r="B20" s="1"/>
      <c r="C20" s="1"/>
      <c r="D20" s="1"/>
      <c r="E20" s="1"/>
      <c r="F20" s="1"/>
      <c r="G20" s="1"/>
      <c r="H20" s="1"/>
    </row>
    <row r="21" spans="1:8" ht="23.05" customHeight="1">
      <c r="A21" s="1"/>
      <c r="B21" s="1"/>
      <c r="C21" s="1"/>
      <c r="D21" s="1"/>
      <c r="E21" s="1"/>
      <c r="F21" s="1"/>
      <c r="G21" s="1"/>
      <c r="H21" s="1"/>
    </row>
    <row r="22" spans="1:8" ht="23.05" customHeight="1">
      <c r="A22" s="1"/>
      <c r="B22" s="1"/>
      <c r="C22" s="1"/>
      <c r="D22" s="1"/>
      <c r="E22" s="1"/>
      <c r="F22" s="1"/>
      <c r="G22" s="1"/>
      <c r="H22" s="1"/>
    </row>
    <row r="23" spans="1:8" ht="23.05" customHeight="1">
      <c r="A23" s="1"/>
      <c r="B23" s="1"/>
      <c r="C23" s="1"/>
      <c r="D23" s="1"/>
      <c r="E23" s="1"/>
      <c r="F23" s="1"/>
      <c r="G23" s="1"/>
      <c r="H23" s="1"/>
    </row>
    <row r="24" spans="1:8" ht="23.05" customHeight="1">
      <c r="A24" s="1"/>
      <c r="B24" s="1"/>
      <c r="C24" s="1"/>
      <c r="D24" s="1"/>
      <c r="E24" s="1"/>
      <c r="F24" s="1"/>
      <c r="G24" s="1"/>
      <c r="H24" s="1"/>
    </row>
    <row r="25" spans="1:8" ht="23.05" customHeight="1">
      <c r="A25" s="1"/>
      <c r="B25" s="1"/>
      <c r="C25" s="1"/>
      <c r="D25" s="1"/>
      <c r="E25" s="1"/>
      <c r="F25" s="1"/>
      <c r="G25" s="1"/>
      <c r="H25" s="1"/>
    </row>
    <row r="26" spans="1:8" ht="23.05" customHeight="1">
      <c r="A26" s="1"/>
      <c r="B26" s="1"/>
      <c r="C26" s="1"/>
      <c r="D26" s="1"/>
      <c r="E26" s="1"/>
      <c r="F26" s="1"/>
      <c r="G26" s="1"/>
      <c r="H26" s="1"/>
    </row>
    <row r="27" spans="1:8" ht="23.05" customHeight="1">
      <c r="A27" s="1"/>
      <c r="B27" s="1"/>
      <c r="C27" s="1"/>
      <c r="D27" s="1"/>
      <c r="E27" s="1"/>
      <c r="F27" s="1"/>
      <c r="G27" s="1"/>
      <c r="H27" s="1"/>
    </row>
    <row r="28" spans="1:8" ht="23.05" customHeight="1">
      <c r="A28" s="1"/>
      <c r="B28" s="1"/>
      <c r="C28" s="1"/>
      <c r="D28" s="1"/>
      <c r="E28" s="1"/>
      <c r="F28" s="1"/>
      <c r="G28" s="1"/>
      <c r="H28" s="1"/>
    </row>
    <row r="29" spans="1:8" ht="23.05" customHeight="1">
      <c r="A29" s="1"/>
      <c r="B29" s="1"/>
      <c r="C29" s="1"/>
      <c r="D29" s="1"/>
      <c r="E29" s="1"/>
      <c r="F29" s="1"/>
      <c r="G29" s="1"/>
      <c r="H29" s="1"/>
    </row>
    <row r="30" spans="1:8" ht="23.05" customHeight="1">
      <c r="A30" s="1"/>
      <c r="B30" s="1"/>
      <c r="C30" s="1"/>
      <c r="D30" s="1"/>
      <c r="E30" s="1"/>
      <c r="F30" s="1"/>
      <c r="G30" s="1"/>
      <c r="H30" s="1"/>
    </row>
    <row r="31" spans="1:8" ht="23.05" customHeight="1">
      <c r="A31" s="1"/>
      <c r="B31" s="1"/>
      <c r="C31" s="1"/>
      <c r="D31" s="1"/>
      <c r="E31" s="1"/>
      <c r="F31" s="1"/>
      <c r="G31" s="1"/>
      <c r="H31" s="1"/>
    </row>
    <row r="32" spans="1:8" ht="23.05" customHeight="1">
      <c r="A32" s="1"/>
      <c r="B32" s="1"/>
      <c r="C32" s="1"/>
      <c r="D32" s="1"/>
      <c r="E32" s="1"/>
      <c r="F32" s="1"/>
      <c r="G32" s="1"/>
      <c r="H32" s="1"/>
    </row>
    <row r="33" spans="1:8" ht="23.05" customHeight="1">
      <c r="A33" s="1"/>
      <c r="B33" s="1"/>
      <c r="C33" s="1"/>
      <c r="D33" s="1"/>
      <c r="E33" s="1"/>
      <c r="F33" s="1"/>
      <c r="G33" s="1"/>
      <c r="H33" s="1"/>
    </row>
    <row r="34" spans="1:8" ht="23.05" customHeight="1">
      <c r="A34" s="1"/>
      <c r="B34" s="1"/>
      <c r="C34" s="1"/>
      <c r="D34" s="1"/>
      <c r="E34" s="1"/>
      <c r="F34" s="1"/>
      <c r="G34" s="1"/>
      <c r="H34" s="1"/>
    </row>
    <row r="35" spans="1:8" ht="23.05" customHeight="1">
      <c r="A35" s="1"/>
      <c r="B35" s="1"/>
      <c r="C35" s="1"/>
      <c r="D35" s="1"/>
      <c r="E35" s="1"/>
      <c r="F35" s="1"/>
      <c r="G35" s="1"/>
      <c r="H35" s="1"/>
    </row>
    <row r="36" spans="1:8" ht="23.05" customHeight="1">
      <c r="A36" s="1"/>
      <c r="B36" s="1"/>
      <c r="C36" s="1"/>
      <c r="D36" s="1"/>
      <c r="E36" s="1"/>
      <c r="F36" s="1"/>
      <c r="G36" s="1"/>
      <c r="H36" s="1"/>
    </row>
    <row r="37" spans="1:8" ht="23.05" customHeight="1">
      <c r="A37" s="1"/>
      <c r="B37" s="1"/>
      <c r="C37" s="1"/>
      <c r="D37" s="1"/>
      <c r="E37" s="1"/>
      <c r="F37" s="1"/>
      <c r="G37" s="1"/>
      <c r="H37" s="1"/>
    </row>
    <row r="38" spans="1:8" ht="23.05" customHeight="1">
      <c r="A38" s="1"/>
      <c r="B38" s="1"/>
      <c r="C38" s="1"/>
      <c r="D38" s="1"/>
      <c r="E38" s="1"/>
      <c r="F38" s="1"/>
      <c r="G38" s="1"/>
      <c r="H38" s="1"/>
    </row>
    <row r="39" spans="1:8" ht="23.05" customHeight="1">
      <c r="A39" s="1"/>
      <c r="B39" s="1"/>
      <c r="C39" s="1"/>
      <c r="D39" s="1"/>
      <c r="E39" s="1"/>
      <c r="F39" s="1"/>
      <c r="G39" s="1"/>
      <c r="H39" s="1"/>
    </row>
    <row r="40" spans="1:8" ht="23.05" customHeight="1">
      <c r="A40" s="1"/>
      <c r="B40" s="1"/>
      <c r="C40" s="1"/>
      <c r="D40" s="1"/>
      <c r="E40" s="1"/>
      <c r="F40" s="1"/>
      <c r="G40" s="1"/>
      <c r="H40" s="1"/>
    </row>
    <row r="41" spans="1:8" ht="23.05" customHeight="1">
      <c r="A41" s="1"/>
      <c r="B41" s="1"/>
      <c r="C41" s="1"/>
      <c r="D41" s="1"/>
      <c r="E41" s="1"/>
      <c r="F41" s="1"/>
      <c r="G41" s="1"/>
      <c r="H41" s="1"/>
    </row>
    <row r="42" spans="1:8" ht="23.05" customHeight="1">
      <c r="A42" s="1"/>
      <c r="B42" s="1"/>
      <c r="C42" s="1"/>
      <c r="D42" s="1"/>
      <c r="E42" s="1"/>
      <c r="F42" s="1"/>
      <c r="G42" s="1"/>
      <c r="H42" s="1"/>
    </row>
    <row r="43" spans="1:8" ht="23.05" customHeight="1">
      <c r="A43" s="1"/>
      <c r="B43" s="1"/>
      <c r="C43" s="1"/>
      <c r="D43" s="1"/>
      <c r="E43" s="1"/>
      <c r="F43" s="1"/>
      <c r="G43" s="1"/>
      <c r="H43" s="1"/>
    </row>
    <row r="44" spans="1:8" ht="23.05" customHeight="1">
      <c r="A44" s="1"/>
      <c r="B44" s="1"/>
      <c r="C44" s="1"/>
      <c r="D44" s="1"/>
      <c r="E44" s="1"/>
      <c r="F44" s="1"/>
      <c r="G44" s="1"/>
      <c r="H44" s="1"/>
    </row>
    <row r="45" spans="1:8" ht="23.05" customHeight="1">
      <c r="A45" s="1"/>
      <c r="B45" s="1"/>
      <c r="C45" s="1"/>
      <c r="D45" s="1"/>
      <c r="E45" s="1"/>
      <c r="F45" s="1"/>
      <c r="G45" s="1"/>
      <c r="H45" s="1"/>
    </row>
    <row r="46" spans="1:8" ht="23.05" customHeight="1">
      <c r="A46" s="1"/>
      <c r="B46" s="1"/>
      <c r="C46" s="1"/>
      <c r="D46" s="1"/>
      <c r="E46" s="1"/>
      <c r="F46" s="1"/>
      <c r="G46" s="1"/>
      <c r="H46" s="1"/>
    </row>
    <row r="47" spans="1:8" ht="23.05" customHeight="1">
      <c r="A47" s="1"/>
      <c r="B47" s="1"/>
      <c r="C47" s="1"/>
      <c r="D47" s="1"/>
      <c r="E47" s="1"/>
      <c r="F47" s="1"/>
      <c r="G47" s="1"/>
      <c r="H47" s="1"/>
    </row>
    <row r="48" spans="1:8" ht="23.05" customHeight="1">
      <c r="A48" s="1"/>
      <c r="B48" s="1"/>
      <c r="C48" s="1"/>
      <c r="D48" s="1"/>
      <c r="E48" s="1"/>
      <c r="F48" s="1"/>
      <c r="G48" s="1"/>
      <c r="H48" s="1"/>
    </row>
    <row r="49" spans="1:8" ht="23.05" customHeight="1">
      <c r="A49" s="1"/>
      <c r="B49" s="1"/>
      <c r="C49" s="1"/>
      <c r="D49" s="1"/>
      <c r="E49" s="1"/>
      <c r="F49" s="1"/>
      <c r="G49" s="1"/>
      <c r="H49" s="1"/>
    </row>
    <row r="50" spans="1:8" ht="23.05" customHeight="1">
      <c r="A50" s="1"/>
      <c r="B50" s="1"/>
      <c r="C50" s="1"/>
      <c r="D50" s="1"/>
      <c r="E50" s="1"/>
      <c r="F50" s="1"/>
      <c r="G50" s="1"/>
      <c r="H50" s="1"/>
    </row>
    <row r="51" spans="1:8" ht="23.05" customHeight="1">
      <c r="A51" s="1"/>
      <c r="B51" s="1"/>
      <c r="C51" s="1"/>
      <c r="D51" s="1"/>
      <c r="E51" s="1"/>
      <c r="F51" s="1"/>
      <c r="G51" s="1"/>
      <c r="H51" s="1"/>
    </row>
    <row r="52" spans="1:8" ht="23.05" customHeight="1">
      <c r="A52" s="1"/>
      <c r="B52" s="1"/>
      <c r="C52" s="1"/>
      <c r="D52" s="1"/>
      <c r="E52" s="1"/>
      <c r="F52" s="1"/>
      <c r="G52" s="1"/>
      <c r="H52" s="1"/>
    </row>
    <row r="53" spans="1:8" ht="23.05" customHeight="1">
      <c r="A53" s="1"/>
      <c r="B53" s="1"/>
      <c r="C53" s="1"/>
      <c r="D53" s="1"/>
      <c r="E53" s="1"/>
      <c r="F53" s="1"/>
      <c r="G53" s="1"/>
      <c r="H53" s="1"/>
    </row>
    <row r="54" spans="1:8" ht="23.05" customHeight="1">
      <c r="A54" s="1"/>
      <c r="B54" s="1"/>
      <c r="C54" s="1"/>
      <c r="D54" s="1"/>
      <c r="E54" s="1"/>
      <c r="F54" s="1"/>
      <c r="G54" s="1"/>
      <c r="H54" s="1"/>
    </row>
    <row r="55" spans="1:8" ht="23.05" customHeight="1">
      <c r="A55" s="1"/>
      <c r="B55" s="1"/>
      <c r="C55" s="1"/>
      <c r="D55" s="1"/>
      <c r="E55" s="1"/>
      <c r="F55" s="1"/>
      <c r="G55" s="1"/>
      <c r="H55" s="1"/>
    </row>
    <row r="56" spans="1:8" ht="23.05" customHeight="1">
      <c r="A56" s="1"/>
      <c r="B56" s="1"/>
      <c r="C56" s="1"/>
      <c r="D56" s="1"/>
      <c r="E56" s="1"/>
      <c r="F56" s="1"/>
      <c r="G56" s="1"/>
      <c r="H56" s="1"/>
    </row>
    <row r="57" spans="1:8" ht="23.05" customHeight="1">
      <c r="A57" s="1"/>
      <c r="B57" s="1"/>
      <c r="C57" s="1"/>
      <c r="D57" s="1"/>
      <c r="E57" s="1"/>
      <c r="F57" s="1"/>
      <c r="G57" s="1"/>
      <c r="H57" s="1"/>
    </row>
    <row r="58" spans="1:8" ht="23.05" customHeight="1">
      <c r="A58" s="1"/>
      <c r="B58" s="1"/>
      <c r="C58" s="1"/>
      <c r="D58" s="1"/>
      <c r="E58" s="1"/>
      <c r="F58" s="1"/>
      <c r="G58" s="1"/>
      <c r="H58" s="1"/>
    </row>
    <row r="59" spans="1:8" ht="23.05" customHeight="1">
      <c r="A59" s="1"/>
      <c r="B59" s="1"/>
      <c r="C59" s="1"/>
      <c r="D59" s="1"/>
      <c r="E59" s="1"/>
      <c r="F59" s="1"/>
      <c r="G59" s="1"/>
      <c r="H59" s="1"/>
    </row>
    <row r="60" spans="1:8" ht="23.05" customHeight="1">
      <c r="A60" s="1"/>
      <c r="B60" s="1"/>
      <c r="C60" s="1"/>
      <c r="D60" s="1"/>
      <c r="E60" s="1"/>
      <c r="F60" s="1"/>
      <c r="G60" s="1"/>
      <c r="H60" s="1"/>
    </row>
    <row r="61" spans="1:8" ht="23.05" customHeight="1">
      <c r="A61" s="1"/>
      <c r="B61" s="1"/>
      <c r="C61" s="1"/>
      <c r="D61" s="1"/>
      <c r="E61" s="1"/>
      <c r="F61" s="1"/>
      <c r="G61" s="1"/>
      <c r="H61" s="1"/>
    </row>
    <row r="62" spans="1:8" ht="23.05" customHeight="1">
      <c r="A62" s="1"/>
      <c r="B62" s="1"/>
      <c r="C62" s="1"/>
      <c r="D62" s="1"/>
      <c r="E62" s="1"/>
      <c r="F62" s="1"/>
      <c r="G62" s="1"/>
      <c r="H62" s="1"/>
    </row>
    <row r="63" spans="1:8" ht="23.05" customHeight="1">
      <c r="A63" s="1"/>
      <c r="B63" s="1"/>
      <c r="C63" s="1"/>
      <c r="D63" s="1"/>
      <c r="E63" s="1"/>
      <c r="F63" s="1"/>
      <c r="G63" s="1"/>
      <c r="H63" s="1"/>
    </row>
    <row r="64" spans="1:8" ht="23.05" customHeight="1">
      <c r="A64" s="1"/>
      <c r="B64" s="1"/>
      <c r="C64" s="1"/>
      <c r="D64" s="1"/>
      <c r="E64" s="1"/>
      <c r="F64" s="1"/>
      <c r="G64" s="1"/>
      <c r="H64" s="1"/>
    </row>
    <row r="65" spans="1:8" ht="23.05" customHeight="1">
      <c r="A65" s="1"/>
      <c r="B65" s="1"/>
      <c r="C65" s="1"/>
      <c r="D65" s="1"/>
      <c r="E65" s="1"/>
      <c r="F65" s="1"/>
      <c r="G65" s="1"/>
      <c r="H65" s="1"/>
    </row>
    <row r="66" spans="1:8" ht="23.05" customHeight="1">
      <c r="A66" s="1"/>
      <c r="B66" s="1"/>
      <c r="C66" s="1"/>
      <c r="D66" s="1"/>
      <c r="E66" s="1"/>
      <c r="F66" s="1"/>
      <c r="G66" s="1"/>
      <c r="H66" s="1"/>
    </row>
    <row r="67" spans="1:8" ht="23.05" customHeight="1">
      <c r="A67" s="1"/>
      <c r="B67" s="1"/>
      <c r="C67" s="1"/>
      <c r="D67" s="1"/>
      <c r="E67" s="1"/>
      <c r="F67" s="1"/>
      <c r="G67" s="1"/>
      <c r="H67" s="1"/>
    </row>
    <row r="68" spans="1:8" ht="23.05" customHeight="1">
      <c r="A68" s="1"/>
      <c r="B68" s="1"/>
      <c r="C68" s="1"/>
      <c r="D68" s="1"/>
      <c r="E68" s="1"/>
      <c r="F68" s="1"/>
      <c r="G68" s="1"/>
      <c r="H68" s="1"/>
    </row>
    <row r="69" spans="1:8" ht="23.05" customHeight="1">
      <c r="A69" s="1"/>
      <c r="B69" s="1"/>
      <c r="C69" s="1"/>
      <c r="D69" s="1"/>
      <c r="E69" s="1"/>
      <c r="F69" s="1"/>
      <c r="G69" s="1"/>
      <c r="H69" s="1"/>
    </row>
    <row r="70" spans="1:8" ht="23.05" customHeight="1">
      <c r="A70" s="1"/>
      <c r="B70" s="1"/>
      <c r="C70" s="1"/>
      <c r="D70" s="1"/>
      <c r="E70" s="1"/>
      <c r="F70" s="1"/>
      <c r="G70" s="1"/>
      <c r="H70" s="1"/>
    </row>
  </sheetData>
  <sheetProtection sheet="1" objects="1" scenarios="1"/>
  <mergeCells count="10">
    <mergeCell ref="A1:H2"/>
    <mergeCell ref="C5:H5"/>
    <mergeCell ref="C6:H6"/>
    <mergeCell ref="C7:H7"/>
    <mergeCell ref="C8:H8"/>
    <mergeCell ref="C9:H9"/>
    <mergeCell ref="C10:H10"/>
    <mergeCell ref="C11:H11"/>
    <mergeCell ref="C12:H12"/>
    <mergeCell ref="C13:H13"/>
  </mergeCells>
  <dataValidations count="1">
    <dataValidation type="list" allowBlank="1" showInputMessage="1" showErrorMessage="1" sqref="B7" xr:uid="{89784047-1719-4076-A7DD-4CB397D23641}">
      <formula1>"monthly,fortnightly,weekly"</formula1>
    </dataValidation>
  </dataValidations>
  <pageMargins left="0.39370078740157477" right="0.39370078740157477" top="0.39370078740157477" bottom="0.59055118110236215" header="0.3" footer="0.19685039370078738"/>
  <pageSetup paperSize="9" scale="82" orientation="landscape" r:id="rId1"/>
  <headerFooter>
    <oddFooter>&amp;CCalcy | Page &amp;P&amp;Rcalcy.com.au</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D6A4F"/>
    <pageSetUpPr fitToPage="1"/>
  </sheetPr>
  <dimension ref="A1:H486"/>
  <sheetViews>
    <sheetView showGridLines="0" zoomScaleNormal="100" workbookViewId="0">
      <pane ySplit="6" topLeftCell="A7" activePane="bottomLeft" state="frozen"/>
      <selection pane="bottomLeft" sqref="A1:H2"/>
    </sheetView>
  </sheetViews>
  <sheetFormatPr defaultRowHeight="14.15"/>
  <cols>
    <col min="1" max="1" width="9" customWidth="1"/>
    <col min="2" max="8" width="20" customWidth="1"/>
  </cols>
  <sheetData>
    <row r="1" spans="1:8" ht="23.05" customHeight="1">
      <c r="A1" s="20" t="s">
        <v>49</v>
      </c>
      <c r="B1" s="20"/>
      <c r="C1" s="20"/>
      <c r="D1" s="20"/>
      <c r="E1" s="20"/>
      <c r="F1" s="20"/>
      <c r="G1" s="20"/>
      <c r="H1" s="20"/>
    </row>
    <row r="2" spans="1:8" ht="23.05" customHeight="1">
      <c r="A2" s="20"/>
      <c r="B2" s="20"/>
      <c r="C2" s="20"/>
      <c r="D2" s="20"/>
      <c r="E2" s="20"/>
      <c r="F2" s="20"/>
      <c r="G2" s="20"/>
      <c r="H2" s="20"/>
    </row>
    <row r="3" spans="1:8" ht="23.05" customHeight="1">
      <c r="A3" s="1"/>
      <c r="B3" s="1"/>
      <c r="C3" s="1"/>
      <c r="D3" s="1"/>
      <c r="E3" s="1"/>
      <c r="F3" s="1"/>
      <c r="G3" s="1"/>
      <c r="H3" s="1"/>
    </row>
    <row r="4" spans="1:8" ht="23.05" customHeight="1">
      <c r="A4" s="1"/>
      <c r="B4" s="1"/>
      <c r="C4" s="1"/>
      <c r="D4" s="1"/>
      <c r="E4" s="1"/>
      <c r="F4" s="1"/>
      <c r="G4" s="1"/>
      <c r="H4" s="1"/>
    </row>
    <row r="5" spans="1:8" ht="23.05" customHeight="1">
      <c r="A5" s="1"/>
      <c r="B5" s="1"/>
      <c r="C5" s="1"/>
      <c r="D5" s="1"/>
      <c r="E5" s="1"/>
      <c r="F5" s="1"/>
      <c r="G5" s="1"/>
      <c r="H5" s="1"/>
    </row>
    <row r="6" spans="1:8" ht="36" customHeight="1">
      <c r="A6" s="2" t="s">
        <v>50</v>
      </c>
      <c r="B6" s="2" t="s">
        <v>51</v>
      </c>
      <c r="C6" s="2" t="s">
        <v>52</v>
      </c>
      <c r="D6" s="2" t="s">
        <v>53</v>
      </c>
      <c r="E6" s="2" t="s">
        <v>54</v>
      </c>
      <c r="F6" s="2" t="s">
        <v>55</v>
      </c>
      <c r="G6" s="2" t="s">
        <v>56</v>
      </c>
      <c r="H6" s="2" t="s">
        <v>57</v>
      </c>
    </row>
    <row r="7" spans="1:8" ht="21" customHeight="1">
      <c r="A7" s="1">
        <f>IF(AND('Current Loan'!$B$13,1&lt;=MAX('Current Loan'!B7,'Proposed Loan'!B6)*12),1,"")</f>
        <v>1</v>
      </c>
      <c r="B7" s="3">
        <f>IF(A7&lt;&gt;"",IF(A7&lt;='Current Loan'!$B$7*12,'Current Loan'!$B$17,0),"")</f>
        <v>4388.8465487596777</v>
      </c>
      <c r="C7" s="3">
        <f>IF(A7&lt;&gt;"",IF(A7&lt;='Current Loan'!$B$7*12,'Current Loan'!$B$9/12,0),"")</f>
        <v>35</v>
      </c>
      <c r="D7" s="3">
        <f>IF(A7&lt;&gt;"",IF(A7&lt;='Proposed Loan'!$B$6*12,'Proposed Loan'!$B$17,0),"")</f>
        <v>4187.9591096558606</v>
      </c>
      <c r="E7" s="3">
        <f>IF(A7&lt;&gt;"",IF(A7&lt;='Proposed Loan'!$B$6*12,'Proposed Loan'!$B$13/12,0),"")</f>
        <v>25</v>
      </c>
      <c r="F7" s="3">
        <f t="shared" ref="F7:F70" si="0">IF(A7&lt;&gt;"",SUM(B7:C7)-SUM(D7:E7),"")</f>
        <v>210.88743910381709</v>
      </c>
      <c r="G7" s="3">
        <f>IF(A7&lt;&gt;"",-'Proposed Loan'!$B$18+F7,"")</f>
        <v>-1339.1125608961829</v>
      </c>
      <c r="H7" s="1">
        <f t="shared" ref="H7:H70" si="1">IF(A7&lt;&gt;"",IF(G7&gt;=0,1,0),"")</f>
        <v>0</v>
      </c>
    </row>
    <row r="8" spans="1:8" ht="21" customHeight="1">
      <c r="A8" s="1">
        <f>IF(AND('Current Loan'!$B$13,2&lt;=MAX('Current Loan'!B7,'Proposed Loan'!B6)*12),2,"")</f>
        <v>2</v>
      </c>
      <c r="B8" s="3">
        <f>IF(A8&lt;&gt;"",IF(A8&lt;='Current Loan'!$B$7*12,'Current Loan'!$B$17,0),"")</f>
        <v>4388.8465487596777</v>
      </c>
      <c r="C8" s="3">
        <f>IF(A8&lt;&gt;"",IF(A8&lt;='Current Loan'!$B$7*12,'Current Loan'!$B$9/12,0),"")</f>
        <v>35</v>
      </c>
      <c r="D8" s="3">
        <f>IF(A8&lt;&gt;"",IF(A8&lt;='Proposed Loan'!$B$6*12,'Proposed Loan'!$B$17,0),"")</f>
        <v>4187.9591096558606</v>
      </c>
      <c r="E8" s="3">
        <f>IF(A8&lt;&gt;"",IF(A8&lt;='Proposed Loan'!$B$6*12,'Proposed Loan'!$B$13/12,0),"")</f>
        <v>25</v>
      </c>
      <c r="F8" s="3">
        <f t="shared" si="0"/>
        <v>210.88743910381709</v>
      </c>
      <c r="G8" s="3">
        <f t="shared" ref="G8:G71" si="2">IF(A8&lt;&gt;"",G7+F8,"")</f>
        <v>-1128.2251217923658</v>
      </c>
      <c r="H8" s="1">
        <f t="shared" si="1"/>
        <v>0</v>
      </c>
    </row>
    <row r="9" spans="1:8" ht="21" customHeight="1">
      <c r="A9" s="1">
        <f>IF(AND('Current Loan'!$B$13,3&lt;=MAX('Current Loan'!B7,'Proposed Loan'!B6)*12),3,"")</f>
        <v>3</v>
      </c>
      <c r="B9" s="3">
        <f>IF(A9&lt;&gt;"",IF(A9&lt;='Current Loan'!$B$7*12,'Current Loan'!$B$17,0),"")</f>
        <v>4388.8465487596777</v>
      </c>
      <c r="C9" s="3">
        <f>IF(A9&lt;&gt;"",IF(A9&lt;='Current Loan'!$B$7*12,'Current Loan'!$B$9/12,0),"")</f>
        <v>35</v>
      </c>
      <c r="D9" s="3">
        <f>IF(A9&lt;&gt;"",IF(A9&lt;='Proposed Loan'!$B$6*12,'Proposed Loan'!$B$17,0),"")</f>
        <v>4187.9591096558606</v>
      </c>
      <c r="E9" s="3">
        <f>IF(A9&lt;&gt;"",IF(A9&lt;='Proposed Loan'!$B$6*12,'Proposed Loan'!$B$13/12,0),"")</f>
        <v>25</v>
      </c>
      <c r="F9" s="3">
        <f t="shared" si="0"/>
        <v>210.88743910381709</v>
      </c>
      <c r="G9" s="3">
        <f t="shared" si="2"/>
        <v>-917.33768268854874</v>
      </c>
      <c r="H9" s="1">
        <f t="shared" si="1"/>
        <v>0</v>
      </c>
    </row>
    <row r="10" spans="1:8" ht="21" customHeight="1">
      <c r="A10" s="1">
        <f>IF(AND('Current Loan'!$B$13,4&lt;=MAX('Current Loan'!B7,'Proposed Loan'!B6)*12),4,"")</f>
        <v>4</v>
      </c>
      <c r="B10" s="3">
        <f>IF(A10&lt;&gt;"",IF(A10&lt;='Current Loan'!$B$7*12,'Current Loan'!$B$17,0),"")</f>
        <v>4388.8465487596777</v>
      </c>
      <c r="C10" s="3">
        <f>IF(A10&lt;&gt;"",IF(A10&lt;='Current Loan'!$B$7*12,'Current Loan'!$B$9/12,0),"")</f>
        <v>35</v>
      </c>
      <c r="D10" s="3">
        <f>IF(A10&lt;&gt;"",IF(A10&lt;='Proposed Loan'!$B$6*12,'Proposed Loan'!$B$17,0),"")</f>
        <v>4187.9591096558606</v>
      </c>
      <c r="E10" s="3">
        <f>IF(A10&lt;&gt;"",IF(A10&lt;='Proposed Loan'!$B$6*12,'Proposed Loan'!$B$13/12,0),"")</f>
        <v>25</v>
      </c>
      <c r="F10" s="3">
        <f t="shared" si="0"/>
        <v>210.88743910381709</v>
      </c>
      <c r="G10" s="3">
        <f t="shared" si="2"/>
        <v>-706.45024358473165</v>
      </c>
      <c r="H10" s="1">
        <f t="shared" si="1"/>
        <v>0</v>
      </c>
    </row>
    <row r="11" spans="1:8" ht="21" customHeight="1">
      <c r="A11" s="1">
        <f>IF(AND('Current Loan'!$B$13,5&lt;=MAX('Current Loan'!B7,'Proposed Loan'!B6)*12),5,"")</f>
        <v>5</v>
      </c>
      <c r="B11" s="3">
        <f>IF(A11&lt;&gt;"",IF(A11&lt;='Current Loan'!$B$7*12,'Current Loan'!$B$17,0),"")</f>
        <v>4388.8465487596777</v>
      </c>
      <c r="C11" s="3">
        <f>IF(A11&lt;&gt;"",IF(A11&lt;='Current Loan'!$B$7*12,'Current Loan'!$B$9/12,0),"")</f>
        <v>35</v>
      </c>
      <c r="D11" s="3">
        <f>IF(A11&lt;&gt;"",IF(A11&lt;='Proposed Loan'!$B$6*12,'Proposed Loan'!$B$17,0),"")</f>
        <v>4187.9591096558606</v>
      </c>
      <c r="E11" s="3">
        <f>IF(A11&lt;&gt;"",IF(A11&lt;='Proposed Loan'!$B$6*12,'Proposed Loan'!$B$13/12,0),"")</f>
        <v>25</v>
      </c>
      <c r="F11" s="3">
        <f t="shared" si="0"/>
        <v>210.88743910381709</v>
      </c>
      <c r="G11" s="3">
        <f t="shared" si="2"/>
        <v>-495.56280448091456</v>
      </c>
      <c r="H11" s="1">
        <f t="shared" si="1"/>
        <v>0</v>
      </c>
    </row>
    <row r="12" spans="1:8" ht="21" customHeight="1">
      <c r="A12" s="1">
        <f>IF(AND('Current Loan'!$B$13,6&lt;=MAX('Current Loan'!B7,'Proposed Loan'!B6)*12),6,"")</f>
        <v>6</v>
      </c>
      <c r="B12" s="3">
        <f>IF(A12&lt;&gt;"",IF(A12&lt;='Current Loan'!$B$7*12,'Current Loan'!$B$17,0),"")</f>
        <v>4388.8465487596777</v>
      </c>
      <c r="C12" s="3">
        <f>IF(A12&lt;&gt;"",IF(A12&lt;='Current Loan'!$B$7*12,'Current Loan'!$B$9/12,0),"")</f>
        <v>35</v>
      </c>
      <c r="D12" s="3">
        <f>IF(A12&lt;&gt;"",IF(A12&lt;='Proposed Loan'!$B$6*12,'Proposed Loan'!$B$17,0),"")</f>
        <v>4187.9591096558606</v>
      </c>
      <c r="E12" s="3">
        <f>IF(A12&lt;&gt;"",IF(A12&lt;='Proposed Loan'!$B$6*12,'Proposed Loan'!$B$13/12,0),"")</f>
        <v>25</v>
      </c>
      <c r="F12" s="3">
        <f t="shared" si="0"/>
        <v>210.88743910381709</v>
      </c>
      <c r="G12" s="3">
        <f t="shared" si="2"/>
        <v>-284.67536537709748</v>
      </c>
      <c r="H12" s="1">
        <f t="shared" si="1"/>
        <v>0</v>
      </c>
    </row>
    <row r="13" spans="1:8" ht="21" customHeight="1">
      <c r="A13" s="1">
        <f>IF(AND('Current Loan'!$B$13,7&lt;=MAX('Current Loan'!B7,'Proposed Loan'!B6)*12),7,"")</f>
        <v>7</v>
      </c>
      <c r="B13" s="3">
        <f>IF(A13&lt;&gt;"",IF(A13&lt;='Current Loan'!$B$7*12,'Current Loan'!$B$17,0),"")</f>
        <v>4388.8465487596777</v>
      </c>
      <c r="C13" s="3">
        <f>IF(A13&lt;&gt;"",IF(A13&lt;='Current Loan'!$B$7*12,'Current Loan'!$B$9/12,0),"")</f>
        <v>35</v>
      </c>
      <c r="D13" s="3">
        <f>IF(A13&lt;&gt;"",IF(A13&lt;='Proposed Loan'!$B$6*12,'Proposed Loan'!$B$17,0),"")</f>
        <v>4187.9591096558606</v>
      </c>
      <c r="E13" s="3">
        <f>IF(A13&lt;&gt;"",IF(A13&lt;='Proposed Loan'!$B$6*12,'Proposed Loan'!$B$13/12,0),"")</f>
        <v>25</v>
      </c>
      <c r="F13" s="3">
        <f t="shared" si="0"/>
        <v>210.88743910381709</v>
      </c>
      <c r="G13" s="3">
        <f t="shared" si="2"/>
        <v>-73.787926273280391</v>
      </c>
      <c r="H13" s="1">
        <f t="shared" si="1"/>
        <v>0</v>
      </c>
    </row>
    <row r="14" spans="1:8" ht="21" customHeight="1">
      <c r="A14" s="1">
        <f>IF(AND('Current Loan'!$B$13,8&lt;=MAX('Current Loan'!B7,'Proposed Loan'!B6)*12),8,"")</f>
        <v>8</v>
      </c>
      <c r="B14" s="3">
        <f>IF(A14&lt;&gt;"",IF(A14&lt;='Current Loan'!$B$7*12,'Current Loan'!$B$17,0),"")</f>
        <v>4388.8465487596777</v>
      </c>
      <c r="C14" s="3">
        <f>IF(A14&lt;&gt;"",IF(A14&lt;='Current Loan'!$B$7*12,'Current Loan'!$B$9/12,0),"")</f>
        <v>35</v>
      </c>
      <c r="D14" s="3">
        <f>IF(A14&lt;&gt;"",IF(A14&lt;='Proposed Loan'!$B$6*12,'Proposed Loan'!$B$17,0),"")</f>
        <v>4187.9591096558606</v>
      </c>
      <c r="E14" s="3">
        <f>IF(A14&lt;&gt;"",IF(A14&lt;='Proposed Loan'!$B$6*12,'Proposed Loan'!$B$13/12,0),"")</f>
        <v>25</v>
      </c>
      <c r="F14" s="3">
        <f t="shared" si="0"/>
        <v>210.88743910381709</v>
      </c>
      <c r="G14" s="3">
        <f t="shared" si="2"/>
        <v>137.0995128305367</v>
      </c>
      <c r="H14" s="1">
        <f t="shared" si="1"/>
        <v>1</v>
      </c>
    </row>
    <row r="15" spans="1:8" ht="21" customHeight="1">
      <c r="A15" s="1">
        <f>IF(AND('Current Loan'!$B$13,9&lt;=MAX('Current Loan'!B7,'Proposed Loan'!B6)*12),9,"")</f>
        <v>9</v>
      </c>
      <c r="B15" s="3">
        <f>IF(A15&lt;&gt;"",IF(A15&lt;='Current Loan'!$B$7*12,'Current Loan'!$B$17,0),"")</f>
        <v>4388.8465487596777</v>
      </c>
      <c r="C15" s="3">
        <f>IF(A15&lt;&gt;"",IF(A15&lt;='Current Loan'!$B$7*12,'Current Loan'!$B$9/12,0),"")</f>
        <v>35</v>
      </c>
      <c r="D15" s="3">
        <f>IF(A15&lt;&gt;"",IF(A15&lt;='Proposed Loan'!$B$6*12,'Proposed Loan'!$B$17,0),"")</f>
        <v>4187.9591096558606</v>
      </c>
      <c r="E15" s="3">
        <f>IF(A15&lt;&gt;"",IF(A15&lt;='Proposed Loan'!$B$6*12,'Proposed Loan'!$B$13/12,0),"")</f>
        <v>25</v>
      </c>
      <c r="F15" s="3">
        <f t="shared" si="0"/>
        <v>210.88743910381709</v>
      </c>
      <c r="G15" s="3">
        <f t="shared" si="2"/>
        <v>347.98695193435378</v>
      </c>
      <c r="H15" s="1">
        <f t="shared" si="1"/>
        <v>1</v>
      </c>
    </row>
    <row r="16" spans="1:8" ht="21" customHeight="1">
      <c r="A16" s="1">
        <f>IF(AND('Current Loan'!$B$13,10&lt;=MAX('Current Loan'!B7,'Proposed Loan'!B6)*12),10,"")</f>
        <v>10</v>
      </c>
      <c r="B16" s="3">
        <f>IF(A16&lt;&gt;"",IF(A16&lt;='Current Loan'!$B$7*12,'Current Loan'!$B$17,0),"")</f>
        <v>4388.8465487596777</v>
      </c>
      <c r="C16" s="3">
        <f>IF(A16&lt;&gt;"",IF(A16&lt;='Current Loan'!$B$7*12,'Current Loan'!$B$9/12,0),"")</f>
        <v>35</v>
      </c>
      <c r="D16" s="3">
        <f>IF(A16&lt;&gt;"",IF(A16&lt;='Proposed Loan'!$B$6*12,'Proposed Loan'!$B$17,0),"")</f>
        <v>4187.9591096558606</v>
      </c>
      <c r="E16" s="3">
        <f>IF(A16&lt;&gt;"",IF(A16&lt;='Proposed Loan'!$B$6*12,'Proposed Loan'!$B$13/12,0),"")</f>
        <v>25</v>
      </c>
      <c r="F16" s="3">
        <f t="shared" si="0"/>
        <v>210.88743910381709</v>
      </c>
      <c r="G16" s="3">
        <f t="shared" si="2"/>
        <v>558.87439103817087</v>
      </c>
      <c r="H16" s="1">
        <f t="shared" si="1"/>
        <v>1</v>
      </c>
    </row>
    <row r="17" spans="1:8" ht="21" customHeight="1">
      <c r="A17" s="1">
        <f>IF(AND('Current Loan'!$B$13,11&lt;=MAX('Current Loan'!B7,'Proposed Loan'!B6)*12),11,"")</f>
        <v>11</v>
      </c>
      <c r="B17" s="3">
        <f>IF(A17&lt;&gt;"",IF(A17&lt;='Current Loan'!$B$7*12,'Current Loan'!$B$17,0),"")</f>
        <v>4388.8465487596777</v>
      </c>
      <c r="C17" s="3">
        <f>IF(A17&lt;&gt;"",IF(A17&lt;='Current Loan'!$B$7*12,'Current Loan'!$B$9/12,0),"")</f>
        <v>35</v>
      </c>
      <c r="D17" s="3">
        <f>IF(A17&lt;&gt;"",IF(A17&lt;='Proposed Loan'!$B$6*12,'Proposed Loan'!$B$17,0),"")</f>
        <v>4187.9591096558606</v>
      </c>
      <c r="E17" s="3">
        <f>IF(A17&lt;&gt;"",IF(A17&lt;='Proposed Loan'!$B$6*12,'Proposed Loan'!$B$13/12,0),"")</f>
        <v>25</v>
      </c>
      <c r="F17" s="3">
        <f t="shared" si="0"/>
        <v>210.88743910381709</v>
      </c>
      <c r="G17" s="3">
        <f t="shared" si="2"/>
        <v>769.76183014198796</v>
      </c>
      <c r="H17" s="1">
        <f t="shared" si="1"/>
        <v>1</v>
      </c>
    </row>
    <row r="18" spans="1:8" ht="21" customHeight="1">
      <c r="A18" s="1">
        <f>IF(AND('Current Loan'!$B$13,12&lt;=MAX('Current Loan'!B7,'Proposed Loan'!B6)*12),12,"")</f>
        <v>12</v>
      </c>
      <c r="B18" s="3">
        <f>IF(A18&lt;&gt;"",IF(A18&lt;='Current Loan'!$B$7*12,'Current Loan'!$B$17,0),"")</f>
        <v>4388.8465487596777</v>
      </c>
      <c r="C18" s="3">
        <f>IF(A18&lt;&gt;"",IF(A18&lt;='Current Loan'!$B$7*12,'Current Loan'!$B$9/12,0),"")</f>
        <v>35</v>
      </c>
      <c r="D18" s="3">
        <f>IF(A18&lt;&gt;"",IF(A18&lt;='Proposed Loan'!$B$6*12,'Proposed Loan'!$B$17,0),"")</f>
        <v>4187.9591096558606</v>
      </c>
      <c r="E18" s="3">
        <f>IF(A18&lt;&gt;"",IF(A18&lt;='Proposed Loan'!$B$6*12,'Proposed Loan'!$B$13/12,0),"")</f>
        <v>25</v>
      </c>
      <c r="F18" s="3">
        <f t="shared" si="0"/>
        <v>210.88743910381709</v>
      </c>
      <c r="G18" s="3">
        <f t="shared" si="2"/>
        <v>980.64926924580504</v>
      </c>
      <c r="H18" s="1">
        <f t="shared" si="1"/>
        <v>1</v>
      </c>
    </row>
    <row r="19" spans="1:8" ht="21" customHeight="1">
      <c r="A19" s="1">
        <f>IF(AND('Current Loan'!$B$13,13&lt;=MAX('Current Loan'!B7,'Proposed Loan'!B6)*12),13,"")</f>
        <v>13</v>
      </c>
      <c r="B19" s="3">
        <f>IF(A19&lt;&gt;"",IF(A19&lt;='Current Loan'!$B$7*12,'Current Loan'!$B$17,0),"")</f>
        <v>4388.8465487596777</v>
      </c>
      <c r="C19" s="3">
        <f>IF(A19&lt;&gt;"",IF(A19&lt;='Current Loan'!$B$7*12,'Current Loan'!$B$9/12,0),"")</f>
        <v>35</v>
      </c>
      <c r="D19" s="3">
        <f>IF(A19&lt;&gt;"",IF(A19&lt;='Proposed Loan'!$B$6*12,'Proposed Loan'!$B$17,0),"")</f>
        <v>4187.9591096558606</v>
      </c>
      <c r="E19" s="3">
        <f>IF(A19&lt;&gt;"",IF(A19&lt;='Proposed Loan'!$B$6*12,'Proposed Loan'!$B$13/12,0),"")</f>
        <v>25</v>
      </c>
      <c r="F19" s="3">
        <f t="shared" si="0"/>
        <v>210.88743910381709</v>
      </c>
      <c r="G19" s="3">
        <f t="shared" si="2"/>
        <v>1191.5367083496221</v>
      </c>
      <c r="H19" s="1">
        <f t="shared" si="1"/>
        <v>1</v>
      </c>
    </row>
    <row r="20" spans="1:8" ht="21" customHeight="1">
      <c r="A20" s="1">
        <f>IF(AND('Current Loan'!$B$13,14&lt;=MAX('Current Loan'!B7,'Proposed Loan'!B6)*12),14,"")</f>
        <v>14</v>
      </c>
      <c r="B20" s="3">
        <f>IF(A20&lt;&gt;"",IF(A20&lt;='Current Loan'!$B$7*12,'Current Loan'!$B$17,0),"")</f>
        <v>4388.8465487596777</v>
      </c>
      <c r="C20" s="3">
        <f>IF(A20&lt;&gt;"",IF(A20&lt;='Current Loan'!$B$7*12,'Current Loan'!$B$9/12,0),"")</f>
        <v>35</v>
      </c>
      <c r="D20" s="3">
        <f>IF(A20&lt;&gt;"",IF(A20&lt;='Proposed Loan'!$B$6*12,'Proposed Loan'!$B$17,0),"")</f>
        <v>4187.9591096558606</v>
      </c>
      <c r="E20" s="3">
        <f>IF(A20&lt;&gt;"",IF(A20&lt;='Proposed Loan'!$B$6*12,'Proposed Loan'!$B$13/12,0),"")</f>
        <v>25</v>
      </c>
      <c r="F20" s="3">
        <f t="shared" si="0"/>
        <v>210.88743910381709</v>
      </c>
      <c r="G20" s="3">
        <f t="shared" si="2"/>
        <v>1402.4241474534392</v>
      </c>
      <c r="H20" s="1">
        <f t="shared" si="1"/>
        <v>1</v>
      </c>
    </row>
    <row r="21" spans="1:8" ht="21" customHeight="1">
      <c r="A21" s="1">
        <f>IF(AND('Current Loan'!$B$13,15&lt;=MAX('Current Loan'!B7,'Proposed Loan'!B6)*12),15,"")</f>
        <v>15</v>
      </c>
      <c r="B21" s="3">
        <f>IF(A21&lt;&gt;"",IF(A21&lt;='Current Loan'!$B$7*12,'Current Loan'!$B$17,0),"")</f>
        <v>4388.8465487596777</v>
      </c>
      <c r="C21" s="3">
        <f>IF(A21&lt;&gt;"",IF(A21&lt;='Current Loan'!$B$7*12,'Current Loan'!$B$9/12,0),"")</f>
        <v>35</v>
      </c>
      <c r="D21" s="3">
        <f>IF(A21&lt;&gt;"",IF(A21&lt;='Proposed Loan'!$B$6*12,'Proposed Loan'!$B$17,0),"")</f>
        <v>4187.9591096558606</v>
      </c>
      <c r="E21" s="3">
        <f>IF(A21&lt;&gt;"",IF(A21&lt;='Proposed Loan'!$B$6*12,'Proposed Loan'!$B$13/12,0),"")</f>
        <v>25</v>
      </c>
      <c r="F21" s="3">
        <f t="shared" si="0"/>
        <v>210.88743910381709</v>
      </c>
      <c r="G21" s="3">
        <f t="shared" si="2"/>
        <v>1613.3115865572563</v>
      </c>
      <c r="H21" s="1">
        <f t="shared" si="1"/>
        <v>1</v>
      </c>
    </row>
    <row r="22" spans="1:8" ht="21" customHeight="1">
      <c r="A22" s="1">
        <f>IF(AND('Current Loan'!$B$13,16&lt;=MAX('Current Loan'!B7,'Proposed Loan'!B6)*12),16,"")</f>
        <v>16</v>
      </c>
      <c r="B22" s="3">
        <f>IF(A22&lt;&gt;"",IF(A22&lt;='Current Loan'!$B$7*12,'Current Loan'!$B$17,0),"")</f>
        <v>4388.8465487596777</v>
      </c>
      <c r="C22" s="3">
        <f>IF(A22&lt;&gt;"",IF(A22&lt;='Current Loan'!$B$7*12,'Current Loan'!$B$9/12,0),"")</f>
        <v>35</v>
      </c>
      <c r="D22" s="3">
        <f>IF(A22&lt;&gt;"",IF(A22&lt;='Proposed Loan'!$B$6*12,'Proposed Loan'!$B$17,0),"")</f>
        <v>4187.9591096558606</v>
      </c>
      <c r="E22" s="3">
        <f>IF(A22&lt;&gt;"",IF(A22&lt;='Proposed Loan'!$B$6*12,'Proposed Loan'!$B$13/12,0),"")</f>
        <v>25</v>
      </c>
      <c r="F22" s="3">
        <f t="shared" si="0"/>
        <v>210.88743910381709</v>
      </c>
      <c r="G22" s="3">
        <f t="shared" si="2"/>
        <v>1824.1990256610734</v>
      </c>
      <c r="H22" s="1">
        <f t="shared" si="1"/>
        <v>1</v>
      </c>
    </row>
    <row r="23" spans="1:8" ht="21" customHeight="1">
      <c r="A23" s="1">
        <f>IF(AND('Current Loan'!$B$13,17&lt;=MAX('Current Loan'!B7,'Proposed Loan'!B6)*12),17,"")</f>
        <v>17</v>
      </c>
      <c r="B23" s="3">
        <f>IF(A23&lt;&gt;"",IF(A23&lt;='Current Loan'!$B$7*12,'Current Loan'!$B$17,0),"")</f>
        <v>4388.8465487596777</v>
      </c>
      <c r="C23" s="3">
        <f>IF(A23&lt;&gt;"",IF(A23&lt;='Current Loan'!$B$7*12,'Current Loan'!$B$9/12,0),"")</f>
        <v>35</v>
      </c>
      <c r="D23" s="3">
        <f>IF(A23&lt;&gt;"",IF(A23&lt;='Proposed Loan'!$B$6*12,'Proposed Loan'!$B$17,0),"")</f>
        <v>4187.9591096558606</v>
      </c>
      <c r="E23" s="3">
        <f>IF(A23&lt;&gt;"",IF(A23&lt;='Proposed Loan'!$B$6*12,'Proposed Loan'!$B$13/12,0),"")</f>
        <v>25</v>
      </c>
      <c r="F23" s="3">
        <f t="shared" si="0"/>
        <v>210.88743910381709</v>
      </c>
      <c r="G23" s="3">
        <f t="shared" si="2"/>
        <v>2035.0864647648905</v>
      </c>
      <c r="H23" s="1">
        <f t="shared" si="1"/>
        <v>1</v>
      </c>
    </row>
    <row r="24" spans="1:8" ht="21" customHeight="1">
      <c r="A24" s="1">
        <f>IF(AND('Current Loan'!$B$13,18&lt;=MAX('Current Loan'!B7,'Proposed Loan'!B6)*12),18,"")</f>
        <v>18</v>
      </c>
      <c r="B24" s="3">
        <f>IF(A24&lt;&gt;"",IF(A24&lt;='Current Loan'!$B$7*12,'Current Loan'!$B$17,0),"")</f>
        <v>4388.8465487596777</v>
      </c>
      <c r="C24" s="3">
        <f>IF(A24&lt;&gt;"",IF(A24&lt;='Current Loan'!$B$7*12,'Current Loan'!$B$9/12,0),"")</f>
        <v>35</v>
      </c>
      <c r="D24" s="3">
        <f>IF(A24&lt;&gt;"",IF(A24&lt;='Proposed Loan'!$B$6*12,'Proposed Loan'!$B$17,0),"")</f>
        <v>4187.9591096558606</v>
      </c>
      <c r="E24" s="3">
        <f>IF(A24&lt;&gt;"",IF(A24&lt;='Proposed Loan'!$B$6*12,'Proposed Loan'!$B$13/12,0),"")</f>
        <v>25</v>
      </c>
      <c r="F24" s="3">
        <f t="shared" si="0"/>
        <v>210.88743910381709</v>
      </c>
      <c r="G24" s="3">
        <f t="shared" si="2"/>
        <v>2245.9739038687076</v>
      </c>
      <c r="H24" s="1">
        <f t="shared" si="1"/>
        <v>1</v>
      </c>
    </row>
    <row r="25" spans="1:8" ht="21" customHeight="1">
      <c r="A25" s="1">
        <f>IF(AND('Current Loan'!$B$13,19&lt;=MAX('Current Loan'!B7,'Proposed Loan'!B6)*12),19,"")</f>
        <v>19</v>
      </c>
      <c r="B25" s="3">
        <f>IF(A25&lt;&gt;"",IF(A25&lt;='Current Loan'!$B$7*12,'Current Loan'!$B$17,0),"")</f>
        <v>4388.8465487596777</v>
      </c>
      <c r="C25" s="3">
        <f>IF(A25&lt;&gt;"",IF(A25&lt;='Current Loan'!$B$7*12,'Current Loan'!$B$9/12,0),"")</f>
        <v>35</v>
      </c>
      <c r="D25" s="3">
        <f>IF(A25&lt;&gt;"",IF(A25&lt;='Proposed Loan'!$B$6*12,'Proposed Loan'!$B$17,0),"")</f>
        <v>4187.9591096558606</v>
      </c>
      <c r="E25" s="3">
        <f>IF(A25&lt;&gt;"",IF(A25&lt;='Proposed Loan'!$B$6*12,'Proposed Loan'!$B$13/12,0),"")</f>
        <v>25</v>
      </c>
      <c r="F25" s="3">
        <f t="shared" si="0"/>
        <v>210.88743910381709</v>
      </c>
      <c r="G25" s="3">
        <f t="shared" si="2"/>
        <v>2456.8613429725247</v>
      </c>
      <c r="H25" s="1">
        <f t="shared" si="1"/>
        <v>1</v>
      </c>
    </row>
    <row r="26" spans="1:8" ht="21" customHeight="1">
      <c r="A26" s="1">
        <f>IF(AND('Current Loan'!$B$13,20&lt;=MAX('Current Loan'!B7,'Proposed Loan'!B6)*12),20,"")</f>
        <v>20</v>
      </c>
      <c r="B26" s="3">
        <f>IF(A26&lt;&gt;"",IF(A26&lt;='Current Loan'!$B$7*12,'Current Loan'!$B$17,0),"")</f>
        <v>4388.8465487596777</v>
      </c>
      <c r="C26" s="3">
        <f>IF(A26&lt;&gt;"",IF(A26&lt;='Current Loan'!$B$7*12,'Current Loan'!$B$9/12,0),"")</f>
        <v>35</v>
      </c>
      <c r="D26" s="3">
        <f>IF(A26&lt;&gt;"",IF(A26&lt;='Proposed Loan'!$B$6*12,'Proposed Loan'!$B$17,0),"")</f>
        <v>4187.9591096558606</v>
      </c>
      <c r="E26" s="3">
        <f>IF(A26&lt;&gt;"",IF(A26&lt;='Proposed Loan'!$B$6*12,'Proposed Loan'!$B$13/12,0),"")</f>
        <v>25</v>
      </c>
      <c r="F26" s="3">
        <f t="shared" si="0"/>
        <v>210.88743910381709</v>
      </c>
      <c r="G26" s="3">
        <f t="shared" si="2"/>
        <v>2667.7487820763417</v>
      </c>
      <c r="H26" s="1">
        <f t="shared" si="1"/>
        <v>1</v>
      </c>
    </row>
    <row r="27" spans="1:8" ht="21" customHeight="1">
      <c r="A27" s="1">
        <f>IF(AND('Current Loan'!$B$13,21&lt;=MAX('Current Loan'!B7,'Proposed Loan'!B6)*12),21,"")</f>
        <v>21</v>
      </c>
      <c r="B27" s="3">
        <f>IF(A27&lt;&gt;"",IF(A27&lt;='Current Loan'!$B$7*12,'Current Loan'!$B$17,0),"")</f>
        <v>4388.8465487596777</v>
      </c>
      <c r="C27" s="3">
        <f>IF(A27&lt;&gt;"",IF(A27&lt;='Current Loan'!$B$7*12,'Current Loan'!$B$9/12,0),"")</f>
        <v>35</v>
      </c>
      <c r="D27" s="3">
        <f>IF(A27&lt;&gt;"",IF(A27&lt;='Proposed Loan'!$B$6*12,'Proposed Loan'!$B$17,0),"")</f>
        <v>4187.9591096558606</v>
      </c>
      <c r="E27" s="3">
        <f>IF(A27&lt;&gt;"",IF(A27&lt;='Proposed Loan'!$B$6*12,'Proposed Loan'!$B$13/12,0),"")</f>
        <v>25</v>
      </c>
      <c r="F27" s="3">
        <f t="shared" si="0"/>
        <v>210.88743910381709</v>
      </c>
      <c r="G27" s="3">
        <f t="shared" si="2"/>
        <v>2878.6362211801588</v>
      </c>
      <c r="H27" s="1">
        <f t="shared" si="1"/>
        <v>1</v>
      </c>
    </row>
    <row r="28" spans="1:8" ht="21" customHeight="1">
      <c r="A28" s="1">
        <f>IF(AND('Current Loan'!$B$13,22&lt;=MAX('Current Loan'!B7,'Proposed Loan'!B6)*12),22,"")</f>
        <v>22</v>
      </c>
      <c r="B28" s="3">
        <f>IF(A28&lt;&gt;"",IF(A28&lt;='Current Loan'!$B$7*12,'Current Loan'!$B$17,0),"")</f>
        <v>4388.8465487596777</v>
      </c>
      <c r="C28" s="3">
        <f>IF(A28&lt;&gt;"",IF(A28&lt;='Current Loan'!$B$7*12,'Current Loan'!$B$9/12,0),"")</f>
        <v>35</v>
      </c>
      <c r="D28" s="3">
        <f>IF(A28&lt;&gt;"",IF(A28&lt;='Proposed Loan'!$B$6*12,'Proposed Loan'!$B$17,0),"")</f>
        <v>4187.9591096558606</v>
      </c>
      <c r="E28" s="3">
        <f>IF(A28&lt;&gt;"",IF(A28&lt;='Proposed Loan'!$B$6*12,'Proposed Loan'!$B$13/12,0),"")</f>
        <v>25</v>
      </c>
      <c r="F28" s="3">
        <f t="shared" si="0"/>
        <v>210.88743910381709</v>
      </c>
      <c r="G28" s="3">
        <f t="shared" si="2"/>
        <v>3089.5236602839759</v>
      </c>
      <c r="H28" s="1">
        <f t="shared" si="1"/>
        <v>1</v>
      </c>
    </row>
    <row r="29" spans="1:8" ht="21" customHeight="1">
      <c r="A29" s="1">
        <f>IF(AND('Current Loan'!$B$13,23&lt;=MAX('Current Loan'!B7,'Proposed Loan'!B6)*12),23,"")</f>
        <v>23</v>
      </c>
      <c r="B29" s="3">
        <f>IF(A29&lt;&gt;"",IF(A29&lt;='Current Loan'!$B$7*12,'Current Loan'!$B$17,0),"")</f>
        <v>4388.8465487596777</v>
      </c>
      <c r="C29" s="3">
        <f>IF(A29&lt;&gt;"",IF(A29&lt;='Current Loan'!$B$7*12,'Current Loan'!$B$9/12,0),"")</f>
        <v>35</v>
      </c>
      <c r="D29" s="3">
        <f>IF(A29&lt;&gt;"",IF(A29&lt;='Proposed Loan'!$B$6*12,'Proposed Loan'!$B$17,0),"")</f>
        <v>4187.9591096558606</v>
      </c>
      <c r="E29" s="3">
        <f>IF(A29&lt;&gt;"",IF(A29&lt;='Proposed Loan'!$B$6*12,'Proposed Loan'!$B$13/12,0),"")</f>
        <v>25</v>
      </c>
      <c r="F29" s="3">
        <f t="shared" si="0"/>
        <v>210.88743910381709</v>
      </c>
      <c r="G29" s="3">
        <f t="shared" si="2"/>
        <v>3300.411099387793</v>
      </c>
      <c r="H29" s="1">
        <f t="shared" si="1"/>
        <v>1</v>
      </c>
    </row>
    <row r="30" spans="1:8" ht="21" customHeight="1">
      <c r="A30" s="1">
        <f>IF(AND('Current Loan'!$B$13,24&lt;=MAX('Current Loan'!B7,'Proposed Loan'!B6)*12),24,"")</f>
        <v>24</v>
      </c>
      <c r="B30" s="3">
        <f>IF(A30&lt;&gt;"",IF(A30&lt;='Current Loan'!$B$7*12,'Current Loan'!$B$17,0),"")</f>
        <v>4388.8465487596777</v>
      </c>
      <c r="C30" s="3">
        <f>IF(A30&lt;&gt;"",IF(A30&lt;='Current Loan'!$B$7*12,'Current Loan'!$B$9/12,0),"")</f>
        <v>35</v>
      </c>
      <c r="D30" s="3">
        <f>IF(A30&lt;&gt;"",IF(A30&lt;='Proposed Loan'!$B$6*12,'Proposed Loan'!$B$17,0),"")</f>
        <v>4187.9591096558606</v>
      </c>
      <c r="E30" s="3">
        <f>IF(A30&lt;&gt;"",IF(A30&lt;='Proposed Loan'!$B$6*12,'Proposed Loan'!$B$13/12,0),"")</f>
        <v>25</v>
      </c>
      <c r="F30" s="3">
        <f t="shared" si="0"/>
        <v>210.88743910381709</v>
      </c>
      <c r="G30" s="3">
        <f t="shared" si="2"/>
        <v>3511.2985384916101</v>
      </c>
      <c r="H30" s="1">
        <f t="shared" si="1"/>
        <v>1</v>
      </c>
    </row>
    <row r="31" spans="1:8" ht="21" customHeight="1">
      <c r="A31" s="1">
        <f>IF(AND('Current Loan'!$B$13,25&lt;=MAX('Current Loan'!B7,'Proposed Loan'!B6)*12),25,"")</f>
        <v>25</v>
      </c>
      <c r="B31" s="3">
        <f>IF(A31&lt;&gt;"",IF(A31&lt;='Current Loan'!$B$7*12,'Current Loan'!$B$17,0),"")</f>
        <v>4388.8465487596777</v>
      </c>
      <c r="C31" s="3">
        <f>IF(A31&lt;&gt;"",IF(A31&lt;='Current Loan'!$B$7*12,'Current Loan'!$B$9/12,0),"")</f>
        <v>35</v>
      </c>
      <c r="D31" s="3">
        <f>IF(A31&lt;&gt;"",IF(A31&lt;='Proposed Loan'!$B$6*12,'Proposed Loan'!$B$17,0),"")</f>
        <v>4187.9591096558606</v>
      </c>
      <c r="E31" s="3">
        <f>IF(A31&lt;&gt;"",IF(A31&lt;='Proposed Loan'!$B$6*12,'Proposed Loan'!$B$13/12,0),"")</f>
        <v>25</v>
      </c>
      <c r="F31" s="3">
        <f t="shared" si="0"/>
        <v>210.88743910381709</v>
      </c>
      <c r="G31" s="3">
        <f t="shared" si="2"/>
        <v>3722.1859775954272</v>
      </c>
      <c r="H31" s="1">
        <f t="shared" si="1"/>
        <v>1</v>
      </c>
    </row>
    <row r="32" spans="1:8" ht="21" customHeight="1">
      <c r="A32" s="1">
        <f>IF(AND('Current Loan'!$B$13,26&lt;=MAX('Current Loan'!B7,'Proposed Loan'!B6)*12),26,"")</f>
        <v>26</v>
      </c>
      <c r="B32" s="3">
        <f>IF(A32&lt;&gt;"",IF(A32&lt;='Current Loan'!$B$7*12,'Current Loan'!$B$17,0),"")</f>
        <v>4388.8465487596777</v>
      </c>
      <c r="C32" s="3">
        <f>IF(A32&lt;&gt;"",IF(A32&lt;='Current Loan'!$B$7*12,'Current Loan'!$B$9/12,0),"")</f>
        <v>35</v>
      </c>
      <c r="D32" s="3">
        <f>IF(A32&lt;&gt;"",IF(A32&lt;='Proposed Loan'!$B$6*12,'Proposed Loan'!$B$17,0),"")</f>
        <v>4187.9591096558606</v>
      </c>
      <c r="E32" s="3">
        <f>IF(A32&lt;&gt;"",IF(A32&lt;='Proposed Loan'!$B$6*12,'Proposed Loan'!$B$13/12,0),"")</f>
        <v>25</v>
      </c>
      <c r="F32" s="3">
        <f t="shared" si="0"/>
        <v>210.88743910381709</v>
      </c>
      <c r="G32" s="3">
        <f t="shared" si="2"/>
        <v>3933.0734166992443</v>
      </c>
      <c r="H32" s="1">
        <f t="shared" si="1"/>
        <v>1</v>
      </c>
    </row>
    <row r="33" spans="1:8" ht="21" customHeight="1">
      <c r="A33" s="1">
        <f>IF(AND('Current Loan'!$B$13,27&lt;=MAX('Current Loan'!B7,'Proposed Loan'!B6)*12),27,"")</f>
        <v>27</v>
      </c>
      <c r="B33" s="3">
        <f>IF(A33&lt;&gt;"",IF(A33&lt;='Current Loan'!$B$7*12,'Current Loan'!$B$17,0),"")</f>
        <v>4388.8465487596777</v>
      </c>
      <c r="C33" s="3">
        <f>IF(A33&lt;&gt;"",IF(A33&lt;='Current Loan'!$B$7*12,'Current Loan'!$B$9/12,0),"")</f>
        <v>35</v>
      </c>
      <c r="D33" s="3">
        <f>IF(A33&lt;&gt;"",IF(A33&lt;='Proposed Loan'!$B$6*12,'Proposed Loan'!$B$17,0),"")</f>
        <v>4187.9591096558606</v>
      </c>
      <c r="E33" s="3">
        <f>IF(A33&lt;&gt;"",IF(A33&lt;='Proposed Loan'!$B$6*12,'Proposed Loan'!$B$13/12,0),"")</f>
        <v>25</v>
      </c>
      <c r="F33" s="3">
        <f t="shared" si="0"/>
        <v>210.88743910381709</v>
      </c>
      <c r="G33" s="3">
        <f t="shared" si="2"/>
        <v>4143.9608558030613</v>
      </c>
      <c r="H33" s="1">
        <f t="shared" si="1"/>
        <v>1</v>
      </c>
    </row>
    <row r="34" spans="1:8" ht="21" customHeight="1">
      <c r="A34" s="1">
        <f>IF(AND('Current Loan'!$B$13,28&lt;=MAX('Current Loan'!B7,'Proposed Loan'!B6)*12),28,"")</f>
        <v>28</v>
      </c>
      <c r="B34" s="3">
        <f>IF(A34&lt;&gt;"",IF(A34&lt;='Current Loan'!$B$7*12,'Current Loan'!$B$17,0),"")</f>
        <v>4388.8465487596777</v>
      </c>
      <c r="C34" s="3">
        <f>IF(A34&lt;&gt;"",IF(A34&lt;='Current Loan'!$B$7*12,'Current Loan'!$B$9/12,0),"")</f>
        <v>35</v>
      </c>
      <c r="D34" s="3">
        <f>IF(A34&lt;&gt;"",IF(A34&lt;='Proposed Loan'!$B$6*12,'Proposed Loan'!$B$17,0),"")</f>
        <v>4187.9591096558606</v>
      </c>
      <c r="E34" s="3">
        <f>IF(A34&lt;&gt;"",IF(A34&lt;='Proposed Loan'!$B$6*12,'Proposed Loan'!$B$13/12,0),"")</f>
        <v>25</v>
      </c>
      <c r="F34" s="3">
        <f t="shared" si="0"/>
        <v>210.88743910381709</v>
      </c>
      <c r="G34" s="3">
        <f t="shared" si="2"/>
        <v>4354.8482949068784</v>
      </c>
      <c r="H34" s="1">
        <f t="shared" si="1"/>
        <v>1</v>
      </c>
    </row>
    <row r="35" spans="1:8" ht="21" customHeight="1">
      <c r="A35" s="1">
        <f>IF(AND('Current Loan'!$B$13,29&lt;=MAX('Current Loan'!B7,'Proposed Loan'!B6)*12),29,"")</f>
        <v>29</v>
      </c>
      <c r="B35" s="3">
        <f>IF(A35&lt;&gt;"",IF(A35&lt;='Current Loan'!$B$7*12,'Current Loan'!$B$17,0),"")</f>
        <v>4388.8465487596777</v>
      </c>
      <c r="C35" s="3">
        <f>IF(A35&lt;&gt;"",IF(A35&lt;='Current Loan'!$B$7*12,'Current Loan'!$B$9/12,0),"")</f>
        <v>35</v>
      </c>
      <c r="D35" s="3">
        <f>IF(A35&lt;&gt;"",IF(A35&lt;='Proposed Loan'!$B$6*12,'Proposed Loan'!$B$17,0),"")</f>
        <v>4187.9591096558606</v>
      </c>
      <c r="E35" s="3">
        <f>IF(A35&lt;&gt;"",IF(A35&lt;='Proposed Loan'!$B$6*12,'Proposed Loan'!$B$13/12,0),"")</f>
        <v>25</v>
      </c>
      <c r="F35" s="3">
        <f t="shared" si="0"/>
        <v>210.88743910381709</v>
      </c>
      <c r="G35" s="3">
        <f t="shared" si="2"/>
        <v>4565.7357340106955</v>
      </c>
      <c r="H35" s="1">
        <f t="shared" si="1"/>
        <v>1</v>
      </c>
    </row>
    <row r="36" spans="1:8" ht="21" customHeight="1">
      <c r="A36" s="1">
        <f>IF(AND('Current Loan'!$B$13,30&lt;=MAX('Current Loan'!B7,'Proposed Loan'!B6)*12),30,"")</f>
        <v>30</v>
      </c>
      <c r="B36" s="3">
        <f>IF(A36&lt;&gt;"",IF(A36&lt;='Current Loan'!$B$7*12,'Current Loan'!$B$17,0),"")</f>
        <v>4388.8465487596777</v>
      </c>
      <c r="C36" s="3">
        <f>IF(A36&lt;&gt;"",IF(A36&lt;='Current Loan'!$B$7*12,'Current Loan'!$B$9/12,0),"")</f>
        <v>35</v>
      </c>
      <c r="D36" s="3">
        <f>IF(A36&lt;&gt;"",IF(A36&lt;='Proposed Loan'!$B$6*12,'Proposed Loan'!$B$17,0),"")</f>
        <v>4187.9591096558606</v>
      </c>
      <c r="E36" s="3">
        <f>IF(A36&lt;&gt;"",IF(A36&lt;='Proposed Loan'!$B$6*12,'Proposed Loan'!$B$13/12,0),"")</f>
        <v>25</v>
      </c>
      <c r="F36" s="3">
        <f t="shared" si="0"/>
        <v>210.88743910381709</v>
      </c>
      <c r="G36" s="3">
        <f t="shared" si="2"/>
        <v>4776.6231731145126</v>
      </c>
      <c r="H36" s="1">
        <f t="shared" si="1"/>
        <v>1</v>
      </c>
    </row>
    <row r="37" spans="1:8" ht="21" customHeight="1">
      <c r="A37" s="1">
        <f>IF(AND('Current Loan'!$B$13,31&lt;=MAX('Current Loan'!B7,'Proposed Loan'!B6)*12),31,"")</f>
        <v>31</v>
      </c>
      <c r="B37" s="3">
        <f>IF(A37&lt;&gt;"",IF(A37&lt;='Current Loan'!$B$7*12,'Current Loan'!$B$17,0),"")</f>
        <v>4388.8465487596777</v>
      </c>
      <c r="C37" s="3">
        <f>IF(A37&lt;&gt;"",IF(A37&lt;='Current Loan'!$B$7*12,'Current Loan'!$B$9/12,0),"")</f>
        <v>35</v>
      </c>
      <c r="D37" s="3">
        <f>IF(A37&lt;&gt;"",IF(A37&lt;='Proposed Loan'!$B$6*12,'Proposed Loan'!$B$17,0),"")</f>
        <v>4187.9591096558606</v>
      </c>
      <c r="E37" s="3">
        <f>IF(A37&lt;&gt;"",IF(A37&lt;='Proposed Loan'!$B$6*12,'Proposed Loan'!$B$13/12,0),"")</f>
        <v>25</v>
      </c>
      <c r="F37" s="3">
        <f t="shared" si="0"/>
        <v>210.88743910381709</v>
      </c>
      <c r="G37" s="3">
        <f t="shared" si="2"/>
        <v>4987.5106122183297</v>
      </c>
      <c r="H37" s="1">
        <f t="shared" si="1"/>
        <v>1</v>
      </c>
    </row>
    <row r="38" spans="1:8" ht="21" customHeight="1">
      <c r="A38" s="1">
        <f>IF(AND('Current Loan'!$B$13,32&lt;=MAX('Current Loan'!B7,'Proposed Loan'!B6)*12),32,"")</f>
        <v>32</v>
      </c>
      <c r="B38" s="3">
        <f>IF(A38&lt;&gt;"",IF(A38&lt;='Current Loan'!$B$7*12,'Current Loan'!$B$17,0),"")</f>
        <v>4388.8465487596777</v>
      </c>
      <c r="C38" s="3">
        <f>IF(A38&lt;&gt;"",IF(A38&lt;='Current Loan'!$B$7*12,'Current Loan'!$B$9/12,0),"")</f>
        <v>35</v>
      </c>
      <c r="D38" s="3">
        <f>IF(A38&lt;&gt;"",IF(A38&lt;='Proposed Loan'!$B$6*12,'Proposed Loan'!$B$17,0),"")</f>
        <v>4187.9591096558606</v>
      </c>
      <c r="E38" s="3">
        <f>IF(A38&lt;&gt;"",IF(A38&lt;='Proposed Loan'!$B$6*12,'Proposed Loan'!$B$13/12,0),"")</f>
        <v>25</v>
      </c>
      <c r="F38" s="3">
        <f t="shared" si="0"/>
        <v>210.88743910381709</v>
      </c>
      <c r="G38" s="3">
        <f t="shared" si="2"/>
        <v>5198.3980513221468</v>
      </c>
      <c r="H38" s="1">
        <f t="shared" si="1"/>
        <v>1</v>
      </c>
    </row>
    <row r="39" spans="1:8" ht="21" customHeight="1">
      <c r="A39" s="1">
        <f>IF(AND('Current Loan'!$B$13,33&lt;=MAX('Current Loan'!B7,'Proposed Loan'!B6)*12),33,"")</f>
        <v>33</v>
      </c>
      <c r="B39" s="3">
        <f>IF(A39&lt;&gt;"",IF(A39&lt;='Current Loan'!$B$7*12,'Current Loan'!$B$17,0),"")</f>
        <v>4388.8465487596777</v>
      </c>
      <c r="C39" s="3">
        <f>IF(A39&lt;&gt;"",IF(A39&lt;='Current Loan'!$B$7*12,'Current Loan'!$B$9/12,0),"")</f>
        <v>35</v>
      </c>
      <c r="D39" s="3">
        <f>IF(A39&lt;&gt;"",IF(A39&lt;='Proposed Loan'!$B$6*12,'Proposed Loan'!$B$17,0),"")</f>
        <v>4187.9591096558606</v>
      </c>
      <c r="E39" s="3">
        <f>IF(A39&lt;&gt;"",IF(A39&lt;='Proposed Loan'!$B$6*12,'Proposed Loan'!$B$13/12,0),"")</f>
        <v>25</v>
      </c>
      <c r="F39" s="3">
        <f t="shared" si="0"/>
        <v>210.88743910381709</v>
      </c>
      <c r="G39" s="3">
        <f t="shared" si="2"/>
        <v>5409.2854904259639</v>
      </c>
      <c r="H39" s="1">
        <f t="shared" si="1"/>
        <v>1</v>
      </c>
    </row>
    <row r="40" spans="1:8" ht="21" customHeight="1">
      <c r="A40" s="1">
        <f>IF(AND('Current Loan'!$B$13,34&lt;=MAX('Current Loan'!B7,'Proposed Loan'!B6)*12),34,"")</f>
        <v>34</v>
      </c>
      <c r="B40" s="3">
        <f>IF(A40&lt;&gt;"",IF(A40&lt;='Current Loan'!$B$7*12,'Current Loan'!$B$17,0),"")</f>
        <v>4388.8465487596777</v>
      </c>
      <c r="C40" s="3">
        <f>IF(A40&lt;&gt;"",IF(A40&lt;='Current Loan'!$B$7*12,'Current Loan'!$B$9/12,0),"")</f>
        <v>35</v>
      </c>
      <c r="D40" s="3">
        <f>IF(A40&lt;&gt;"",IF(A40&lt;='Proposed Loan'!$B$6*12,'Proposed Loan'!$B$17,0),"")</f>
        <v>4187.9591096558606</v>
      </c>
      <c r="E40" s="3">
        <f>IF(A40&lt;&gt;"",IF(A40&lt;='Proposed Loan'!$B$6*12,'Proposed Loan'!$B$13/12,0),"")</f>
        <v>25</v>
      </c>
      <c r="F40" s="3">
        <f t="shared" si="0"/>
        <v>210.88743910381709</v>
      </c>
      <c r="G40" s="3">
        <f t="shared" si="2"/>
        <v>5620.172929529781</v>
      </c>
      <c r="H40" s="1">
        <f t="shared" si="1"/>
        <v>1</v>
      </c>
    </row>
    <row r="41" spans="1:8" ht="21" customHeight="1">
      <c r="A41" s="1">
        <f>IF(AND('Current Loan'!$B$13,35&lt;=MAX('Current Loan'!B7,'Proposed Loan'!B6)*12),35,"")</f>
        <v>35</v>
      </c>
      <c r="B41" s="3">
        <f>IF(A41&lt;&gt;"",IF(A41&lt;='Current Loan'!$B$7*12,'Current Loan'!$B$17,0),"")</f>
        <v>4388.8465487596777</v>
      </c>
      <c r="C41" s="3">
        <f>IF(A41&lt;&gt;"",IF(A41&lt;='Current Loan'!$B$7*12,'Current Loan'!$B$9/12,0),"")</f>
        <v>35</v>
      </c>
      <c r="D41" s="3">
        <f>IF(A41&lt;&gt;"",IF(A41&lt;='Proposed Loan'!$B$6*12,'Proposed Loan'!$B$17,0),"")</f>
        <v>4187.9591096558606</v>
      </c>
      <c r="E41" s="3">
        <f>IF(A41&lt;&gt;"",IF(A41&lt;='Proposed Loan'!$B$6*12,'Proposed Loan'!$B$13/12,0),"")</f>
        <v>25</v>
      </c>
      <c r="F41" s="3">
        <f t="shared" si="0"/>
        <v>210.88743910381709</v>
      </c>
      <c r="G41" s="3">
        <f t="shared" si="2"/>
        <v>5831.060368633598</v>
      </c>
      <c r="H41" s="1">
        <f t="shared" si="1"/>
        <v>1</v>
      </c>
    </row>
    <row r="42" spans="1:8" ht="21" customHeight="1">
      <c r="A42" s="1">
        <f>IF(AND('Current Loan'!$B$13,36&lt;=MAX('Current Loan'!B7,'Proposed Loan'!B6)*12),36,"")</f>
        <v>36</v>
      </c>
      <c r="B42" s="3">
        <f>IF(A42&lt;&gt;"",IF(A42&lt;='Current Loan'!$B$7*12,'Current Loan'!$B$17,0),"")</f>
        <v>4388.8465487596777</v>
      </c>
      <c r="C42" s="3">
        <f>IF(A42&lt;&gt;"",IF(A42&lt;='Current Loan'!$B$7*12,'Current Loan'!$B$9/12,0),"")</f>
        <v>35</v>
      </c>
      <c r="D42" s="3">
        <f>IF(A42&lt;&gt;"",IF(A42&lt;='Proposed Loan'!$B$6*12,'Proposed Loan'!$B$17,0),"")</f>
        <v>4187.9591096558606</v>
      </c>
      <c r="E42" s="3">
        <f>IF(A42&lt;&gt;"",IF(A42&lt;='Proposed Loan'!$B$6*12,'Proposed Loan'!$B$13/12,0),"")</f>
        <v>25</v>
      </c>
      <c r="F42" s="3">
        <f t="shared" si="0"/>
        <v>210.88743910381709</v>
      </c>
      <c r="G42" s="3">
        <f t="shared" si="2"/>
        <v>6041.9478077374151</v>
      </c>
      <c r="H42" s="1">
        <f t="shared" si="1"/>
        <v>1</v>
      </c>
    </row>
    <row r="43" spans="1:8" ht="21" customHeight="1">
      <c r="A43" s="1">
        <f>IF(AND('Current Loan'!$B$13,37&lt;=MAX('Current Loan'!B7,'Proposed Loan'!B6)*12),37,"")</f>
        <v>37</v>
      </c>
      <c r="B43" s="3">
        <f>IF(A43&lt;&gt;"",IF(A43&lt;='Current Loan'!$B$7*12,'Current Loan'!$B$17,0),"")</f>
        <v>4388.8465487596777</v>
      </c>
      <c r="C43" s="3">
        <f>IF(A43&lt;&gt;"",IF(A43&lt;='Current Loan'!$B$7*12,'Current Loan'!$B$9/12,0),"")</f>
        <v>35</v>
      </c>
      <c r="D43" s="3">
        <f>IF(A43&lt;&gt;"",IF(A43&lt;='Proposed Loan'!$B$6*12,'Proposed Loan'!$B$17,0),"")</f>
        <v>4187.9591096558606</v>
      </c>
      <c r="E43" s="3">
        <f>IF(A43&lt;&gt;"",IF(A43&lt;='Proposed Loan'!$B$6*12,'Proposed Loan'!$B$13/12,0),"")</f>
        <v>25</v>
      </c>
      <c r="F43" s="3">
        <f t="shared" si="0"/>
        <v>210.88743910381709</v>
      </c>
      <c r="G43" s="3">
        <f t="shared" si="2"/>
        <v>6252.8352468412322</v>
      </c>
      <c r="H43" s="1">
        <f t="shared" si="1"/>
        <v>1</v>
      </c>
    </row>
    <row r="44" spans="1:8" ht="21" customHeight="1">
      <c r="A44" s="1">
        <f>IF(AND('Current Loan'!$B$13,38&lt;=MAX('Current Loan'!B7,'Proposed Loan'!B6)*12),38,"")</f>
        <v>38</v>
      </c>
      <c r="B44" s="3">
        <f>IF(A44&lt;&gt;"",IF(A44&lt;='Current Loan'!$B$7*12,'Current Loan'!$B$17,0),"")</f>
        <v>4388.8465487596777</v>
      </c>
      <c r="C44" s="3">
        <f>IF(A44&lt;&gt;"",IF(A44&lt;='Current Loan'!$B$7*12,'Current Loan'!$B$9/12,0),"")</f>
        <v>35</v>
      </c>
      <c r="D44" s="3">
        <f>IF(A44&lt;&gt;"",IF(A44&lt;='Proposed Loan'!$B$6*12,'Proposed Loan'!$B$17,0),"")</f>
        <v>4187.9591096558606</v>
      </c>
      <c r="E44" s="3">
        <f>IF(A44&lt;&gt;"",IF(A44&lt;='Proposed Loan'!$B$6*12,'Proposed Loan'!$B$13/12,0),"")</f>
        <v>25</v>
      </c>
      <c r="F44" s="3">
        <f t="shared" si="0"/>
        <v>210.88743910381709</v>
      </c>
      <c r="G44" s="3">
        <f t="shared" si="2"/>
        <v>6463.7226859450493</v>
      </c>
      <c r="H44" s="1">
        <f t="shared" si="1"/>
        <v>1</v>
      </c>
    </row>
    <row r="45" spans="1:8" ht="21" customHeight="1">
      <c r="A45" s="1">
        <f>IF(AND('Current Loan'!$B$13,39&lt;=MAX('Current Loan'!B7,'Proposed Loan'!B6)*12),39,"")</f>
        <v>39</v>
      </c>
      <c r="B45" s="3">
        <f>IF(A45&lt;&gt;"",IF(A45&lt;='Current Loan'!$B$7*12,'Current Loan'!$B$17,0),"")</f>
        <v>4388.8465487596777</v>
      </c>
      <c r="C45" s="3">
        <f>IF(A45&lt;&gt;"",IF(A45&lt;='Current Loan'!$B$7*12,'Current Loan'!$B$9/12,0),"")</f>
        <v>35</v>
      </c>
      <c r="D45" s="3">
        <f>IF(A45&lt;&gt;"",IF(A45&lt;='Proposed Loan'!$B$6*12,'Proposed Loan'!$B$17,0),"")</f>
        <v>4187.9591096558606</v>
      </c>
      <c r="E45" s="3">
        <f>IF(A45&lt;&gt;"",IF(A45&lt;='Proposed Loan'!$B$6*12,'Proposed Loan'!$B$13/12,0),"")</f>
        <v>25</v>
      </c>
      <c r="F45" s="3">
        <f t="shared" si="0"/>
        <v>210.88743910381709</v>
      </c>
      <c r="G45" s="3">
        <f t="shared" si="2"/>
        <v>6674.6101250488664</v>
      </c>
      <c r="H45" s="1">
        <f t="shared" si="1"/>
        <v>1</v>
      </c>
    </row>
    <row r="46" spans="1:8" ht="21" customHeight="1">
      <c r="A46" s="1">
        <f>IF(AND('Current Loan'!$B$13,40&lt;=MAX('Current Loan'!B7,'Proposed Loan'!B6)*12),40,"")</f>
        <v>40</v>
      </c>
      <c r="B46" s="3">
        <f>IF(A46&lt;&gt;"",IF(A46&lt;='Current Loan'!$B$7*12,'Current Loan'!$B$17,0),"")</f>
        <v>4388.8465487596777</v>
      </c>
      <c r="C46" s="3">
        <f>IF(A46&lt;&gt;"",IF(A46&lt;='Current Loan'!$B$7*12,'Current Loan'!$B$9/12,0),"")</f>
        <v>35</v>
      </c>
      <c r="D46" s="3">
        <f>IF(A46&lt;&gt;"",IF(A46&lt;='Proposed Loan'!$B$6*12,'Proposed Loan'!$B$17,0),"")</f>
        <v>4187.9591096558606</v>
      </c>
      <c r="E46" s="3">
        <f>IF(A46&lt;&gt;"",IF(A46&lt;='Proposed Loan'!$B$6*12,'Proposed Loan'!$B$13/12,0),"")</f>
        <v>25</v>
      </c>
      <c r="F46" s="3">
        <f t="shared" si="0"/>
        <v>210.88743910381709</v>
      </c>
      <c r="G46" s="3">
        <f t="shared" si="2"/>
        <v>6885.4975641526835</v>
      </c>
      <c r="H46" s="1">
        <f t="shared" si="1"/>
        <v>1</v>
      </c>
    </row>
    <row r="47" spans="1:8" ht="21" customHeight="1">
      <c r="A47" s="1">
        <f>IF(AND('Current Loan'!$B$13,41&lt;=MAX('Current Loan'!B7,'Proposed Loan'!B6)*12),41,"")</f>
        <v>41</v>
      </c>
      <c r="B47" s="3">
        <f>IF(A47&lt;&gt;"",IF(A47&lt;='Current Loan'!$B$7*12,'Current Loan'!$B$17,0),"")</f>
        <v>4388.8465487596777</v>
      </c>
      <c r="C47" s="3">
        <f>IF(A47&lt;&gt;"",IF(A47&lt;='Current Loan'!$B$7*12,'Current Loan'!$B$9/12,0),"")</f>
        <v>35</v>
      </c>
      <c r="D47" s="3">
        <f>IF(A47&lt;&gt;"",IF(A47&lt;='Proposed Loan'!$B$6*12,'Proposed Loan'!$B$17,0),"")</f>
        <v>4187.9591096558606</v>
      </c>
      <c r="E47" s="3">
        <f>IF(A47&lt;&gt;"",IF(A47&lt;='Proposed Loan'!$B$6*12,'Proposed Loan'!$B$13/12,0),"")</f>
        <v>25</v>
      </c>
      <c r="F47" s="3">
        <f t="shared" si="0"/>
        <v>210.88743910381709</v>
      </c>
      <c r="G47" s="3">
        <f t="shared" si="2"/>
        <v>7096.3850032565006</v>
      </c>
      <c r="H47" s="1">
        <f t="shared" si="1"/>
        <v>1</v>
      </c>
    </row>
    <row r="48" spans="1:8" ht="21" customHeight="1">
      <c r="A48" s="1">
        <f>IF(AND('Current Loan'!$B$13,42&lt;=MAX('Current Loan'!B7,'Proposed Loan'!B6)*12),42,"")</f>
        <v>42</v>
      </c>
      <c r="B48" s="3">
        <f>IF(A48&lt;&gt;"",IF(A48&lt;='Current Loan'!$B$7*12,'Current Loan'!$B$17,0),"")</f>
        <v>4388.8465487596777</v>
      </c>
      <c r="C48" s="3">
        <f>IF(A48&lt;&gt;"",IF(A48&lt;='Current Loan'!$B$7*12,'Current Loan'!$B$9/12,0),"")</f>
        <v>35</v>
      </c>
      <c r="D48" s="3">
        <f>IF(A48&lt;&gt;"",IF(A48&lt;='Proposed Loan'!$B$6*12,'Proposed Loan'!$B$17,0),"")</f>
        <v>4187.9591096558606</v>
      </c>
      <c r="E48" s="3">
        <f>IF(A48&lt;&gt;"",IF(A48&lt;='Proposed Loan'!$B$6*12,'Proposed Loan'!$B$13/12,0),"")</f>
        <v>25</v>
      </c>
      <c r="F48" s="3">
        <f t="shared" si="0"/>
        <v>210.88743910381709</v>
      </c>
      <c r="G48" s="3">
        <f t="shared" si="2"/>
        <v>7307.2724423603177</v>
      </c>
      <c r="H48" s="1">
        <f t="shared" si="1"/>
        <v>1</v>
      </c>
    </row>
    <row r="49" spans="1:8" ht="21" customHeight="1">
      <c r="A49" s="1">
        <f>IF(AND('Current Loan'!$B$13,43&lt;=MAX('Current Loan'!B7,'Proposed Loan'!B6)*12),43,"")</f>
        <v>43</v>
      </c>
      <c r="B49" s="3">
        <f>IF(A49&lt;&gt;"",IF(A49&lt;='Current Loan'!$B$7*12,'Current Loan'!$B$17,0),"")</f>
        <v>4388.8465487596777</v>
      </c>
      <c r="C49" s="3">
        <f>IF(A49&lt;&gt;"",IF(A49&lt;='Current Loan'!$B$7*12,'Current Loan'!$B$9/12,0),"")</f>
        <v>35</v>
      </c>
      <c r="D49" s="3">
        <f>IF(A49&lt;&gt;"",IF(A49&lt;='Proposed Loan'!$B$6*12,'Proposed Loan'!$B$17,0),"")</f>
        <v>4187.9591096558606</v>
      </c>
      <c r="E49" s="3">
        <f>IF(A49&lt;&gt;"",IF(A49&lt;='Proposed Loan'!$B$6*12,'Proposed Loan'!$B$13/12,0),"")</f>
        <v>25</v>
      </c>
      <c r="F49" s="3">
        <f t="shared" si="0"/>
        <v>210.88743910381709</v>
      </c>
      <c r="G49" s="3">
        <f t="shared" si="2"/>
        <v>7518.1598814641347</v>
      </c>
      <c r="H49" s="1">
        <f t="shared" si="1"/>
        <v>1</v>
      </c>
    </row>
    <row r="50" spans="1:8" ht="21" customHeight="1">
      <c r="A50" s="1">
        <f>IF(AND('Current Loan'!$B$13,44&lt;=MAX('Current Loan'!B7,'Proposed Loan'!B6)*12),44,"")</f>
        <v>44</v>
      </c>
      <c r="B50" s="3">
        <f>IF(A50&lt;&gt;"",IF(A50&lt;='Current Loan'!$B$7*12,'Current Loan'!$B$17,0),"")</f>
        <v>4388.8465487596777</v>
      </c>
      <c r="C50" s="3">
        <f>IF(A50&lt;&gt;"",IF(A50&lt;='Current Loan'!$B$7*12,'Current Loan'!$B$9/12,0),"")</f>
        <v>35</v>
      </c>
      <c r="D50" s="3">
        <f>IF(A50&lt;&gt;"",IF(A50&lt;='Proposed Loan'!$B$6*12,'Proposed Loan'!$B$17,0),"")</f>
        <v>4187.9591096558606</v>
      </c>
      <c r="E50" s="3">
        <f>IF(A50&lt;&gt;"",IF(A50&lt;='Proposed Loan'!$B$6*12,'Proposed Loan'!$B$13/12,0),"")</f>
        <v>25</v>
      </c>
      <c r="F50" s="3">
        <f t="shared" si="0"/>
        <v>210.88743910381709</v>
      </c>
      <c r="G50" s="3">
        <f t="shared" si="2"/>
        <v>7729.0473205679518</v>
      </c>
      <c r="H50" s="1">
        <f t="shared" si="1"/>
        <v>1</v>
      </c>
    </row>
    <row r="51" spans="1:8" ht="21" customHeight="1">
      <c r="A51" s="1">
        <f>IF(AND('Current Loan'!$B$13,45&lt;=MAX('Current Loan'!B7,'Proposed Loan'!B6)*12),45,"")</f>
        <v>45</v>
      </c>
      <c r="B51" s="3">
        <f>IF(A51&lt;&gt;"",IF(A51&lt;='Current Loan'!$B$7*12,'Current Loan'!$B$17,0),"")</f>
        <v>4388.8465487596777</v>
      </c>
      <c r="C51" s="3">
        <f>IF(A51&lt;&gt;"",IF(A51&lt;='Current Loan'!$B$7*12,'Current Loan'!$B$9/12,0),"")</f>
        <v>35</v>
      </c>
      <c r="D51" s="3">
        <f>IF(A51&lt;&gt;"",IF(A51&lt;='Proposed Loan'!$B$6*12,'Proposed Loan'!$B$17,0),"")</f>
        <v>4187.9591096558606</v>
      </c>
      <c r="E51" s="3">
        <f>IF(A51&lt;&gt;"",IF(A51&lt;='Proposed Loan'!$B$6*12,'Proposed Loan'!$B$13/12,0),"")</f>
        <v>25</v>
      </c>
      <c r="F51" s="3">
        <f t="shared" si="0"/>
        <v>210.88743910381709</v>
      </c>
      <c r="G51" s="3">
        <f t="shared" si="2"/>
        <v>7939.9347596717689</v>
      </c>
      <c r="H51" s="1">
        <f t="shared" si="1"/>
        <v>1</v>
      </c>
    </row>
    <row r="52" spans="1:8" ht="21" customHeight="1">
      <c r="A52" s="1">
        <f>IF(AND('Current Loan'!$B$13,46&lt;=MAX('Current Loan'!B7,'Proposed Loan'!B6)*12),46,"")</f>
        <v>46</v>
      </c>
      <c r="B52" s="3">
        <f>IF(A52&lt;&gt;"",IF(A52&lt;='Current Loan'!$B$7*12,'Current Loan'!$B$17,0),"")</f>
        <v>4388.8465487596777</v>
      </c>
      <c r="C52" s="3">
        <f>IF(A52&lt;&gt;"",IF(A52&lt;='Current Loan'!$B$7*12,'Current Loan'!$B$9/12,0),"")</f>
        <v>35</v>
      </c>
      <c r="D52" s="3">
        <f>IF(A52&lt;&gt;"",IF(A52&lt;='Proposed Loan'!$B$6*12,'Proposed Loan'!$B$17,0),"")</f>
        <v>4187.9591096558606</v>
      </c>
      <c r="E52" s="3">
        <f>IF(A52&lt;&gt;"",IF(A52&lt;='Proposed Loan'!$B$6*12,'Proposed Loan'!$B$13/12,0),"")</f>
        <v>25</v>
      </c>
      <c r="F52" s="3">
        <f t="shared" si="0"/>
        <v>210.88743910381709</v>
      </c>
      <c r="G52" s="3">
        <f t="shared" si="2"/>
        <v>8150.822198775586</v>
      </c>
      <c r="H52" s="1">
        <f t="shared" si="1"/>
        <v>1</v>
      </c>
    </row>
    <row r="53" spans="1:8" ht="21" customHeight="1">
      <c r="A53" s="1">
        <f>IF(AND('Current Loan'!$B$13,47&lt;=MAX('Current Loan'!B7,'Proposed Loan'!B6)*12),47,"")</f>
        <v>47</v>
      </c>
      <c r="B53" s="3">
        <f>IF(A53&lt;&gt;"",IF(A53&lt;='Current Loan'!$B$7*12,'Current Loan'!$B$17,0),"")</f>
        <v>4388.8465487596777</v>
      </c>
      <c r="C53" s="3">
        <f>IF(A53&lt;&gt;"",IF(A53&lt;='Current Loan'!$B$7*12,'Current Loan'!$B$9/12,0),"")</f>
        <v>35</v>
      </c>
      <c r="D53" s="3">
        <f>IF(A53&lt;&gt;"",IF(A53&lt;='Proposed Loan'!$B$6*12,'Proposed Loan'!$B$17,0),"")</f>
        <v>4187.9591096558606</v>
      </c>
      <c r="E53" s="3">
        <f>IF(A53&lt;&gt;"",IF(A53&lt;='Proposed Loan'!$B$6*12,'Proposed Loan'!$B$13/12,0),"")</f>
        <v>25</v>
      </c>
      <c r="F53" s="3">
        <f t="shared" si="0"/>
        <v>210.88743910381709</v>
      </c>
      <c r="G53" s="3">
        <f t="shared" si="2"/>
        <v>8361.7096378794031</v>
      </c>
      <c r="H53" s="1">
        <f t="shared" si="1"/>
        <v>1</v>
      </c>
    </row>
    <row r="54" spans="1:8" ht="21" customHeight="1">
      <c r="A54" s="1">
        <f>IF(AND('Current Loan'!$B$13,48&lt;=MAX('Current Loan'!B7,'Proposed Loan'!B6)*12),48,"")</f>
        <v>48</v>
      </c>
      <c r="B54" s="3">
        <f>IF(A54&lt;&gt;"",IF(A54&lt;='Current Loan'!$B$7*12,'Current Loan'!$B$17,0),"")</f>
        <v>4388.8465487596777</v>
      </c>
      <c r="C54" s="3">
        <f>IF(A54&lt;&gt;"",IF(A54&lt;='Current Loan'!$B$7*12,'Current Loan'!$B$9/12,0),"")</f>
        <v>35</v>
      </c>
      <c r="D54" s="3">
        <f>IF(A54&lt;&gt;"",IF(A54&lt;='Proposed Loan'!$B$6*12,'Proposed Loan'!$B$17,0),"")</f>
        <v>4187.9591096558606</v>
      </c>
      <c r="E54" s="3">
        <f>IF(A54&lt;&gt;"",IF(A54&lt;='Proposed Loan'!$B$6*12,'Proposed Loan'!$B$13/12,0),"")</f>
        <v>25</v>
      </c>
      <c r="F54" s="3">
        <f t="shared" si="0"/>
        <v>210.88743910381709</v>
      </c>
      <c r="G54" s="3">
        <f t="shared" si="2"/>
        <v>8572.5970769832202</v>
      </c>
      <c r="H54" s="1">
        <f t="shared" si="1"/>
        <v>1</v>
      </c>
    </row>
    <row r="55" spans="1:8" ht="21" customHeight="1">
      <c r="A55" s="1">
        <f>IF(AND('Current Loan'!$B$13,49&lt;=MAX('Current Loan'!B7,'Proposed Loan'!B6)*12),49,"")</f>
        <v>49</v>
      </c>
      <c r="B55" s="3">
        <f>IF(A55&lt;&gt;"",IF(A55&lt;='Current Loan'!$B$7*12,'Current Loan'!$B$17,0),"")</f>
        <v>4388.8465487596777</v>
      </c>
      <c r="C55" s="3">
        <f>IF(A55&lt;&gt;"",IF(A55&lt;='Current Loan'!$B$7*12,'Current Loan'!$B$9/12,0),"")</f>
        <v>35</v>
      </c>
      <c r="D55" s="3">
        <f>IF(A55&lt;&gt;"",IF(A55&lt;='Proposed Loan'!$B$6*12,'Proposed Loan'!$B$17,0),"")</f>
        <v>4187.9591096558606</v>
      </c>
      <c r="E55" s="3">
        <f>IF(A55&lt;&gt;"",IF(A55&lt;='Proposed Loan'!$B$6*12,'Proposed Loan'!$B$13/12,0),"")</f>
        <v>25</v>
      </c>
      <c r="F55" s="3">
        <f t="shared" si="0"/>
        <v>210.88743910381709</v>
      </c>
      <c r="G55" s="3">
        <f t="shared" si="2"/>
        <v>8783.4845160870373</v>
      </c>
      <c r="H55" s="1">
        <f t="shared" si="1"/>
        <v>1</v>
      </c>
    </row>
    <row r="56" spans="1:8" ht="21" customHeight="1">
      <c r="A56" s="1">
        <f>IF(AND('Current Loan'!$B$13,50&lt;=MAX('Current Loan'!B7,'Proposed Loan'!B6)*12),50,"")</f>
        <v>50</v>
      </c>
      <c r="B56" s="3">
        <f>IF(A56&lt;&gt;"",IF(A56&lt;='Current Loan'!$B$7*12,'Current Loan'!$B$17,0),"")</f>
        <v>4388.8465487596777</v>
      </c>
      <c r="C56" s="3">
        <f>IF(A56&lt;&gt;"",IF(A56&lt;='Current Loan'!$B$7*12,'Current Loan'!$B$9/12,0),"")</f>
        <v>35</v>
      </c>
      <c r="D56" s="3">
        <f>IF(A56&lt;&gt;"",IF(A56&lt;='Proposed Loan'!$B$6*12,'Proposed Loan'!$B$17,0),"")</f>
        <v>4187.9591096558606</v>
      </c>
      <c r="E56" s="3">
        <f>IF(A56&lt;&gt;"",IF(A56&lt;='Proposed Loan'!$B$6*12,'Proposed Loan'!$B$13/12,0),"")</f>
        <v>25</v>
      </c>
      <c r="F56" s="3">
        <f t="shared" si="0"/>
        <v>210.88743910381709</v>
      </c>
      <c r="G56" s="3">
        <f t="shared" si="2"/>
        <v>8994.3719551908544</v>
      </c>
      <c r="H56" s="1">
        <f t="shared" si="1"/>
        <v>1</v>
      </c>
    </row>
    <row r="57" spans="1:8" ht="21" customHeight="1">
      <c r="A57" s="1">
        <f>IF(AND('Current Loan'!$B$13,51&lt;=MAX('Current Loan'!B7,'Proposed Loan'!B6)*12),51,"")</f>
        <v>51</v>
      </c>
      <c r="B57" s="3">
        <f>IF(A57&lt;&gt;"",IF(A57&lt;='Current Loan'!$B$7*12,'Current Loan'!$B$17,0),"")</f>
        <v>4388.8465487596777</v>
      </c>
      <c r="C57" s="3">
        <f>IF(A57&lt;&gt;"",IF(A57&lt;='Current Loan'!$B$7*12,'Current Loan'!$B$9/12,0),"")</f>
        <v>35</v>
      </c>
      <c r="D57" s="3">
        <f>IF(A57&lt;&gt;"",IF(A57&lt;='Proposed Loan'!$B$6*12,'Proposed Loan'!$B$17,0),"")</f>
        <v>4187.9591096558606</v>
      </c>
      <c r="E57" s="3">
        <f>IF(A57&lt;&gt;"",IF(A57&lt;='Proposed Loan'!$B$6*12,'Proposed Loan'!$B$13/12,0),"")</f>
        <v>25</v>
      </c>
      <c r="F57" s="3">
        <f t="shared" si="0"/>
        <v>210.88743910381709</v>
      </c>
      <c r="G57" s="3">
        <f t="shared" si="2"/>
        <v>9205.2593942946714</v>
      </c>
      <c r="H57" s="1">
        <f t="shared" si="1"/>
        <v>1</v>
      </c>
    </row>
    <row r="58" spans="1:8" ht="21" customHeight="1">
      <c r="A58" s="1">
        <f>IF(AND('Current Loan'!$B$13,52&lt;=MAX('Current Loan'!B7,'Proposed Loan'!B6)*12),52,"")</f>
        <v>52</v>
      </c>
      <c r="B58" s="3">
        <f>IF(A58&lt;&gt;"",IF(A58&lt;='Current Loan'!$B$7*12,'Current Loan'!$B$17,0),"")</f>
        <v>4388.8465487596777</v>
      </c>
      <c r="C58" s="3">
        <f>IF(A58&lt;&gt;"",IF(A58&lt;='Current Loan'!$B$7*12,'Current Loan'!$B$9/12,0),"")</f>
        <v>35</v>
      </c>
      <c r="D58" s="3">
        <f>IF(A58&lt;&gt;"",IF(A58&lt;='Proposed Loan'!$B$6*12,'Proposed Loan'!$B$17,0),"")</f>
        <v>4187.9591096558606</v>
      </c>
      <c r="E58" s="3">
        <f>IF(A58&lt;&gt;"",IF(A58&lt;='Proposed Loan'!$B$6*12,'Proposed Loan'!$B$13/12,0),"")</f>
        <v>25</v>
      </c>
      <c r="F58" s="3">
        <f t="shared" si="0"/>
        <v>210.88743910381709</v>
      </c>
      <c r="G58" s="3">
        <f t="shared" si="2"/>
        <v>9416.1468333984885</v>
      </c>
      <c r="H58" s="1">
        <f t="shared" si="1"/>
        <v>1</v>
      </c>
    </row>
    <row r="59" spans="1:8" ht="21" customHeight="1">
      <c r="A59" s="1">
        <f>IF(AND('Current Loan'!$B$13,53&lt;=MAX('Current Loan'!B7,'Proposed Loan'!B6)*12),53,"")</f>
        <v>53</v>
      </c>
      <c r="B59" s="3">
        <f>IF(A59&lt;&gt;"",IF(A59&lt;='Current Loan'!$B$7*12,'Current Loan'!$B$17,0),"")</f>
        <v>4388.8465487596777</v>
      </c>
      <c r="C59" s="3">
        <f>IF(A59&lt;&gt;"",IF(A59&lt;='Current Loan'!$B$7*12,'Current Loan'!$B$9/12,0),"")</f>
        <v>35</v>
      </c>
      <c r="D59" s="3">
        <f>IF(A59&lt;&gt;"",IF(A59&lt;='Proposed Loan'!$B$6*12,'Proposed Loan'!$B$17,0),"")</f>
        <v>4187.9591096558606</v>
      </c>
      <c r="E59" s="3">
        <f>IF(A59&lt;&gt;"",IF(A59&lt;='Proposed Loan'!$B$6*12,'Proposed Loan'!$B$13/12,0),"")</f>
        <v>25</v>
      </c>
      <c r="F59" s="3">
        <f t="shared" si="0"/>
        <v>210.88743910381709</v>
      </c>
      <c r="G59" s="3">
        <f t="shared" si="2"/>
        <v>9627.0342725023056</v>
      </c>
      <c r="H59" s="1">
        <f t="shared" si="1"/>
        <v>1</v>
      </c>
    </row>
    <row r="60" spans="1:8" ht="21" customHeight="1">
      <c r="A60" s="1">
        <f>IF(AND('Current Loan'!$B$13,54&lt;=MAX('Current Loan'!B7,'Proposed Loan'!B6)*12),54,"")</f>
        <v>54</v>
      </c>
      <c r="B60" s="3">
        <f>IF(A60&lt;&gt;"",IF(A60&lt;='Current Loan'!$B$7*12,'Current Loan'!$B$17,0),"")</f>
        <v>4388.8465487596777</v>
      </c>
      <c r="C60" s="3">
        <f>IF(A60&lt;&gt;"",IF(A60&lt;='Current Loan'!$B$7*12,'Current Loan'!$B$9/12,0),"")</f>
        <v>35</v>
      </c>
      <c r="D60" s="3">
        <f>IF(A60&lt;&gt;"",IF(A60&lt;='Proposed Loan'!$B$6*12,'Proposed Loan'!$B$17,0),"")</f>
        <v>4187.9591096558606</v>
      </c>
      <c r="E60" s="3">
        <f>IF(A60&lt;&gt;"",IF(A60&lt;='Proposed Loan'!$B$6*12,'Proposed Loan'!$B$13/12,0),"")</f>
        <v>25</v>
      </c>
      <c r="F60" s="3">
        <f t="shared" si="0"/>
        <v>210.88743910381709</v>
      </c>
      <c r="G60" s="3">
        <f t="shared" si="2"/>
        <v>9837.9217116061227</v>
      </c>
      <c r="H60" s="1">
        <f t="shared" si="1"/>
        <v>1</v>
      </c>
    </row>
    <row r="61" spans="1:8" ht="21" customHeight="1">
      <c r="A61" s="1">
        <f>IF(AND('Current Loan'!$B$13,55&lt;=MAX('Current Loan'!B7,'Proposed Loan'!B6)*12),55,"")</f>
        <v>55</v>
      </c>
      <c r="B61" s="3">
        <f>IF(A61&lt;&gt;"",IF(A61&lt;='Current Loan'!$B$7*12,'Current Loan'!$B$17,0),"")</f>
        <v>4388.8465487596777</v>
      </c>
      <c r="C61" s="3">
        <f>IF(A61&lt;&gt;"",IF(A61&lt;='Current Loan'!$B$7*12,'Current Loan'!$B$9/12,0),"")</f>
        <v>35</v>
      </c>
      <c r="D61" s="3">
        <f>IF(A61&lt;&gt;"",IF(A61&lt;='Proposed Loan'!$B$6*12,'Proposed Loan'!$B$17,0),"")</f>
        <v>4187.9591096558606</v>
      </c>
      <c r="E61" s="3">
        <f>IF(A61&lt;&gt;"",IF(A61&lt;='Proposed Loan'!$B$6*12,'Proposed Loan'!$B$13/12,0),"")</f>
        <v>25</v>
      </c>
      <c r="F61" s="3">
        <f t="shared" si="0"/>
        <v>210.88743910381709</v>
      </c>
      <c r="G61" s="3">
        <f t="shared" si="2"/>
        <v>10048.80915070994</v>
      </c>
      <c r="H61" s="1">
        <f t="shared" si="1"/>
        <v>1</v>
      </c>
    </row>
    <row r="62" spans="1:8" ht="21" customHeight="1">
      <c r="A62" s="1">
        <f>IF(AND('Current Loan'!$B$13,56&lt;=MAX('Current Loan'!B7,'Proposed Loan'!B6)*12),56,"")</f>
        <v>56</v>
      </c>
      <c r="B62" s="3">
        <f>IF(A62&lt;&gt;"",IF(A62&lt;='Current Loan'!$B$7*12,'Current Loan'!$B$17,0),"")</f>
        <v>4388.8465487596777</v>
      </c>
      <c r="C62" s="3">
        <f>IF(A62&lt;&gt;"",IF(A62&lt;='Current Loan'!$B$7*12,'Current Loan'!$B$9/12,0),"")</f>
        <v>35</v>
      </c>
      <c r="D62" s="3">
        <f>IF(A62&lt;&gt;"",IF(A62&lt;='Proposed Loan'!$B$6*12,'Proposed Loan'!$B$17,0),"")</f>
        <v>4187.9591096558606</v>
      </c>
      <c r="E62" s="3">
        <f>IF(A62&lt;&gt;"",IF(A62&lt;='Proposed Loan'!$B$6*12,'Proposed Loan'!$B$13/12,0),"")</f>
        <v>25</v>
      </c>
      <c r="F62" s="3">
        <f t="shared" si="0"/>
        <v>210.88743910381709</v>
      </c>
      <c r="G62" s="3">
        <f t="shared" si="2"/>
        <v>10259.696589813757</v>
      </c>
      <c r="H62" s="1">
        <f t="shared" si="1"/>
        <v>1</v>
      </c>
    </row>
    <row r="63" spans="1:8" ht="21" customHeight="1">
      <c r="A63" s="1">
        <f>IF(AND('Current Loan'!$B$13,57&lt;=MAX('Current Loan'!B7,'Proposed Loan'!B6)*12),57,"")</f>
        <v>57</v>
      </c>
      <c r="B63" s="3">
        <f>IF(A63&lt;&gt;"",IF(A63&lt;='Current Loan'!$B$7*12,'Current Loan'!$B$17,0),"")</f>
        <v>4388.8465487596777</v>
      </c>
      <c r="C63" s="3">
        <f>IF(A63&lt;&gt;"",IF(A63&lt;='Current Loan'!$B$7*12,'Current Loan'!$B$9/12,0),"")</f>
        <v>35</v>
      </c>
      <c r="D63" s="3">
        <f>IF(A63&lt;&gt;"",IF(A63&lt;='Proposed Loan'!$B$6*12,'Proposed Loan'!$B$17,0),"")</f>
        <v>4187.9591096558606</v>
      </c>
      <c r="E63" s="3">
        <f>IF(A63&lt;&gt;"",IF(A63&lt;='Proposed Loan'!$B$6*12,'Proposed Loan'!$B$13/12,0),"")</f>
        <v>25</v>
      </c>
      <c r="F63" s="3">
        <f t="shared" si="0"/>
        <v>210.88743910381709</v>
      </c>
      <c r="G63" s="3">
        <f t="shared" si="2"/>
        <v>10470.584028917574</v>
      </c>
      <c r="H63" s="1">
        <f t="shared" si="1"/>
        <v>1</v>
      </c>
    </row>
    <row r="64" spans="1:8" ht="21" customHeight="1">
      <c r="A64" s="1">
        <f>IF(AND('Current Loan'!$B$13,58&lt;=MAX('Current Loan'!B7,'Proposed Loan'!B6)*12),58,"")</f>
        <v>58</v>
      </c>
      <c r="B64" s="3">
        <f>IF(A64&lt;&gt;"",IF(A64&lt;='Current Loan'!$B$7*12,'Current Loan'!$B$17,0),"")</f>
        <v>4388.8465487596777</v>
      </c>
      <c r="C64" s="3">
        <f>IF(A64&lt;&gt;"",IF(A64&lt;='Current Loan'!$B$7*12,'Current Loan'!$B$9/12,0),"")</f>
        <v>35</v>
      </c>
      <c r="D64" s="3">
        <f>IF(A64&lt;&gt;"",IF(A64&lt;='Proposed Loan'!$B$6*12,'Proposed Loan'!$B$17,0),"")</f>
        <v>4187.9591096558606</v>
      </c>
      <c r="E64" s="3">
        <f>IF(A64&lt;&gt;"",IF(A64&lt;='Proposed Loan'!$B$6*12,'Proposed Loan'!$B$13/12,0),"")</f>
        <v>25</v>
      </c>
      <c r="F64" s="3">
        <f t="shared" si="0"/>
        <v>210.88743910381709</v>
      </c>
      <c r="G64" s="3">
        <f t="shared" si="2"/>
        <v>10681.471468021391</v>
      </c>
      <c r="H64" s="1">
        <f t="shared" si="1"/>
        <v>1</v>
      </c>
    </row>
    <row r="65" spans="1:8" ht="21" customHeight="1">
      <c r="A65" s="1">
        <f>IF(AND('Current Loan'!$B$13,59&lt;=MAX('Current Loan'!B7,'Proposed Loan'!B6)*12),59,"")</f>
        <v>59</v>
      </c>
      <c r="B65" s="3">
        <f>IF(A65&lt;&gt;"",IF(A65&lt;='Current Loan'!$B$7*12,'Current Loan'!$B$17,0),"")</f>
        <v>4388.8465487596777</v>
      </c>
      <c r="C65" s="3">
        <f>IF(A65&lt;&gt;"",IF(A65&lt;='Current Loan'!$B$7*12,'Current Loan'!$B$9/12,0),"")</f>
        <v>35</v>
      </c>
      <c r="D65" s="3">
        <f>IF(A65&lt;&gt;"",IF(A65&lt;='Proposed Loan'!$B$6*12,'Proposed Loan'!$B$17,0),"")</f>
        <v>4187.9591096558606</v>
      </c>
      <c r="E65" s="3">
        <f>IF(A65&lt;&gt;"",IF(A65&lt;='Proposed Loan'!$B$6*12,'Proposed Loan'!$B$13/12,0),"")</f>
        <v>25</v>
      </c>
      <c r="F65" s="3">
        <f t="shared" si="0"/>
        <v>210.88743910381709</v>
      </c>
      <c r="G65" s="3">
        <f t="shared" si="2"/>
        <v>10892.358907125208</v>
      </c>
      <c r="H65" s="1">
        <f t="shared" si="1"/>
        <v>1</v>
      </c>
    </row>
    <row r="66" spans="1:8" ht="21" customHeight="1">
      <c r="A66" s="1">
        <f>IF(AND('Current Loan'!$B$13,60&lt;=MAX('Current Loan'!B7,'Proposed Loan'!B6)*12),60,"")</f>
        <v>60</v>
      </c>
      <c r="B66" s="3">
        <f>IF(A66&lt;&gt;"",IF(A66&lt;='Current Loan'!$B$7*12,'Current Loan'!$B$17,0),"")</f>
        <v>4388.8465487596777</v>
      </c>
      <c r="C66" s="3">
        <f>IF(A66&lt;&gt;"",IF(A66&lt;='Current Loan'!$B$7*12,'Current Loan'!$B$9/12,0),"")</f>
        <v>35</v>
      </c>
      <c r="D66" s="3">
        <f>IF(A66&lt;&gt;"",IF(A66&lt;='Proposed Loan'!$B$6*12,'Proposed Loan'!$B$17,0),"")</f>
        <v>4187.9591096558606</v>
      </c>
      <c r="E66" s="3">
        <f>IF(A66&lt;&gt;"",IF(A66&lt;='Proposed Loan'!$B$6*12,'Proposed Loan'!$B$13/12,0),"")</f>
        <v>25</v>
      </c>
      <c r="F66" s="3">
        <f t="shared" si="0"/>
        <v>210.88743910381709</v>
      </c>
      <c r="G66" s="3">
        <f t="shared" si="2"/>
        <v>11103.246346229025</v>
      </c>
      <c r="H66" s="1">
        <f t="shared" si="1"/>
        <v>1</v>
      </c>
    </row>
    <row r="67" spans="1:8" ht="21" customHeight="1">
      <c r="A67" s="1">
        <f>IF(AND('Current Loan'!$B$13,61&lt;=MAX('Current Loan'!B7,'Proposed Loan'!B6)*12),61,"")</f>
        <v>61</v>
      </c>
      <c r="B67" s="3">
        <f>IF(A67&lt;&gt;"",IF(A67&lt;='Current Loan'!$B$7*12,'Current Loan'!$B$17,0),"")</f>
        <v>4388.8465487596777</v>
      </c>
      <c r="C67" s="3">
        <f>IF(A67&lt;&gt;"",IF(A67&lt;='Current Loan'!$B$7*12,'Current Loan'!$B$9/12,0),"")</f>
        <v>35</v>
      </c>
      <c r="D67" s="3">
        <f>IF(A67&lt;&gt;"",IF(A67&lt;='Proposed Loan'!$B$6*12,'Proposed Loan'!$B$17,0),"")</f>
        <v>4187.9591096558606</v>
      </c>
      <c r="E67" s="3">
        <f>IF(A67&lt;&gt;"",IF(A67&lt;='Proposed Loan'!$B$6*12,'Proposed Loan'!$B$13/12,0),"")</f>
        <v>25</v>
      </c>
      <c r="F67" s="3">
        <f t="shared" si="0"/>
        <v>210.88743910381709</v>
      </c>
      <c r="G67" s="3">
        <f t="shared" si="2"/>
        <v>11314.133785332842</v>
      </c>
      <c r="H67" s="1">
        <f t="shared" si="1"/>
        <v>1</v>
      </c>
    </row>
    <row r="68" spans="1:8" ht="21" customHeight="1">
      <c r="A68" s="1">
        <f>IF(AND('Current Loan'!$B$13,62&lt;=MAX('Current Loan'!B7,'Proposed Loan'!B6)*12),62,"")</f>
        <v>62</v>
      </c>
      <c r="B68" s="3">
        <f>IF(A68&lt;&gt;"",IF(A68&lt;='Current Loan'!$B$7*12,'Current Loan'!$B$17,0),"")</f>
        <v>4388.8465487596777</v>
      </c>
      <c r="C68" s="3">
        <f>IF(A68&lt;&gt;"",IF(A68&lt;='Current Loan'!$B$7*12,'Current Loan'!$B$9/12,0),"")</f>
        <v>35</v>
      </c>
      <c r="D68" s="3">
        <f>IF(A68&lt;&gt;"",IF(A68&lt;='Proposed Loan'!$B$6*12,'Proposed Loan'!$B$17,0),"")</f>
        <v>4187.9591096558606</v>
      </c>
      <c r="E68" s="3">
        <f>IF(A68&lt;&gt;"",IF(A68&lt;='Proposed Loan'!$B$6*12,'Proposed Loan'!$B$13/12,0),"")</f>
        <v>25</v>
      </c>
      <c r="F68" s="3">
        <f t="shared" si="0"/>
        <v>210.88743910381709</v>
      </c>
      <c r="G68" s="3">
        <f t="shared" si="2"/>
        <v>11525.021224436659</v>
      </c>
      <c r="H68" s="1">
        <f t="shared" si="1"/>
        <v>1</v>
      </c>
    </row>
    <row r="69" spans="1:8" ht="21" customHeight="1">
      <c r="A69" s="1">
        <f>IF(AND('Current Loan'!$B$13,63&lt;=MAX('Current Loan'!B7,'Proposed Loan'!B6)*12),63,"")</f>
        <v>63</v>
      </c>
      <c r="B69" s="3">
        <f>IF(A69&lt;&gt;"",IF(A69&lt;='Current Loan'!$B$7*12,'Current Loan'!$B$17,0),"")</f>
        <v>4388.8465487596777</v>
      </c>
      <c r="C69" s="3">
        <f>IF(A69&lt;&gt;"",IF(A69&lt;='Current Loan'!$B$7*12,'Current Loan'!$B$9/12,0),"")</f>
        <v>35</v>
      </c>
      <c r="D69" s="3">
        <f>IF(A69&lt;&gt;"",IF(A69&lt;='Proposed Loan'!$B$6*12,'Proposed Loan'!$B$17,0),"")</f>
        <v>4187.9591096558606</v>
      </c>
      <c r="E69" s="3">
        <f>IF(A69&lt;&gt;"",IF(A69&lt;='Proposed Loan'!$B$6*12,'Proposed Loan'!$B$13/12,0),"")</f>
        <v>25</v>
      </c>
      <c r="F69" s="3">
        <f t="shared" si="0"/>
        <v>210.88743910381709</v>
      </c>
      <c r="G69" s="3">
        <f t="shared" si="2"/>
        <v>11735.908663540476</v>
      </c>
      <c r="H69" s="1">
        <f t="shared" si="1"/>
        <v>1</v>
      </c>
    </row>
    <row r="70" spans="1:8" ht="21" customHeight="1">
      <c r="A70" s="1">
        <f>IF(AND('Current Loan'!$B$13,64&lt;=MAX('Current Loan'!B7,'Proposed Loan'!B6)*12),64,"")</f>
        <v>64</v>
      </c>
      <c r="B70" s="3">
        <f>IF(A70&lt;&gt;"",IF(A70&lt;='Current Loan'!$B$7*12,'Current Loan'!$B$17,0),"")</f>
        <v>4388.8465487596777</v>
      </c>
      <c r="C70" s="3">
        <f>IF(A70&lt;&gt;"",IF(A70&lt;='Current Loan'!$B$7*12,'Current Loan'!$B$9/12,0),"")</f>
        <v>35</v>
      </c>
      <c r="D70" s="3">
        <f>IF(A70&lt;&gt;"",IF(A70&lt;='Proposed Loan'!$B$6*12,'Proposed Loan'!$B$17,0),"")</f>
        <v>4187.9591096558606</v>
      </c>
      <c r="E70" s="3">
        <f>IF(A70&lt;&gt;"",IF(A70&lt;='Proposed Loan'!$B$6*12,'Proposed Loan'!$B$13/12,0),"")</f>
        <v>25</v>
      </c>
      <c r="F70" s="3">
        <f t="shared" si="0"/>
        <v>210.88743910381709</v>
      </c>
      <c r="G70" s="3">
        <f t="shared" si="2"/>
        <v>11946.796102644294</v>
      </c>
      <c r="H70" s="1">
        <f t="shared" si="1"/>
        <v>1</v>
      </c>
    </row>
    <row r="71" spans="1:8" ht="21" customHeight="1">
      <c r="A71" s="14">
        <f>IF(AND('Current Loan'!$B$13,65&lt;=MAX('Current Loan'!B7,'Proposed Loan'!B6)*12),65,"")</f>
        <v>65</v>
      </c>
      <c r="B71" s="15">
        <f>IF(A71&lt;&gt;"",IF(A71&lt;='Current Loan'!$B$7*12,'Current Loan'!$B$17,0),"")</f>
        <v>4388.8465487596777</v>
      </c>
      <c r="C71" s="15">
        <f>IF(A71&lt;&gt;"",IF(A71&lt;='Current Loan'!$B$7*12,'Current Loan'!$B$9/12,0),"")</f>
        <v>35</v>
      </c>
      <c r="D71" s="15">
        <f>IF(A71&lt;&gt;"",IF(A71&lt;='Proposed Loan'!$B$6*12,'Proposed Loan'!$B$17,0),"")</f>
        <v>4187.9591096558606</v>
      </c>
      <c r="E71" s="15">
        <f>IF(A71&lt;&gt;"",IF(A71&lt;='Proposed Loan'!$B$6*12,'Proposed Loan'!$B$13/12,0),"")</f>
        <v>25</v>
      </c>
      <c r="F71" s="15">
        <f t="shared" ref="F71:F134" si="3">IF(A71&lt;&gt;"",SUM(B71:C71)-SUM(D71:E71),"")</f>
        <v>210.88743910381709</v>
      </c>
      <c r="G71" s="15">
        <f t="shared" si="2"/>
        <v>12157.683541748111</v>
      </c>
      <c r="H71" s="14">
        <f t="shared" ref="H71:H134" si="4">IF(A71&lt;&gt;"",IF(G71&gt;=0,1,0),"")</f>
        <v>1</v>
      </c>
    </row>
    <row r="72" spans="1:8" ht="21" customHeight="1">
      <c r="A72" s="14">
        <f>IF(AND('Current Loan'!$B$13,66&lt;=MAX('Current Loan'!B7,'Proposed Loan'!B6)*12),66,"")</f>
        <v>66</v>
      </c>
      <c r="B72" s="15">
        <f>IF(A72&lt;&gt;"",IF(A72&lt;='Current Loan'!$B$7*12,'Current Loan'!$B$17,0),"")</f>
        <v>4388.8465487596777</v>
      </c>
      <c r="C72" s="15">
        <f>IF(A72&lt;&gt;"",IF(A72&lt;='Current Loan'!$B$7*12,'Current Loan'!$B$9/12,0),"")</f>
        <v>35</v>
      </c>
      <c r="D72" s="15">
        <f>IF(A72&lt;&gt;"",IF(A72&lt;='Proposed Loan'!$B$6*12,'Proposed Loan'!$B$17,0),"")</f>
        <v>4187.9591096558606</v>
      </c>
      <c r="E72" s="15">
        <f>IF(A72&lt;&gt;"",IF(A72&lt;='Proposed Loan'!$B$6*12,'Proposed Loan'!$B$13/12,0),"")</f>
        <v>25</v>
      </c>
      <c r="F72" s="15">
        <f t="shared" si="3"/>
        <v>210.88743910381709</v>
      </c>
      <c r="G72" s="15">
        <f t="shared" ref="G72:G135" si="5">IF(A72&lt;&gt;"",G71+F72,"")</f>
        <v>12368.570980851928</v>
      </c>
      <c r="H72" s="14">
        <f t="shared" si="4"/>
        <v>1</v>
      </c>
    </row>
    <row r="73" spans="1:8" ht="21" customHeight="1">
      <c r="A73" s="14">
        <f>IF(AND('Current Loan'!$B$13,67&lt;=MAX('Current Loan'!B7,'Proposed Loan'!B6)*12),67,"")</f>
        <v>67</v>
      </c>
      <c r="B73" s="15">
        <f>IF(A73&lt;&gt;"",IF(A73&lt;='Current Loan'!$B$7*12,'Current Loan'!$B$17,0),"")</f>
        <v>4388.8465487596777</v>
      </c>
      <c r="C73" s="15">
        <f>IF(A73&lt;&gt;"",IF(A73&lt;='Current Loan'!$B$7*12,'Current Loan'!$B$9/12,0),"")</f>
        <v>35</v>
      </c>
      <c r="D73" s="15">
        <f>IF(A73&lt;&gt;"",IF(A73&lt;='Proposed Loan'!$B$6*12,'Proposed Loan'!$B$17,0),"")</f>
        <v>4187.9591096558606</v>
      </c>
      <c r="E73" s="15">
        <f>IF(A73&lt;&gt;"",IF(A73&lt;='Proposed Loan'!$B$6*12,'Proposed Loan'!$B$13/12,0),"")</f>
        <v>25</v>
      </c>
      <c r="F73" s="15">
        <f t="shared" si="3"/>
        <v>210.88743910381709</v>
      </c>
      <c r="G73" s="15">
        <f t="shared" si="5"/>
        <v>12579.458419955745</v>
      </c>
      <c r="H73" s="14">
        <f t="shared" si="4"/>
        <v>1</v>
      </c>
    </row>
    <row r="74" spans="1:8" ht="21" customHeight="1">
      <c r="A74" s="14">
        <f>IF(AND('Current Loan'!$B$13,68&lt;=MAX('Current Loan'!B7,'Proposed Loan'!B6)*12),68,"")</f>
        <v>68</v>
      </c>
      <c r="B74" s="15">
        <f>IF(A74&lt;&gt;"",IF(A74&lt;='Current Loan'!$B$7*12,'Current Loan'!$B$17,0),"")</f>
        <v>4388.8465487596777</v>
      </c>
      <c r="C74" s="15">
        <f>IF(A74&lt;&gt;"",IF(A74&lt;='Current Loan'!$B$7*12,'Current Loan'!$B$9/12,0),"")</f>
        <v>35</v>
      </c>
      <c r="D74" s="15">
        <f>IF(A74&lt;&gt;"",IF(A74&lt;='Proposed Loan'!$B$6*12,'Proposed Loan'!$B$17,0),"")</f>
        <v>4187.9591096558606</v>
      </c>
      <c r="E74" s="15">
        <f>IF(A74&lt;&gt;"",IF(A74&lt;='Proposed Loan'!$B$6*12,'Proposed Loan'!$B$13/12,0),"")</f>
        <v>25</v>
      </c>
      <c r="F74" s="15">
        <f t="shared" si="3"/>
        <v>210.88743910381709</v>
      </c>
      <c r="G74" s="15">
        <f t="shared" si="5"/>
        <v>12790.345859059562</v>
      </c>
      <c r="H74" s="14">
        <f t="shared" si="4"/>
        <v>1</v>
      </c>
    </row>
    <row r="75" spans="1:8" ht="21" customHeight="1">
      <c r="A75" s="14">
        <f>IF(AND('Current Loan'!$B$13,69&lt;=MAX('Current Loan'!B7,'Proposed Loan'!B6)*12),69,"")</f>
        <v>69</v>
      </c>
      <c r="B75" s="15">
        <f>IF(A75&lt;&gt;"",IF(A75&lt;='Current Loan'!$B$7*12,'Current Loan'!$B$17,0),"")</f>
        <v>4388.8465487596777</v>
      </c>
      <c r="C75" s="15">
        <f>IF(A75&lt;&gt;"",IF(A75&lt;='Current Loan'!$B$7*12,'Current Loan'!$B$9/12,0),"")</f>
        <v>35</v>
      </c>
      <c r="D75" s="15">
        <f>IF(A75&lt;&gt;"",IF(A75&lt;='Proposed Loan'!$B$6*12,'Proposed Loan'!$B$17,0),"")</f>
        <v>4187.9591096558606</v>
      </c>
      <c r="E75" s="15">
        <f>IF(A75&lt;&gt;"",IF(A75&lt;='Proposed Loan'!$B$6*12,'Proposed Loan'!$B$13/12,0),"")</f>
        <v>25</v>
      </c>
      <c r="F75" s="15">
        <f t="shared" si="3"/>
        <v>210.88743910381709</v>
      </c>
      <c r="G75" s="15">
        <f t="shared" si="5"/>
        <v>13001.233298163379</v>
      </c>
      <c r="H75" s="14">
        <f t="shared" si="4"/>
        <v>1</v>
      </c>
    </row>
    <row r="76" spans="1:8" ht="21" customHeight="1">
      <c r="A76" s="14">
        <f>IF(AND('Current Loan'!$B$13,70&lt;=MAX('Current Loan'!B7,'Proposed Loan'!B6)*12),70,"")</f>
        <v>70</v>
      </c>
      <c r="B76" s="15">
        <f>IF(A76&lt;&gt;"",IF(A76&lt;='Current Loan'!$B$7*12,'Current Loan'!$B$17,0),"")</f>
        <v>4388.8465487596777</v>
      </c>
      <c r="C76" s="15">
        <f>IF(A76&lt;&gt;"",IF(A76&lt;='Current Loan'!$B$7*12,'Current Loan'!$B$9/12,0),"")</f>
        <v>35</v>
      </c>
      <c r="D76" s="15">
        <f>IF(A76&lt;&gt;"",IF(A76&lt;='Proposed Loan'!$B$6*12,'Proposed Loan'!$B$17,0),"")</f>
        <v>4187.9591096558606</v>
      </c>
      <c r="E76" s="15">
        <f>IF(A76&lt;&gt;"",IF(A76&lt;='Proposed Loan'!$B$6*12,'Proposed Loan'!$B$13/12,0),"")</f>
        <v>25</v>
      </c>
      <c r="F76" s="15">
        <f t="shared" si="3"/>
        <v>210.88743910381709</v>
      </c>
      <c r="G76" s="15">
        <f t="shared" si="5"/>
        <v>13212.120737267196</v>
      </c>
      <c r="H76" s="14">
        <f t="shared" si="4"/>
        <v>1</v>
      </c>
    </row>
    <row r="77" spans="1:8" ht="21" customHeight="1">
      <c r="A77" s="14">
        <f>IF(AND('Current Loan'!$B$13,71&lt;=MAX('Current Loan'!B7,'Proposed Loan'!B6)*12),71,"")</f>
        <v>71</v>
      </c>
      <c r="B77" s="15">
        <f>IF(A77&lt;&gt;"",IF(A77&lt;='Current Loan'!$B$7*12,'Current Loan'!$B$17,0),"")</f>
        <v>4388.8465487596777</v>
      </c>
      <c r="C77" s="15">
        <f>IF(A77&lt;&gt;"",IF(A77&lt;='Current Loan'!$B$7*12,'Current Loan'!$B$9/12,0),"")</f>
        <v>35</v>
      </c>
      <c r="D77" s="15">
        <f>IF(A77&lt;&gt;"",IF(A77&lt;='Proposed Loan'!$B$6*12,'Proposed Loan'!$B$17,0),"")</f>
        <v>4187.9591096558606</v>
      </c>
      <c r="E77" s="15">
        <f>IF(A77&lt;&gt;"",IF(A77&lt;='Proposed Loan'!$B$6*12,'Proposed Loan'!$B$13/12,0),"")</f>
        <v>25</v>
      </c>
      <c r="F77" s="15">
        <f t="shared" si="3"/>
        <v>210.88743910381709</v>
      </c>
      <c r="G77" s="15">
        <f t="shared" si="5"/>
        <v>13423.008176371013</v>
      </c>
      <c r="H77" s="14">
        <f t="shared" si="4"/>
        <v>1</v>
      </c>
    </row>
    <row r="78" spans="1:8" ht="21" customHeight="1">
      <c r="A78" s="14">
        <f>IF(AND('Current Loan'!$B$13,72&lt;=MAX('Current Loan'!B7,'Proposed Loan'!B6)*12),72,"")</f>
        <v>72</v>
      </c>
      <c r="B78" s="15">
        <f>IF(A78&lt;&gt;"",IF(A78&lt;='Current Loan'!$B$7*12,'Current Loan'!$B$17,0),"")</f>
        <v>4388.8465487596777</v>
      </c>
      <c r="C78" s="15">
        <f>IF(A78&lt;&gt;"",IF(A78&lt;='Current Loan'!$B$7*12,'Current Loan'!$B$9/12,0),"")</f>
        <v>35</v>
      </c>
      <c r="D78" s="15">
        <f>IF(A78&lt;&gt;"",IF(A78&lt;='Proposed Loan'!$B$6*12,'Proposed Loan'!$B$17,0),"")</f>
        <v>4187.9591096558606</v>
      </c>
      <c r="E78" s="15">
        <f>IF(A78&lt;&gt;"",IF(A78&lt;='Proposed Loan'!$B$6*12,'Proposed Loan'!$B$13/12,0),"")</f>
        <v>25</v>
      </c>
      <c r="F78" s="15">
        <f t="shared" si="3"/>
        <v>210.88743910381709</v>
      </c>
      <c r="G78" s="15">
        <f t="shared" si="5"/>
        <v>13633.89561547483</v>
      </c>
      <c r="H78" s="14">
        <f t="shared" si="4"/>
        <v>1</v>
      </c>
    </row>
    <row r="79" spans="1:8" ht="21" customHeight="1">
      <c r="A79" s="14">
        <f>IF(AND('Current Loan'!$B$13,73&lt;=MAX('Current Loan'!B7,'Proposed Loan'!B6)*12),73,"")</f>
        <v>73</v>
      </c>
      <c r="B79" s="15">
        <f>IF(A79&lt;&gt;"",IF(A79&lt;='Current Loan'!$B$7*12,'Current Loan'!$B$17,0),"")</f>
        <v>4388.8465487596777</v>
      </c>
      <c r="C79" s="15">
        <f>IF(A79&lt;&gt;"",IF(A79&lt;='Current Loan'!$B$7*12,'Current Loan'!$B$9/12,0),"")</f>
        <v>35</v>
      </c>
      <c r="D79" s="15">
        <f>IF(A79&lt;&gt;"",IF(A79&lt;='Proposed Loan'!$B$6*12,'Proposed Loan'!$B$17,0),"")</f>
        <v>4187.9591096558606</v>
      </c>
      <c r="E79" s="15">
        <f>IF(A79&lt;&gt;"",IF(A79&lt;='Proposed Loan'!$B$6*12,'Proposed Loan'!$B$13/12,0),"")</f>
        <v>25</v>
      </c>
      <c r="F79" s="15">
        <f t="shared" si="3"/>
        <v>210.88743910381709</v>
      </c>
      <c r="G79" s="15">
        <f t="shared" si="5"/>
        <v>13844.783054578647</v>
      </c>
      <c r="H79" s="14">
        <f t="shared" si="4"/>
        <v>1</v>
      </c>
    </row>
    <row r="80" spans="1:8" ht="21" customHeight="1">
      <c r="A80" s="14">
        <f>IF(AND('Current Loan'!$B$13,74&lt;=MAX('Current Loan'!B7,'Proposed Loan'!B6)*12),74,"")</f>
        <v>74</v>
      </c>
      <c r="B80" s="15">
        <f>IF(A80&lt;&gt;"",IF(A80&lt;='Current Loan'!$B$7*12,'Current Loan'!$B$17,0),"")</f>
        <v>4388.8465487596777</v>
      </c>
      <c r="C80" s="15">
        <f>IF(A80&lt;&gt;"",IF(A80&lt;='Current Loan'!$B$7*12,'Current Loan'!$B$9/12,0),"")</f>
        <v>35</v>
      </c>
      <c r="D80" s="15">
        <f>IF(A80&lt;&gt;"",IF(A80&lt;='Proposed Loan'!$B$6*12,'Proposed Loan'!$B$17,0),"")</f>
        <v>4187.9591096558606</v>
      </c>
      <c r="E80" s="15">
        <f>IF(A80&lt;&gt;"",IF(A80&lt;='Proposed Loan'!$B$6*12,'Proposed Loan'!$B$13/12,0),"")</f>
        <v>25</v>
      </c>
      <c r="F80" s="15">
        <f t="shared" si="3"/>
        <v>210.88743910381709</v>
      </c>
      <c r="G80" s="15">
        <f t="shared" si="5"/>
        <v>14055.670493682464</v>
      </c>
      <c r="H80" s="14">
        <f t="shared" si="4"/>
        <v>1</v>
      </c>
    </row>
    <row r="81" spans="1:8" ht="21" customHeight="1">
      <c r="A81" s="14">
        <f>IF(AND('Current Loan'!$B$13,75&lt;=MAX('Current Loan'!B7,'Proposed Loan'!B6)*12),75,"")</f>
        <v>75</v>
      </c>
      <c r="B81" s="15">
        <f>IF(A81&lt;&gt;"",IF(A81&lt;='Current Loan'!$B$7*12,'Current Loan'!$B$17,0),"")</f>
        <v>4388.8465487596777</v>
      </c>
      <c r="C81" s="15">
        <f>IF(A81&lt;&gt;"",IF(A81&lt;='Current Loan'!$B$7*12,'Current Loan'!$B$9/12,0),"")</f>
        <v>35</v>
      </c>
      <c r="D81" s="15">
        <f>IF(A81&lt;&gt;"",IF(A81&lt;='Proposed Loan'!$B$6*12,'Proposed Loan'!$B$17,0),"")</f>
        <v>4187.9591096558606</v>
      </c>
      <c r="E81" s="15">
        <f>IF(A81&lt;&gt;"",IF(A81&lt;='Proposed Loan'!$B$6*12,'Proposed Loan'!$B$13/12,0),"")</f>
        <v>25</v>
      </c>
      <c r="F81" s="15">
        <f t="shared" si="3"/>
        <v>210.88743910381709</v>
      </c>
      <c r="G81" s="15">
        <f t="shared" si="5"/>
        <v>14266.557932786282</v>
      </c>
      <c r="H81" s="14">
        <f t="shared" si="4"/>
        <v>1</v>
      </c>
    </row>
    <row r="82" spans="1:8" ht="21" customHeight="1">
      <c r="A82" s="14">
        <f>IF(AND('Current Loan'!$B$13,76&lt;=MAX('Current Loan'!B7,'Proposed Loan'!B6)*12),76,"")</f>
        <v>76</v>
      </c>
      <c r="B82" s="15">
        <f>IF(A82&lt;&gt;"",IF(A82&lt;='Current Loan'!$B$7*12,'Current Loan'!$B$17,0),"")</f>
        <v>4388.8465487596777</v>
      </c>
      <c r="C82" s="15">
        <f>IF(A82&lt;&gt;"",IF(A82&lt;='Current Loan'!$B$7*12,'Current Loan'!$B$9/12,0),"")</f>
        <v>35</v>
      </c>
      <c r="D82" s="15">
        <f>IF(A82&lt;&gt;"",IF(A82&lt;='Proposed Loan'!$B$6*12,'Proposed Loan'!$B$17,0),"")</f>
        <v>4187.9591096558606</v>
      </c>
      <c r="E82" s="15">
        <f>IF(A82&lt;&gt;"",IF(A82&lt;='Proposed Loan'!$B$6*12,'Proposed Loan'!$B$13/12,0),"")</f>
        <v>25</v>
      </c>
      <c r="F82" s="15">
        <f t="shared" si="3"/>
        <v>210.88743910381709</v>
      </c>
      <c r="G82" s="15">
        <f t="shared" si="5"/>
        <v>14477.445371890099</v>
      </c>
      <c r="H82" s="14">
        <f t="shared" si="4"/>
        <v>1</v>
      </c>
    </row>
    <row r="83" spans="1:8" ht="21" customHeight="1">
      <c r="A83" s="14">
        <f>IF(AND('Current Loan'!$B$13,77&lt;=MAX('Current Loan'!B7,'Proposed Loan'!B6)*12),77,"")</f>
        <v>77</v>
      </c>
      <c r="B83" s="15">
        <f>IF(A83&lt;&gt;"",IF(A83&lt;='Current Loan'!$B$7*12,'Current Loan'!$B$17,0),"")</f>
        <v>4388.8465487596777</v>
      </c>
      <c r="C83" s="15">
        <f>IF(A83&lt;&gt;"",IF(A83&lt;='Current Loan'!$B$7*12,'Current Loan'!$B$9/12,0),"")</f>
        <v>35</v>
      </c>
      <c r="D83" s="15">
        <f>IF(A83&lt;&gt;"",IF(A83&lt;='Proposed Loan'!$B$6*12,'Proposed Loan'!$B$17,0),"")</f>
        <v>4187.9591096558606</v>
      </c>
      <c r="E83" s="15">
        <f>IF(A83&lt;&gt;"",IF(A83&lt;='Proposed Loan'!$B$6*12,'Proposed Loan'!$B$13/12,0),"")</f>
        <v>25</v>
      </c>
      <c r="F83" s="15">
        <f t="shared" si="3"/>
        <v>210.88743910381709</v>
      </c>
      <c r="G83" s="15">
        <f t="shared" si="5"/>
        <v>14688.332810993916</v>
      </c>
      <c r="H83" s="14">
        <f t="shared" si="4"/>
        <v>1</v>
      </c>
    </row>
    <row r="84" spans="1:8" ht="21" customHeight="1">
      <c r="A84" s="14">
        <f>IF(AND('Current Loan'!$B$13,78&lt;=MAX('Current Loan'!B7,'Proposed Loan'!B6)*12),78,"")</f>
        <v>78</v>
      </c>
      <c r="B84" s="15">
        <f>IF(A84&lt;&gt;"",IF(A84&lt;='Current Loan'!$B$7*12,'Current Loan'!$B$17,0),"")</f>
        <v>4388.8465487596777</v>
      </c>
      <c r="C84" s="15">
        <f>IF(A84&lt;&gt;"",IF(A84&lt;='Current Loan'!$B$7*12,'Current Loan'!$B$9/12,0),"")</f>
        <v>35</v>
      </c>
      <c r="D84" s="15">
        <f>IF(A84&lt;&gt;"",IF(A84&lt;='Proposed Loan'!$B$6*12,'Proposed Loan'!$B$17,0),"")</f>
        <v>4187.9591096558606</v>
      </c>
      <c r="E84" s="15">
        <f>IF(A84&lt;&gt;"",IF(A84&lt;='Proposed Loan'!$B$6*12,'Proposed Loan'!$B$13/12,0),"")</f>
        <v>25</v>
      </c>
      <c r="F84" s="15">
        <f t="shared" si="3"/>
        <v>210.88743910381709</v>
      </c>
      <c r="G84" s="15">
        <f t="shared" si="5"/>
        <v>14899.220250097733</v>
      </c>
      <c r="H84" s="14">
        <f t="shared" si="4"/>
        <v>1</v>
      </c>
    </row>
    <row r="85" spans="1:8" ht="21" customHeight="1">
      <c r="A85" s="14">
        <f>IF(AND('Current Loan'!$B$13,79&lt;=MAX('Current Loan'!B7,'Proposed Loan'!B6)*12),79,"")</f>
        <v>79</v>
      </c>
      <c r="B85" s="15">
        <f>IF(A85&lt;&gt;"",IF(A85&lt;='Current Loan'!$B$7*12,'Current Loan'!$B$17,0),"")</f>
        <v>4388.8465487596777</v>
      </c>
      <c r="C85" s="15">
        <f>IF(A85&lt;&gt;"",IF(A85&lt;='Current Loan'!$B$7*12,'Current Loan'!$B$9/12,0),"")</f>
        <v>35</v>
      </c>
      <c r="D85" s="15">
        <f>IF(A85&lt;&gt;"",IF(A85&lt;='Proposed Loan'!$B$6*12,'Proposed Loan'!$B$17,0),"")</f>
        <v>4187.9591096558606</v>
      </c>
      <c r="E85" s="15">
        <f>IF(A85&lt;&gt;"",IF(A85&lt;='Proposed Loan'!$B$6*12,'Proposed Loan'!$B$13/12,0),"")</f>
        <v>25</v>
      </c>
      <c r="F85" s="15">
        <f t="shared" si="3"/>
        <v>210.88743910381709</v>
      </c>
      <c r="G85" s="15">
        <f t="shared" si="5"/>
        <v>15110.10768920155</v>
      </c>
      <c r="H85" s="14">
        <f t="shared" si="4"/>
        <v>1</v>
      </c>
    </row>
    <row r="86" spans="1:8" ht="21" customHeight="1">
      <c r="A86" s="14">
        <f>IF(AND('Current Loan'!$B$13,80&lt;=MAX('Current Loan'!B7,'Proposed Loan'!B6)*12),80,"")</f>
        <v>80</v>
      </c>
      <c r="B86" s="15">
        <f>IF(A86&lt;&gt;"",IF(A86&lt;='Current Loan'!$B$7*12,'Current Loan'!$B$17,0),"")</f>
        <v>4388.8465487596777</v>
      </c>
      <c r="C86" s="15">
        <f>IF(A86&lt;&gt;"",IF(A86&lt;='Current Loan'!$B$7*12,'Current Loan'!$B$9/12,0),"")</f>
        <v>35</v>
      </c>
      <c r="D86" s="15">
        <f>IF(A86&lt;&gt;"",IF(A86&lt;='Proposed Loan'!$B$6*12,'Proposed Loan'!$B$17,0),"")</f>
        <v>4187.9591096558606</v>
      </c>
      <c r="E86" s="15">
        <f>IF(A86&lt;&gt;"",IF(A86&lt;='Proposed Loan'!$B$6*12,'Proposed Loan'!$B$13/12,0),"")</f>
        <v>25</v>
      </c>
      <c r="F86" s="15">
        <f t="shared" si="3"/>
        <v>210.88743910381709</v>
      </c>
      <c r="G86" s="15">
        <f t="shared" si="5"/>
        <v>15320.995128305367</v>
      </c>
      <c r="H86" s="14">
        <f t="shared" si="4"/>
        <v>1</v>
      </c>
    </row>
    <row r="87" spans="1:8" ht="21" customHeight="1">
      <c r="A87" s="14">
        <f>IF(AND('Current Loan'!$B$13,81&lt;=MAX('Current Loan'!B7,'Proposed Loan'!B6)*12),81,"")</f>
        <v>81</v>
      </c>
      <c r="B87" s="15">
        <f>IF(A87&lt;&gt;"",IF(A87&lt;='Current Loan'!$B$7*12,'Current Loan'!$B$17,0),"")</f>
        <v>4388.8465487596777</v>
      </c>
      <c r="C87" s="15">
        <f>IF(A87&lt;&gt;"",IF(A87&lt;='Current Loan'!$B$7*12,'Current Loan'!$B$9/12,0),"")</f>
        <v>35</v>
      </c>
      <c r="D87" s="15">
        <f>IF(A87&lt;&gt;"",IF(A87&lt;='Proposed Loan'!$B$6*12,'Proposed Loan'!$B$17,0),"")</f>
        <v>4187.9591096558606</v>
      </c>
      <c r="E87" s="15">
        <f>IF(A87&lt;&gt;"",IF(A87&lt;='Proposed Loan'!$B$6*12,'Proposed Loan'!$B$13/12,0),"")</f>
        <v>25</v>
      </c>
      <c r="F87" s="15">
        <f t="shared" si="3"/>
        <v>210.88743910381709</v>
      </c>
      <c r="G87" s="15">
        <f t="shared" si="5"/>
        <v>15531.882567409184</v>
      </c>
      <c r="H87" s="14">
        <f t="shared" si="4"/>
        <v>1</v>
      </c>
    </row>
    <row r="88" spans="1:8" ht="21" customHeight="1">
      <c r="A88" s="14">
        <f>IF(AND('Current Loan'!$B$13,82&lt;=MAX('Current Loan'!B7,'Proposed Loan'!B6)*12),82,"")</f>
        <v>82</v>
      </c>
      <c r="B88" s="15">
        <f>IF(A88&lt;&gt;"",IF(A88&lt;='Current Loan'!$B$7*12,'Current Loan'!$B$17,0),"")</f>
        <v>4388.8465487596777</v>
      </c>
      <c r="C88" s="15">
        <f>IF(A88&lt;&gt;"",IF(A88&lt;='Current Loan'!$B$7*12,'Current Loan'!$B$9/12,0),"")</f>
        <v>35</v>
      </c>
      <c r="D88" s="15">
        <f>IF(A88&lt;&gt;"",IF(A88&lt;='Proposed Loan'!$B$6*12,'Proposed Loan'!$B$17,0),"")</f>
        <v>4187.9591096558606</v>
      </c>
      <c r="E88" s="15">
        <f>IF(A88&lt;&gt;"",IF(A88&lt;='Proposed Loan'!$B$6*12,'Proposed Loan'!$B$13/12,0),"")</f>
        <v>25</v>
      </c>
      <c r="F88" s="15">
        <f t="shared" si="3"/>
        <v>210.88743910381709</v>
      </c>
      <c r="G88" s="15">
        <f t="shared" si="5"/>
        <v>15742.770006513001</v>
      </c>
      <c r="H88" s="14">
        <f t="shared" si="4"/>
        <v>1</v>
      </c>
    </row>
    <row r="89" spans="1:8" ht="21" customHeight="1">
      <c r="A89" s="14">
        <f>IF(AND('Current Loan'!$B$13,83&lt;=MAX('Current Loan'!B7,'Proposed Loan'!B6)*12),83,"")</f>
        <v>83</v>
      </c>
      <c r="B89" s="15">
        <f>IF(A89&lt;&gt;"",IF(A89&lt;='Current Loan'!$B$7*12,'Current Loan'!$B$17,0),"")</f>
        <v>4388.8465487596777</v>
      </c>
      <c r="C89" s="15">
        <f>IF(A89&lt;&gt;"",IF(A89&lt;='Current Loan'!$B$7*12,'Current Loan'!$B$9/12,0),"")</f>
        <v>35</v>
      </c>
      <c r="D89" s="15">
        <f>IF(A89&lt;&gt;"",IF(A89&lt;='Proposed Loan'!$B$6*12,'Proposed Loan'!$B$17,0),"")</f>
        <v>4187.9591096558606</v>
      </c>
      <c r="E89" s="15">
        <f>IF(A89&lt;&gt;"",IF(A89&lt;='Proposed Loan'!$B$6*12,'Proposed Loan'!$B$13/12,0),"")</f>
        <v>25</v>
      </c>
      <c r="F89" s="15">
        <f t="shared" si="3"/>
        <v>210.88743910381709</v>
      </c>
      <c r="G89" s="15">
        <f t="shared" si="5"/>
        <v>15953.657445616818</v>
      </c>
      <c r="H89" s="14">
        <f t="shared" si="4"/>
        <v>1</v>
      </c>
    </row>
    <row r="90" spans="1:8" ht="21" customHeight="1">
      <c r="A90" s="14">
        <f>IF(AND('Current Loan'!$B$13,84&lt;=MAX('Current Loan'!B7,'Proposed Loan'!B6)*12),84,"")</f>
        <v>84</v>
      </c>
      <c r="B90" s="15">
        <f>IF(A90&lt;&gt;"",IF(A90&lt;='Current Loan'!$B$7*12,'Current Loan'!$B$17,0),"")</f>
        <v>4388.8465487596777</v>
      </c>
      <c r="C90" s="15">
        <f>IF(A90&lt;&gt;"",IF(A90&lt;='Current Loan'!$B$7*12,'Current Loan'!$B$9/12,0),"")</f>
        <v>35</v>
      </c>
      <c r="D90" s="15">
        <f>IF(A90&lt;&gt;"",IF(A90&lt;='Proposed Loan'!$B$6*12,'Proposed Loan'!$B$17,0),"")</f>
        <v>4187.9591096558606</v>
      </c>
      <c r="E90" s="15">
        <f>IF(A90&lt;&gt;"",IF(A90&lt;='Proposed Loan'!$B$6*12,'Proposed Loan'!$B$13/12,0),"")</f>
        <v>25</v>
      </c>
      <c r="F90" s="15">
        <f t="shared" si="3"/>
        <v>210.88743910381709</v>
      </c>
      <c r="G90" s="15">
        <f t="shared" si="5"/>
        <v>16164.544884720635</v>
      </c>
      <c r="H90" s="14">
        <f t="shared" si="4"/>
        <v>1</v>
      </c>
    </row>
    <row r="91" spans="1:8" ht="21" customHeight="1">
      <c r="A91" s="14">
        <f>IF(AND('Current Loan'!$B$13,85&lt;=MAX('Current Loan'!B7,'Proposed Loan'!B6)*12),85,"")</f>
        <v>85</v>
      </c>
      <c r="B91" s="15">
        <f>IF(A91&lt;&gt;"",IF(A91&lt;='Current Loan'!$B$7*12,'Current Loan'!$B$17,0),"")</f>
        <v>4388.8465487596777</v>
      </c>
      <c r="C91" s="15">
        <f>IF(A91&lt;&gt;"",IF(A91&lt;='Current Loan'!$B$7*12,'Current Loan'!$B$9/12,0),"")</f>
        <v>35</v>
      </c>
      <c r="D91" s="15">
        <f>IF(A91&lt;&gt;"",IF(A91&lt;='Proposed Loan'!$B$6*12,'Proposed Loan'!$B$17,0),"")</f>
        <v>4187.9591096558606</v>
      </c>
      <c r="E91" s="15">
        <f>IF(A91&lt;&gt;"",IF(A91&lt;='Proposed Loan'!$B$6*12,'Proposed Loan'!$B$13/12,0),"")</f>
        <v>25</v>
      </c>
      <c r="F91" s="15">
        <f t="shared" si="3"/>
        <v>210.88743910381709</v>
      </c>
      <c r="G91" s="15">
        <f t="shared" si="5"/>
        <v>16375.432323824452</v>
      </c>
      <c r="H91" s="14">
        <f t="shared" si="4"/>
        <v>1</v>
      </c>
    </row>
    <row r="92" spans="1:8" ht="21" customHeight="1">
      <c r="A92" s="14">
        <f>IF(AND('Current Loan'!$B$13,86&lt;=MAX('Current Loan'!B7,'Proposed Loan'!B6)*12),86,"")</f>
        <v>86</v>
      </c>
      <c r="B92" s="15">
        <f>IF(A92&lt;&gt;"",IF(A92&lt;='Current Loan'!$B$7*12,'Current Loan'!$B$17,0),"")</f>
        <v>4388.8465487596777</v>
      </c>
      <c r="C92" s="15">
        <f>IF(A92&lt;&gt;"",IF(A92&lt;='Current Loan'!$B$7*12,'Current Loan'!$B$9/12,0),"")</f>
        <v>35</v>
      </c>
      <c r="D92" s="15">
        <f>IF(A92&lt;&gt;"",IF(A92&lt;='Proposed Loan'!$B$6*12,'Proposed Loan'!$B$17,0),"")</f>
        <v>4187.9591096558606</v>
      </c>
      <c r="E92" s="15">
        <f>IF(A92&lt;&gt;"",IF(A92&lt;='Proposed Loan'!$B$6*12,'Proposed Loan'!$B$13/12,0),"")</f>
        <v>25</v>
      </c>
      <c r="F92" s="15">
        <f t="shared" si="3"/>
        <v>210.88743910381709</v>
      </c>
      <c r="G92" s="15">
        <f t="shared" si="5"/>
        <v>16586.319762928269</v>
      </c>
      <c r="H92" s="14">
        <f t="shared" si="4"/>
        <v>1</v>
      </c>
    </row>
    <row r="93" spans="1:8" ht="21" customHeight="1">
      <c r="A93" s="14">
        <f>IF(AND('Current Loan'!$B$13,87&lt;=MAX('Current Loan'!B7,'Proposed Loan'!B6)*12),87,"")</f>
        <v>87</v>
      </c>
      <c r="B93" s="15">
        <f>IF(A93&lt;&gt;"",IF(A93&lt;='Current Loan'!$B$7*12,'Current Loan'!$B$17,0),"")</f>
        <v>4388.8465487596777</v>
      </c>
      <c r="C93" s="15">
        <f>IF(A93&lt;&gt;"",IF(A93&lt;='Current Loan'!$B$7*12,'Current Loan'!$B$9/12,0),"")</f>
        <v>35</v>
      </c>
      <c r="D93" s="15">
        <f>IF(A93&lt;&gt;"",IF(A93&lt;='Proposed Loan'!$B$6*12,'Proposed Loan'!$B$17,0),"")</f>
        <v>4187.9591096558606</v>
      </c>
      <c r="E93" s="15">
        <f>IF(A93&lt;&gt;"",IF(A93&lt;='Proposed Loan'!$B$6*12,'Proposed Loan'!$B$13/12,0),"")</f>
        <v>25</v>
      </c>
      <c r="F93" s="15">
        <f t="shared" si="3"/>
        <v>210.88743910381709</v>
      </c>
      <c r="G93" s="15">
        <f t="shared" si="5"/>
        <v>16797.207202032085</v>
      </c>
      <c r="H93" s="14">
        <f t="shared" si="4"/>
        <v>1</v>
      </c>
    </row>
    <row r="94" spans="1:8" ht="21" customHeight="1">
      <c r="A94" s="14">
        <f>IF(AND('Current Loan'!$B$13,88&lt;=MAX('Current Loan'!B7,'Proposed Loan'!B6)*12),88,"")</f>
        <v>88</v>
      </c>
      <c r="B94" s="15">
        <f>IF(A94&lt;&gt;"",IF(A94&lt;='Current Loan'!$B$7*12,'Current Loan'!$B$17,0),"")</f>
        <v>4388.8465487596777</v>
      </c>
      <c r="C94" s="15">
        <f>IF(A94&lt;&gt;"",IF(A94&lt;='Current Loan'!$B$7*12,'Current Loan'!$B$9/12,0),"")</f>
        <v>35</v>
      </c>
      <c r="D94" s="15">
        <f>IF(A94&lt;&gt;"",IF(A94&lt;='Proposed Loan'!$B$6*12,'Proposed Loan'!$B$17,0),"")</f>
        <v>4187.9591096558606</v>
      </c>
      <c r="E94" s="15">
        <f>IF(A94&lt;&gt;"",IF(A94&lt;='Proposed Loan'!$B$6*12,'Proposed Loan'!$B$13/12,0),"")</f>
        <v>25</v>
      </c>
      <c r="F94" s="15">
        <f t="shared" si="3"/>
        <v>210.88743910381709</v>
      </c>
      <c r="G94" s="15">
        <f t="shared" si="5"/>
        <v>17008.094641135904</v>
      </c>
      <c r="H94" s="14">
        <f t="shared" si="4"/>
        <v>1</v>
      </c>
    </row>
    <row r="95" spans="1:8" ht="21" customHeight="1">
      <c r="A95" s="14">
        <f>IF(AND('Current Loan'!$B$13,89&lt;=MAX('Current Loan'!B7,'Proposed Loan'!B6)*12),89,"")</f>
        <v>89</v>
      </c>
      <c r="B95" s="15">
        <f>IF(A95&lt;&gt;"",IF(A95&lt;='Current Loan'!$B$7*12,'Current Loan'!$B$17,0),"")</f>
        <v>4388.8465487596777</v>
      </c>
      <c r="C95" s="15">
        <f>IF(A95&lt;&gt;"",IF(A95&lt;='Current Loan'!$B$7*12,'Current Loan'!$B$9/12,0),"")</f>
        <v>35</v>
      </c>
      <c r="D95" s="15">
        <f>IF(A95&lt;&gt;"",IF(A95&lt;='Proposed Loan'!$B$6*12,'Proposed Loan'!$B$17,0),"")</f>
        <v>4187.9591096558606</v>
      </c>
      <c r="E95" s="15">
        <f>IF(A95&lt;&gt;"",IF(A95&lt;='Proposed Loan'!$B$6*12,'Proposed Loan'!$B$13/12,0),"")</f>
        <v>25</v>
      </c>
      <c r="F95" s="15">
        <f t="shared" si="3"/>
        <v>210.88743910381709</v>
      </c>
      <c r="G95" s="15">
        <f t="shared" si="5"/>
        <v>17218.982080239723</v>
      </c>
      <c r="H95" s="14">
        <f t="shared" si="4"/>
        <v>1</v>
      </c>
    </row>
    <row r="96" spans="1:8" ht="21" customHeight="1">
      <c r="A96" s="14">
        <f>IF(AND('Current Loan'!$B$13,90&lt;=MAX('Current Loan'!B7,'Proposed Loan'!B6)*12),90,"")</f>
        <v>90</v>
      </c>
      <c r="B96" s="15">
        <f>IF(A96&lt;&gt;"",IF(A96&lt;='Current Loan'!$B$7*12,'Current Loan'!$B$17,0),"")</f>
        <v>4388.8465487596777</v>
      </c>
      <c r="C96" s="15">
        <f>IF(A96&lt;&gt;"",IF(A96&lt;='Current Loan'!$B$7*12,'Current Loan'!$B$9/12,0),"")</f>
        <v>35</v>
      </c>
      <c r="D96" s="15">
        <f>IF(A96&lt;&gt;"",IF(A96&lt;='Proposed Loan'!$B$6*12,'Proposed Loan'!$B$17,0),"")</f>
        <v>4187.9591096558606</v>
      </c>
      <c r="E96" s="15">
        <f>IF(A96&lt;&gt;"",IF(A96&lt;='Proposed Loan'!$B$6*12,'Proposed Loan'!$B$13/12,0),"")</f>
        <v>25</v>
      </c>
      <c r="F96" s="15">
        <f t="shared" si="3"/>
        <v>210.88743910381709</v>
      </c>
      <c r="G96" s="15">
        <f t="shared" si="5"/>
        <v>17429.869519343541</v>
      </c>
      <c r="H96" s="14">
        <f t="shared" si="4"/>
        <v>1</v>
      </c>
    </row>
    <row r="97" spans="1:8" ht="21" customHeight="1">
      <c r="A97" s="14">
        <f>IF(AND('Current Loan'!$B$13,91&lt;=MAX('Current Loan'!B7,'Proposed Loan'!B6)*12),91,"")</f>
        <v>91</v>
      </c>
      <c r="B97" s="15">
        <f>IF(A97&lt;&gt;"",IF(A97&lt;='Current Loan'!$B$7*12,'Current Loan'!$B$17,0),"")</f>
        <v>4388.8465487596777</v>
      </c>
      <c r="C97" s="15">
        <f>IF(A97&lt;&gt;"",IF(A97&lt;='Current Loan'!$B$7*12,'Current Loan'!$B$9/12,0),"")</f>
        <v>35</v>
      </c>
      <c r="D97" s="15">
        <f>IF(A97&lt;&gt;"",IF(A97&lt;='Proposed Loan'!$B$6*12,'Proposed Loan'!$B$17,0),"")</f>
        <v>4187.9591096558606</v>
      </c>
      <c r="E97" s="15">
        <f>IF(A97&lt;&gt;"",IF(A97&lt;='Proposed Loan'!$B$6*12,'Proposed Loan'!$B$13/12,0),"")</f>
        <v>25</v>
      </c>
      <c r="F97" s="15">
        <f t="shared" si="3"/>
        <v>210.88743910381709</v>
      </c>
      <c r="G97" s="15">
        <f t="shared" si="5"/>
        <v>17640.75695844736</v>
      </c>
      <c r="H97" s="14">
        <f t="shared" si="4"/>
        <v>1</v>
      </c>
    </row>
    <row r="98" spans="1:8" ht="21" customHeight="1">
      <c r="A98" s="14">
        <f>IF(AND('Current Loan'!$B$13,92&lt;=MAX('Current Loan'!B7,'Proposed Loan'!B6)*12),92,"")</f>
        <v>92</v>
      </c>
      <c r="B98" s="15">
        <f>IF(A98&lt;&gt;"",IF(A98&lt;='Current Loan'!$B$7*12,'Current Loan'!$B$17,0),"")</f>
        <v>4388.8465487596777</v>
      </c>
      <c r="C98" s="15">
        <f>IF(A98&lt;&gt;"",IF(A98&lt;='Current Loan'!$B$7*12,'Current Loan'!$B$9/12,0),"")</f>
        <v>35</v>
      </c>
      <c r="D98" s="15">
        <f>IF(A98&lt;&gt;"",IF(A98&lt;='Proposed Loan'!$B$6*12,'Proposed Loan'!$B$17,0),"")</f>
        <v>4187.9591096558606</v>
      </c>
      <c r="E98" s="15">
        <f>IF(A98&lt;&gt;"",IF(A98&lt;='Proposed Loan'!$B$6*12,'Proposed Loan'!$B$13/12,0),"")</f>
        <v>25</v>
      </c>
      <c r="F98" s="15">
        <f t="shared" si="3"/>
        <v>210.88743910381709</v>
      </c>
      <c r="G98" s="15">
        <f t="shared" si="5"/>
        <v>17851.644397551179</v>
      </c>
      <c r="H98" s="14">
        <f t="shared" si="4"/>
        <v>1</v>
      </c>
    </row>
    <row r="99" spans="1:8" ht="21" customHeight="1">
      <c r="A99" s="14">
        <f>IF(AND('Current Loan'!$B$13,93&lt;=MAX('Current Loan'!B7,'Proposed Loan'!B6)*12),93,"")</f>
        <v>93</v>
      </c>
      <c r="B99" s="15">
        <f>IF(A99&lt;&gt;"",IF(A99&lt;='Current Loan'!$B$7*12,'Current Loan'!$B$17,0),"")</f>
        <v>4388.8465487596777</v>
      </c>
      <c r="C99" s="15">
        <f>IF(A99&lt;&gt;"",IF(A99&lt;='Current Loan'!$B$7*12,'Current Loan'!$B$9/12,0),"")</f>
        <v>35</v>
      </c>
      <c r="D99" s="15">
        <f>IF(A99&lt;&gt;"",IF(A99&lt;='Proposed Loan'!$B$6*12,'Proposed Loan'!$B$17,0),"")</f>
        <v>4187.9591096558606</v>
      </c>
      <c r="E99" s="15">
        <f>IF(A99&lt;&gt;"",IF(A99&lt;='Proposed Loan'!$B$6*12,'Proposed Loan'!$B$13/12,0),"")</f>
        <v>25</v>
      </c>
      <c r="F99" s="15">
        <f t="shared" si="3"/>
        <v>210.88743910381709</v>
      </c>
      <c r="G99" s="15">
        <f t="shared" si="5"/>
        <v>18062.531836654998</v>
      </c>
      <c r="H99" s="14">
        <f t="shared" si="4"/>
        <v>1</v>
      </c>
    </row>
    <row r="100" spans="1:8" ht="21" customHeight="1">
      <c r="A100" s="14">
        <f>IF(AND('Current Loan'!$B$13,94&lt;=MAX('Current Loan'!B7,'Proposed Loan'!B6)*12),94,"")</f>
        <v>94</v>
      </c>
      <c r="B100" s="15">
        <f>IF(A100&lt;&gt;"",IF(A100&lt;='Current Loan'!$B$7*12,'Current Loan'!$B$17,0),"")</f>
        <v>4388.8465487596777</v>
      </c>
      <c r="C100" s="15">
        <f>IF(A100&lt;&gt;"",IF(A100&lt;='Current Loan'!$B$7*12,'Current Loan'!$B$9/12,0),"")</f>
        <v>35</v>
      </c>
      <c r="D100" s="15">
        <f>IF(A100&lt;&gt;"",IF(A100&lt;='Proposed Loan'!$B$6*12,'Proposed Loan'!$B$17,0),"")</f>
        <v>4187.9591096558606</v>
      </c>
      <c r="E100" s="15">
        <f>IF(A100&lt;&gt;"",IF(A100&lt;='Proposed Loan'!$B$6*12,'Proposed Loan'!$B$13/12,0),"")</f>
        <v>25</v>
      </c>
      <c r="F100" s="15">
        <f t="shared" si="3"/>
        <v>210.88743910381709</v>
      </c>
      <c r="G100" s="15">
        <f t="shared" si="5"/>
        <v>18273.419275758817</v>
      </c>
      <c r="H100" s="14">
        <f t="shared" si="4"/>
        <v>1</v>
      </c>
    </row>
    <row r="101" spans="1:8" ht="21" customHeight="1">
      <c r="A101" s="14">
        <f>IF(AND('Current Loan'!$B$13,95&lt;=MAX('Current Loan'!B7,'Proposed Loan'!B6)*12),95,"")</f>
        <v>95</v>
      </c>
      <c r="B101" s="15">
        <f>IF(A101&lt;&gt;"",IF(A101&lt;='Current Loan'!$B$7*12,'Current Loan'!$B$17,0),"")</f>
        <v>4388.8465487596777</v>
      </c>
      <c r="C101" s="15">
        <f>IF(A101&lt;&gt;"",IF(A101&lt;='Current Loan'!$B$7*12,'Current Loan'!$B$9/12,0),"")</f>
        <v>35</v>
      </c>
      <c r="D101" s="15">
        <f>IF(A101&lt;&gt;"",IF(A101&lt;='Proposed Loan'!$B$6*12,'Proposed Loan'!$B$17,0),"")</f>
        <v>4187.9591096558606</v>
      </c>
      <c r="E101" s="15">
        <f>IF(A101&lt;&gt;"",IF(A101&lt;='Proposed Loan'!$B$6*12,'Proposed Loan'!$B$13/12,0),"")</f>
        <v>25</v>
      </c>
      <c r="F101" s="15">
        <f t="shared" si="3"/>
        <v>210.88743910381709</v>
      </c>
      <c r="G101" s="15">
        <f t="shared" si="5"/>
        <v>18484.306714862636</v>
      </c>
      <c r="H101" s="14">
        <f t="shared" si="4"/>
        <v>1</v>
      </c>
    </row>
    <row r="102" spans="1:8" ht="21" customHeight="1">
      <c r="A102" s="14">
        <f>IF(AND('Current Loan'!$B$13,96&lt;=MAX('Current Loan'!B7,'Proposed Loan'!B6)*12),96,"")</f>
        <v>96</v>
      </c>
      <c r="B102" s="15">
        <f>IF(A102&lt;&gt;"",IF(A102&lt;='Current Loan'!$B$7*12,'Current Loan'!$B$17,0),"")</f>
        <v>4388.8465487596777</v>
      </c>
      <c r="C102" s="15">
        <f>IF(A102&lt;&gt;"",IF(A102&lt;='Current Loan'!$B$7*12,'Current Loan'!$B$9/12,0),"")</f>
        <v>35</v>
      </c>
      <c r="D102" s="15">
        <f>IF(A102&lt;&gt;"",IF(A102&lt;='Proposed Loan'!$B$6*12,'Proposed Loan'!$B$17,0),"")</f>
        <v>4187.9591096558606</v>
      </c>
      <c r="E102" s="15">
        <f>IF(A102&lt;&gt;"",IF(A102&lt;='Proposed Loan'!$B$6*12,'Proposed Loan'!$B$13/12,0),"")</f>
        <v>25</v>
      </c>
      <c r="F102" s="15">
        <f t="shared" si="3"/>
        <v>210.88743910381709</v>
      </c>
      <c r="G102" s="15">
        <f t="shared" si="5"/>
        <v>18695.194153966455</v>
      </c>
      <c r="H102" s="14">
        <f t="shared" si="4"/>
        <v>1</v>
      </c>
    </row>
    <row r="103" spans="1:8" ht="21" customHeight="1">
      <c r="A103" s="14">
        <f>IF(AND('Current Loan'!$B$13,97&lt;=MAX('Current Loan'!B7,'Proposed Loan'!B6)*12),97,"")</f>
        <v>97</v>
      </c>
      <c r="B103" s="15">
        <f>IF(A103&lt;&gt;"",IF(A103&lt;='Current Loan'!$B$7*12,'Current Loan'!$B$17,0),"")</f>
        <v>4388.8465487596777</v>
      </c>
      <c r="C103" s="15">
        <f>IF(A103&lt;&gt;"",IF(A103&lt;='Current Loan'!$B$7*12,'Current Loan'!$B$9/12,0),"")</f>
        <v>35</v>
      </c>
      <c r="D103" s="15">
        <f>IF(A103&lt;&gt;"",IF(A103&lt;='Proposed Loan'!$B$6*12,'Proposed Loan'!$B$17,0),"")</f>
        <v>4187.9591096558606</v>
      </c>
      <c r="E103" s="15">
        <f>IF(A103&lt;&gt;"",IF(A103&lt;='Proposed Loan'!$B$6*12,'Proposed Loan'!$B$13/12,0),"")</f>
        <v>25</v>
      </c>
      <c r="F103" s="15">
        <f t="shared" si="3"/>
        <v>210.88743910381709</v>
      </c>
      <c r="G103" s="15">
        <f t="shared" si="5"/>
        <v>18906.081593070274</v>
      </c>
      <c r="H103" s="14">
        <f t="shared" si="4"/>
        <v>1</v>
      </c>
    </row>
    <row r="104" spans="1:8" ht="21" customHeight="1">
      <c r="A104" s="14">
        <f>IF(AND('Current Loan'!$B$13,98&lt;=MAX('Current Loan'!B7,'Proposed Loan'!B6)*12),98,"")</f>
        <v>98</v>
      </c>
      <c r="B104" s="15">
        <f>IF(A104&lt;&gt;"",IF(A104&lt;='Current Loan'!$B$7*12,'Current Loan'!$B$17,0),"")</f>
        <v>4388.8465487596777</v>
      </c>
      <c r="C104" s="15">
        <f>IF(A104&lt;&gt;"",IF(A104&lt;='Current Loan'!$B$7*12,'Current Loan'!$B$9/12,0),"")</f>
        <v>35</v>
      </c>
      <c r="D104" s="15">
        <f>IF(A104&lt;&gt;"",IF(A104&lt;='Proposed Loan'!$B$6*12,'Proposed Loan'!$B$17,0),"")</f>
        <v>4187.9591096558606</v>
      </c>
      <c r="E104" s="15">
        <f>IF(A104&lt;&gt;"",IF(A104&lt;='Proposed Loan'!$B$6*12,'Proposed Loan'!$B$13/12,0),"")</f>
        <v>25</v>
      </c>
      <c r="F104" s="15">
        <f t="shared" si="3"/>
        <v>210.88743910381709</v>
      </c>
      <c r="G104" s="15">
        <f t="shared" si="5"/>
        <v>19116.969032174093</v>
      </c>
      <c r="H104" s="14">
        <f t="shared" si="4"/>
        <v>1</v>
      </c>
    </row>
    <row r="105" spans="1:8" ht="21" customHeight="1">
      <c r="A105" s="14">
        <f>IF(AND('Current Loan'!$B$13,99&lt;=MAX('Current Loan'!B7,'Proposed Loan'!B6)*12),99,"")</f>
        <v>99</v>
      </c>
      <c r="B105" s="15">
        <f>IF(A105&lt;&gt;"",IF(A105&lt;='Current Loan'!$B$7*12,'Current Loan'!$B$17,0),"")</f>
        <v>4388.8465487596777</v>
      </c>
      <c r="C105" s="15">
        <f>IF(A105&lt;&gt;"",IF(A105&lt;='Current Loan'!$B$7*12,'Current Loan'!$B$9/12,0),"")</f>
        <v>35</v>
      </c>
      <c r="D105" s="15">
        <f>IF(A105&lt;&gt;"",IF(A105&lt;='Proposed Loan'!$B$6*12,'Proposed Loan'!$B$17,0),"")</f>
        <v>4187.9591096558606</v>
      </c>
      <c r="E105" s="15">
        <f>IF(A105&lt;&gt;"",IF(A105&lt;='Proposed Loan'!$B$6*12,'Proposed Loan'!$B$13/12,0),"")</f>
        <v>25</v>
      </c>
      <c r="F105" s="15">
        <f t="shared" si="3"/>
        <v>210.88743910381709</v>
      </c>
      <c r="G105" s="15">
        <f t="shared" si="5"/>
        <v>19327.856471277912</v>
      </c>
      <c r="H105" s="14">
        <f t="shared" si="4"/>
        <v>1</v>
      </c>
    </row>
    <row r="106" spans="1:8" ht="21" customHeight="1">
      <c r="A106" s="14">
        <f>IF(AND('Current Loan'!$B$13,100&lt;=MAX('Current Loan'!B7,'Proposed Loan'!B6)*12),100,"")</f>
        <v>100</v>
      </c>
      <c r="B106" s="15">
        <f>IF(A106&lt;&gt;"",IF(A106&lt;='Current Loan'!$B$7*12,'Current Loan'!$B$17,0),"")</f>
        <v>4388.8465487596777</v>
      </c>
      <c r="C106" s="15">
        <f>IF(A106&lt;&gt;"",IF(A106&lt;='Current Loan'!$B$7*12,'Current Loan'!$B$9/12,0),"")</f>
        <v>35</v>
      </c>
      <c r="D106" s="15">
        <f>IF(A106&lt;&gt;"",IF(A106&lt;='Proposed Loan'!$B$6*12,'Proposed Loan'!$B$17,0),"")</f>
        <v>4187.9591096558606</v>
      </c>
      <c r="E106" s="15">
        <f>IF(A106&lt;&gt;"",IF(A106&lt;='Proposed Loan'!$B$6*12,'Proposed Loan'!$B$13/12,0),"")</f>
        <v>25</v>
      </c>
      <c r="F106" s="15">
        <f t="shared" si="3"/>
        <v>210.88743910381709</v>
      </c>
      <c r="G106" s="15">
        <f t="shared" si="5"/>
        <v>19538.743910381731</v>
      </c>
      <c r="H106" s="14">
        <f t="shared" si="4"/>
        <v>1</v>
      </c>
    </row>
    <row r="107" spans="1:8" ht="21" customHeight="1">
      <c r="A107" s="14">
        <f>IF(AND('Current Loan'!$B$13,101&lt;=MAX('Current Loan'!B7,'Proposed Loan'!B6)*12),101,"")</f>
        <v>101</v>
      </c>
      <c r="B107" s="15">
        <f>IF(A107&lt;&gt;"",IF(A107&lt;='Current Loan'!$B$7*12,'Current Loan'!$B$17,0),"")</f>
        <v>4388.8465487596777</v>
      </c>
      <c r="C107" s="15">
        <f>IF(A107&lt;&gt;"",IF(A107&lt;='Current Loan'!$B$7*12,'Current Loan'!$B$9/12,0),"")</f>
        <v>35</v>
      </c>
      <c r="D107" s="15">
        <f>IF(A107&lt;&gt;"",IF(A107&lt;='Proposed Loan'!$B$6*12,'Proposed Loan'!$B$17,0),"")</f>
        <v>4187.9591096558606</v>
      </c>
      <c r="E107" s="15">
        <f>IF(A107&lt;&gt;"",IF(A107&lt;='Proposed Loan'!$B$6*12,'Proposed Loan'!$B$13/12,0),"")</f>
        <v>25</v>
      </c>
      <c r="F107" s="15">
        <f t="shared" si="3"/>
        <v>210.88743910381709</v>
      </c>
      <c r="G107" s="15">
        <f t="shared" si="5"/>
        <v>19749.631349485549</v>
      </c>
      <c r="H107" s="14">
        <f t="shared" si="4"/>
        <v>1</v>
      </c>
    </row>
    <row r="108" spans="1:8" ht="21" customHeight="1">
      <c r="A108" s="14">
        <f>IF(AND('Current Loan'!$B$13,102&lt;=MAX('Current Loan'!B7,'Proposed Loan'!B6)*12),102,"")</f>
        <v>102</v>
      </c>
      <c r="B108" s="15">
        <f>IF(A108&lt;&gt;"",IF(A108&lt;='Current Loan'!$B$7*12,'Current Loan'!$B$17,0),"")</f>
        <v>4388.8465487596777</v>
      </c>
      <c r="C108" s="15">
        <f>IF(A108&lt;&gt;"",IF(A108&lt;='Current Loan'!$B$7*12,'Current Loan'!$B$9/12,0),"")</f>
        <v>35</v>
      </c>
      <c r="D108" s="15">
        <f>IF(A108&lt;&gt;"",IF(A108&lt;='Proposed Loan'!$B$6*12,'Proposed Loan'!$B$17,0),"")</f>
        <v>4187.9591096558606</v>
      </c>
      <c r="E108" s="15">
        <f>IF(A108&lt;&gt;"",IF(A108&lt;='Proposed Loan'!$B$6*12,'Proposed Loan'!$B$13/12,0),"")</f>
        <v>25</v>
      </c>
      <c r="F108" s="15">
        <f t="shared" si="3"/>
        <v>210.88743910381709</v>
      </c>
      <c r="G108" s="15">
        <f t="shared" si="5"/>
        <v>19960.518788589368</v>
      </c>
      <c r="H108" s="14">
        <f t="shared" si="4"/>
        <v>1</v>
      </c>
    </row>
    <row r="109" spans="1:8" ht="21" customHeight="1">
      <c r="A109" s="14">
        <f>IF(AND('Current Loan'!$B$13,103&lt;=MAX('Current Loan'!B7,'Proposed Loan'!B6)*12),103,"")</f>
        <v>103</v>
      </c>
      <c r="B109" s="15">
        <f>IF(A109&lt;&gt;"",IF(A109&lt;='Current Loan'!$B$7*12,'Current Loan'!$B$17,0),"")</f>
        <v>4388.8465487596777</v>
      </c>
      <c r="C109" s="15">
        <f>IF(A109&lt;&gt;"",IF(A109&lt;='Current Loan'!$B$7*12,'Current Loan'!$B$9/12,0),"")</f>
        <v>35</v>
      </c>
      <c r="D109" s="15">
        <f>IF(A109&lt;&gt;"",IF(A109&lt;='Proposed Loan'!$B$6*12,'Proposed Loan'!$B$17,0),"")</f>
        <v>4187.9591096558606</v>
      </c>
      <c r="E109" s="15">
        <f>IF(A109&lt;&gt;"",IF(A109&lt;='Proposed Loan'!$B$6*12,'Proposed Loan'!$B$13/12,0),"")</f>
        <v>25</v>
      </c>
      <c r="F109" s="15">
        <f t="shared" si="3"/>
        <v>210.88743910381709</v>
      </c>
      <c r="G109" s="15">
        <f t="shared" si="5"/>
        <v>20171.406227693187</v>
      </c>
      <c r="H109" s="14">
        <f t="shared" si="4"/>
        <v>1</v>
      </c>
    </row>
    <row r="110" spans="1:8" ht="21" customHeight="1">
      <c r="A110" s="14">
        <f>IF(AND('Current Loan'!$B$13,104&lt;=MAX('Current Loan'!B7,'Proposed Loan'!B6)*12),104,"")</f>
        <v>104</v>
      </c>
      <c r="B110" s="15">
        <f>IF(A110&lt;&gt;"",IF(A110&lt;='Current Loan'!$B$7*12,'Current Loan'!$B$17,0),"")</f>
        <v>4388.8465487596777</v>
      </c>
      <c r="C110" s="15">
        <f>IF(A110&lt;&gt;"",IF(A110&lt;='Current Loan'!$B$7*12,'Current Loan'!$B$9/12,0),"")</f>
        <v>35</v>
      </c>
      <c r="D110" s="15">
        <f>IF(A110&lt;&gt;"",IF(A110&lt;='Proposed Loan'!$B$6*12,'Proposed Loan'!$B$17,0),"")</f>
        <v>4187.9591096558606</v>
      </c>
      <c r="E110" s="15">
        <f>IF(A110&lt;&gt;"",IF(A110&lt;='Proposed Loan'!$B$6*12,'Proposed Loan'!$B$13/12,0),"")</f>
        <v>25</v>
      </c>
      <c r="F110" s="15">
        <f t="shared" si="3"/>
        <v>210.88743910381709</v>
      </c>
      <c r="G110" s="15">
        <f t="shared" si="5"/>
        <v>20382.293666797006</v>
      </c>
      <c r="H110" s="14">
        <f t="shared" si="4"/>
        <v>1</v>
      </c>
    </row>
    <row r="111" spans="1:8" ht="21" customHeight="1">
      <c r="A111" s="14">
        <f>IF(AND('Current Loan'!$B$13,105&lt;=MAX('Current Loan'!B7,'Proposed Loan'!B6)*12),105,"")</f>
        <v>105</v>
      </c>
      <c r="B111" s="15">
        <f>IF(A111&lt;&gt;"",IF(A111&lt;='Current Loan'!$B$7*12,'Current Loan'!$B$17,0),"")</f>
        <v>4388.8465487596777</v>
      </c>
      <c r="C111" s="15">
        <f>IF(A111&lt;&gt;"",IF(A111&lt;='Current Loan'!$B$7*12,'Current Loan'!$B$9/12,0),"")</f>
        <v>35</v>
      </c>
      <c r="D111" s="15">
        <f>IF(A111&lt;&gt;"",IF(A111&lt;='Proposed Loan'!$B$6*12,'Proposed Loan'!$B$17,0),"")</f>
        <v>4187.9591096558606</v>
      </c>
      <c r="E111" s="15">
        <f>IF(A111&lt;&gt;"",IF(A111&lt;='Proposed Loan'!$B$6*12,'Proposed Loan'!$B$13/12,0),"")</f>
        <v>25</v>
      </c>
      <c r="F111" s="15">
        <f t="shared" si="3"/>
        <v>210.88743910381709</v>
      </c>
      <c r="G111" s="15">
        <f t="shared" si="5"/>
        <v>20593.181105900825</v>
      </c>
      <c r="H111" s="14">
        <f t="shared" si="4"/>
        <v>1</v>
      </c>
    </row>
    <row r="112" spans="1:8" ht="21" customHeight="1">
      <c r="A112" s="14">
        <f>IF(AND('Current Loan'!$B$13,106&lt;=MAX('Current Loan'!B7,'Proposed Loan'!B6)*12),106,"")</f>
        <v>106</v>
      </c>
      <c r="B112" s="15">
        <f>IF(A112&lt;&gt;"",IF(A112&lt;='Current Loan'!$B$7*12,'Current Loan'!$B$17,0),"")</f>
        <v>4388.8465487596777</v>
      </c>
      <c r="C112" s="15">
        <f>IF(A112&lt;&gt;"",IF(A112&lt;='Current Loan'!$B$7*12,'Current Loan'!$B$9/12,0),"")</f>
        <v>35</v>
      </c>
      <c r="D112" s="15">
        <f>IF(A112&lt;&gt;"",IF(A112&lt;='Proposed Loan'!$B$6*12,'Proposed Loan'!$B$17,0),"")</f>
        <v>4187.9591096558606</v>
      </c>
      <c r="E112" s="15">
        <f>IF(A112&lt;&gt;"",IF(A112&lt;='Proposed Loan'!$B$6*12,'Proposed Loan'!$B$13/12,0),"")</f>
        <v>25</v>
      </c>
      <c r="F112" s="15">
        <f t="shared" si="3"/>
        <v>210.88743910381709</v>
      </c>
      <c r="G112" s="15">
        <f t="shared" si="5"/>
        <v>20804.068545004644</v>
      </c>
      <c r="H112" s="14">
        <f t="shared" si="4"/>
        <v>1</v>
      </c>
    </row>
    <row r="113" spans="1:8" ht="21" customHeight="1">
      <c r="A113" s="14">
        <f>IF(AND('Current Loan'!$B$13,107&lt;=MAX('Current Loan'!B7,'Proposed Loan'!B6)*12),107,"")</f>
        <v>107</v>
      </c>
      <c r="B113" s="15">
        <f>IF(A113&lt;&gt;"",IF(A113&lt;='Current Loan'!$B$7*12,'Current Loan'!$B$17,0),"")</f>
        <v>4388.8465487596777</v>
      </c>
      <c r="C113" s="15">
        <f>IF(A113&lt;&gt;"",IF(A113&lt;='Current Loan'!$B$7*12,'Current Loan'!$B$9/12,0),"")</f>
        <v>35</v>
      </c>
      <c r="D113" s="15">
        <f>IF(A113&lt;&gt;"",IF(A113&lt;='Proposed Loan'!$B$6*12,'Proposed Loan'!$B$17,0),"")</f>
        <v>4187.9591096558606</v>
      </c>
      <c r="E113" s="15">
        <f>IF(A113&lt;&gt;"",IF(A113&lt;='Proposed Loan'!$B$6*12,'Proposed Loan'!$B$13/12,0),"")</f>
        <v>25</v>
      </c>
      <c r="F113" s="15">
        <f t="shared" si="3"/>
        <v>210.88743910381709</v>
      </c>
      <c r="G113" s="15">
        <f t="shared" si="5"/>
        <v>21014.955984108463</v>
      </c>
      <c r="H113" s="14">
        <f t="shared" si="4"/>
        <v>1</v>
      </c>
    </row>
    <row r="114" spans="1:8" ht="21" customHeight="1">
      <c r="A114" s="14">
        <f>IF(AND('Current Loan'!$B$13,108&lt;=MAX('Current Loan'!B7,'Proposed Loan'!B6)*12),108,"")</f>
        <v>108</v>
      </c>
      <c r="B114" s="15">
        <f>IF(A114&lt;&gt;"",IF(A114&lt;='Current Loan'!$B$7*12,'Current Loan'!$B$17,0),"")</f>
        <v>4388.8465487596777</v>
      </c>
      <c r="C114" s="15">
        <f>IF(A114&lt;&gt;"",IF(A114&lt;='Current Loan'!$B$7*12,'Current Loan'!$B$9/12,0),"")</f>
        <v>35</v>
      </c>
      <c r="D114" s="15">
        <f>IF(A114&lt;&gt;"",IF(A114&lt;='Proposed Loan'!$B$6*12,'Proposed Loan'!$B$17,0),"")</f>
        <v>4187.9591096558606</v>
      </c>
      <c r="E114" s="15">
        <f>IF(A114&lt;&gt;"",IF(A114&lt;='Proposed Loan'!$B$6*12,'Proposed Loan'!$B$13/12,0),"")</f>
        <v>25</v>
      </c>
      <c r="F114" s="15">
        <f t="shared" si="3"/>
        <v>210.88743910381709</v>
      </c>
      <c r="G114" s="15">
        <f t="shared" si="5"/>
        <v>21225.843423212282</v>
      </c>
      <c r="H114" s="14">
        <f t="shared" si="4"/>
        <v>1</v>
      </c>
    </row>
    <row r="115" spans="1:8" ht="21" customHeight="1">
      <c r="A115" s="14">
        <f>IF(AND('Current Loan'!$B$13,109&lt;=MAX('Current Loan'!B7,'Proposed Loan'!B6)*12),109,"")</f>
        <v>109</v>
      </c>
      <c r="B115" s="15">
        <f>IF(A115&lt;&gt;"",IF(A115&lt;='Current Loan'!$B$7*12,'Current Loan'!$B$17,0),"")</f>
        <v>4388.8465487596777</v>
      </c>
      <c r="C115" s="15">
        <f>IF(A115&lt;&gt;"",IF(A115&lt;='Current Loan'!$B$7*12,'Current Loan'!$B$9/12,0),"")</f>
        <v>35</v>
      </c>
      <c r="D115" s="15">
        <f>IF(A115&lt;&gt;"",IF(A115&lt;='Proposed Loan'!$B$6*12,'Proposed Loan'!$B$17,0),"")</f>
        <v>4187.9591096558606</v>
      </c>
      <c r="E115" s="15">
        <f>IF(A115&lt;&gt;"",IF(A115&lt;='Proposed Loan'!$B$6*12,'Proposed Loan'!$B$13/12,0),"")</f>
        <v>25</v>
      </c>
      <c r="F115" s="15">
        <f t="shared" si="3"/>
        <v>210.88743910381709</v>
      </c>
      <c r="G115" s="15">
        <f t="shared" si="5"/>
        <v>21436.730862316101</v>
      </c>
      <c r="H115" s="14">
        <f t="shared" si="4"/>
        <v>1</v>
      </c>
    </row>
    <row r="116" spans="1:8" ht="21" customHeight="1">
      <c r="A116" s="14">
        <f>IF(AND('Current Loan'!$B$13,110&lt;=MAX('Current Loan'!B7,'Proposed Loan'!B6)*12),110,"")</f>
        <v>110</v>
      </c>
      <c r="B116" s="15">
        <f>IF(A116&lt;&gt;"",IF(A116&lt;='Current Loan'!$B$7*12,'Current Loan'!$B$17,0),"")</f>
        <v>4388.8465487596777</v>
      </c>
      <c r="C116" s="15">
        <f>IF(A116&lt;&gt;"",IF(A116&lt;='Current Loan'!$B$7*12,'Current Loan'!$B$9/12,0),"")</f>
        <v>35</v>
      </c>
      <c r="D116" s="15">
        <f>IF(A116&lt;&gt;"",IF(A116&lt;='Proposed Loan'!$B$6*12,'Proposed Loan'!$B$17,0),"")</f>
        <v>4187.9591096558606</v>
      </c>
      <c r="E116" s="15">
        <f>IF(A116&lt;&gt;"",IF(A116&lt;='Proposed Loan'!$B$6*12,'Proposed Loan'!$B$13/12,0),"")</f>
        <v>25</v>
      </c>
      <c r="F116" s="15">
        <f t="shared" si="3"/>
        <v>210.88743910381709</v>
      </c>
      <c r="G116" s="15">
        <f t="shared" si="5"/>
        <v>21647.61830141992</v>
      </c>
      <c r="H116" s="14">
        <f t="shared" si="4"/>
        <v>1</v>
      </c>
    </row>
    <row r="117" spans="1:8" ht="21" customHeight="1">
      <c r="A117" s="14">
        <f>IF(AND('Current Loan'!$B$13,111&lt;=MAX('Current Loan'!B7,'Proposed Loan'!B6)*12),111,"")</f>
        <v>111</v>
      </c>
      <c r="B117" s="15">
        <f>IF(A117&lt;&gt;"",IF(A117&lt;='Current Loan'!$B$7*12,'Current Loan'!$B$17,0),"")</f>
        <v>4388.8465487596777</v>
      </c>
      <c r="C117" s="15">
        <f>IF(A117&lt;&gt;"",IF(A117&lt;='Current Loan'!$B$7*12,'Current Loan'!$B$9/12,0),"")</f>
        <v>35</v>
      </c>
      <c r="D117" s="15">
        <f>IF(A117&lt;&gt;"",IF(A117&lt;='Proposed Loan'!$B$6*12,'Proposed Loan'!$B$17,0),"")</f>
        <v>4187.9591096558606</v>
      </c>
      <c r="E117" s="15">
        <f>IF(A117&lt;&gt;"",IF(A117&lt;='Proposed Loan'!$B$6*12,'Proposed Loan'!$B$13/12,0),"")</f>
        <v>25</v>
      </c>
      <c r="F117" s="15">
        <f t="shared" si="3"/>
        <v>210.88743910381709</v>
      </c>
      <c r="G117" s="15">
        <f t="shared" si="5"/>
        <v>21858.505740523738</v>
      </c>
      <c r="H117" s="14">
        <f t="shared" si="4"/>
        <v>1</v>
      </c>
    </row>
    <row r="118" spans="1:8" ht="21" customHeight="1">
      <c r="A118" s="14">
        <f>IF(AND('Current Loan'!$B$13,112&lt;=MAX('Current Loan'!B7,'Proposed Loan'!B6)*12),112,"")</f>
        <v>112</v>
      </c>
      <c r="B118" s="15">
        <f>IF(A118&lt;&gt;"",IF(A118&lt;='Current Loan'!$B$7*12,'Current Loan'!$B$17,0),"")</f>
        <v>4388.8465487596777</v>
      </c>
      <c r="C118" s="15">
        <f>IF(A118&lt;&gt;"",IF(A118&lt;='Current Loan'!$B$7*12,'Current Loan'!$B$9/12,0),"")</f>
        <v>35</v>
      </c>
      <c r="D118" s="15">
        <f>IF(A118&lt;&gt;"",IF(A118&lt;='Proposed Loan'!$B$6*12,'Proposed Loan'!$B$17,0),"")</f>
        <v>4187.9591096558606</v>
      </c>
      <c r="E118" s="15">
        <f>IF(A118&lt;&gt;"",IF(A118&lt;='Proposed Loan'!$B$6*12,'Proposed Loan'!$B$13/12,0),"")</f>
        <v>25</v>
      </c>
      <c r="F118" s="15">
        <f t="shared" si="3"/>
        <v>210.88743910381709</v>
      </c>
      <c r="G118" s="15">
        <f t="shared" si="5"/>
        <v>22069.393179627557</v>
      </c>
      <c r="H118" s="14">
        <f t="shared" si="4"/>
        <v>1</v>
      </c>
    </row>
    <row r="119" spans="1:8" ht="21" customHeight="1">
      <c r="A119" s="14">
        <f>IF(AND('Current Loan'!$B$13,113&lt;=MAX('Current Loan'!B7,'Proposed Loan'!B6)*12),113,"")</f>
        <v>113</v>
      </c>
      <c r="B119" s="15">
        <f>IF(A119&lt;&gt;"",IF(A119&lt;='Current Loan'!$B$7*12,'Current Loan'!$B$17,0),"")</f>
        <v>4388.8465487596777</v>
      </c>
      <c r="C119" s="15">
        <f>IF(A119&lt;&gt;"",IF(A119&lt;='Current Loan'!$B$7*12,'Current Loan'!$B$9/12,0),"")</f>
        <v>35</v>
      </c>
      <c r="D119" s="15">
        <f>IF(A119&lt;&gt;"",IF(A119&lt;='Proposed Loan'!$B$6*12,'Proposed Loan'!$B$17,0),"")</f>
        <v>4187.9591096558606</v>
      </c>
      <c r="E119" s="15">
        <f>IF(A119&lt;&gt;"",IF(A119&lt;='Proposed Loan'!$B$6*12,'Proposed Loan'!$B$13/12,0),"")</f>
        <v>25</v>
      </c>
      <c r="F119" s="15">
        <f t="shared" si="3"/>
        <v>210.88743910381709</v>
      </c>
      <c r="G119" s="15">
        <f t="shared" si="5"/>
        <v>22280.280618731376</v>
      </c>
      <c r="H119" s="14">
        <f t="shared" si="4"/>
        <v>1</v>
      </c>
    </row>
    <row r="120" spans="1:8" ht="21" customHeight="1">
      <c r="A120" s="14">
        <f>IF(AND('Current Loan'!$B$13,114&lt;=MAX('Current Loan'!B7,'Proposed Loan'!B6)*12),114,"")</f>
        <v>114</v>
      </c>
      <c r="B120" s="15">
        <f>IF(A120&lt;&gt;"",IF(A120&lt;='Current Loan'!$B$7*12,'Current Loan'!$B$17,0),"")</f>
        <v>4388.8465487596777</v>
      </c>
      <c r="C120" s="15">
        <f>IF(A120&lt;&gt;"",IF(A120&lt;='Current Loan'!$B$7*12,'Current Loan'!$B$9/12,0),"")</f>
        <v>35</v>
      </c>
      <c r="D120" s="15">
        <f>IF(A120&lt;&gt;"",IF(A120&lt;='Proposed Loan'!$B$6*12,'Proposed Loan'!$B$17,0),"")</f>
        <v>4187.9591096558606</v>
      </c>
      <c r="E120" s="15">
        <f>IF(A120&lt;&gt;"",IF(A120&lt;='Proposed Loan'!$B$6*12,'Proposed Loan'!$B$13/12,0),"")</f>
        <v>25</v>
      </c>
      <c r="F120" s="15">
        <f t="shared" si="3"/>
        <v>210.88743910381709</v>
      </c>
      <c r="G120" s="15">
        <f t="shared" si="5"/>
        <v>22491.168057835195</v>
      </c>
      <c r="H120" s="14">
        <f t="shared" si="4"/>
        <v>1</v>
      </c>
    </row>
    <row r="121" spans="1:8" ht="21" customHeight="1">
      <c r="A121" s="14">
        <f>IF(AND('Current Loan'!$B$13,115&lt;=MAX('Current Loan'!B7,'Proposed Loan'!B6)*12),115,"")</f>
        <v>115</v>
      </c>
      <c r="B121" s="15">
        <f>IF(A121&lt;&gt;"",IF(A121&lt;='Current Loan'!$B$7*12,'Current Loan'!$B$17,0),"")</f>
        <v>4388.8465487596777</v>
      </c>
      <c r="C121" s="15">
        <f>IF(A121&lt;&gt;"",IF(A121&lt;='Current Loan'!$B$7*12,'Current Loan'!$B$9/12,0),"")</f>
        <v>35</v>
      </c>
      <c r="D121" s="15">
        <f>IF(A121&lt;&gt;"",IF(A121&lt;='Proposed Loan'!$B$6*12,'Proposed Loan'!$B$17,0),"")</f>
        <v>4187.9591096558606</v>
      </c>
      <c r="E121" s="15">
        <f>IF(A121&lt;&gt;"",IF(A121&lt;='Proposed Loan'!$B$6*12,'Proposed Loan'!$B$13/12,0),"")</f>
        <v>25</v>
      </c>
      <c r="F121" s="15">
        <f t="shared" si="3"/>
        <v>210.88743910381709</v>
      </c>
      <c r="G121" s="15">
        <f t="shared" si="5"/>
        <v>22702.055496939014</v>
      </c>
      <c r="H121" s="14">
        <f t="shared" si="4"/>
        <v>1</v>
      </c>
    </row>
    <row r="122" spans="1:8" ht="21" customHeight="1">
      <c r="A122" s="14">
        <f>IF(AND('Current Loan'!$B$13,116&lt;=MAX('Current Loan'!B7,'Proposed Loan'!B6)*12),116,"")</f>
        <v>116</v>
      </c>
      <c r="B122" s="15">
        <f>IF(A122&lt;&gt;"",IF(A122&lt;='Current Loan'!$B$7*12,'Current Loan'!$B$17,0),"")</f>
        <v>4388.8465487596777</v>
      </c>
      <c r="C122" s="15">
        <f>IF(A122&lt;&gt;"",IF(A122&lt;='Current Loan'!$B$7*12,'Current Loan'!$B$9/12,0),"")</f>
        <v>35</v>
      </c>
      <c r="D122" s="15">
        <f>IF(A122&lt;&gt;"",IF(A122&lt;='Proposed Loan'!$B$6*12,'Proposed Loan'!$B$17,0),"")</f>
        <v>4187.9591096558606</v>
      </c>
      <c r="E122" s="15">
        <f>IF(A122&lt;&gt;"",IF(A122&lt;='Proposed Loan'!$B$6*12,'Proposed Loan'!$B$13/12,0),"")</f>
        <v>25</v>
      </c>
      <c r="F122" s="15">
        <f t="shared" si="3"/>
        <v>210.88743910381709</v>
      </c>
      <c r="G122" s="15">
        <f t="shared" si="5"/>
        <v>22912.942936042833</v>
      </c>
      <c r="H122" s="14">
        <f t="shared" si="4"/>
        <v>1</v>
      </c>
    </row>
    <row r="123" spans="1:8" ht="21" customHeight="1">
      <c r="A123" s="14">
        <f>IF(AND('Current Loan'!$B$13,117&lt;=MAX('Current Loan'!B7,'Proposed Loan'!B6)*12),117,"")</f>
        <v>117</v>
      </c>
      <c r="B123" s="15">
        <f>IF(A123&lt;&gt;"",IF(A123&lt;='Current Loan'!$B$7*12,'Current Loan'!$B$17,0),"")</f>
        <v>4388.8465487596777</v>
      </c>
      <c r="C123" s="15">
        <f>IF(A123&lt;&gt;"",IF(A123&lt;='Current Loan'!$B$7*12,'Current Loan'!$B$9/12,0),"")</f>
        <v>35</v>
      </c>
      <c r="D123" s="15">
        <f>IF(A123&lt;&gt;"",IF(A123&lt;='Proposed Loan'!$B$6*12,'Proposed Loan'!$B$17,0),"")</f>
        <v>4187.9591096558606</v>
      </c>
      <c r="E123" s="15">
        <f>IF(A123&lt;&gt;"",IF(A123&lt;='Proposed Loan'!$B$6*12,'Proposed Loan'!$B$13/12,0),"")</f>
        <v>25</v>
      </c>
      <c r="F123" s="15">
        <f t="shared" si="3"/>
        <v>210.88743910381709</v>
      </c>
      <c r="G123" s="15">
        <f t="shared" si="5"/>
        <v>23123.830375146652</v>
      </c>
      <c r="H123" s="14">
        <f t="shared" si="4"/>
        <v>1</v>
      </c>
    </row>
    <row r="124" spans="1:8" ht="21" customHeight="1">
      <c r="A124" s="14">
        <f>IF(AND('Current Loan'!$B$13,118&lt;=MAX('Current Loan'!B7,'Proposed Loan'!B6)*12),118,"")</f>
        <v>118</v>
      </c>
      <c r="B124" s="15">
        <f>IF(A124&lt;&gt;"",IF(A124&lt;='Current Loan'!$B$7*12,'Current Loan'!$B$17,0),"")</f>
        <v>4388.8465487596777</v>
      </c>
      <c r="C124" s="15">
        <f>IF(A124&lt;&gt;"",IF(A124&lt;='Current Loan'!$B$7*12,'Current Loan'!$B$9/12,0),"")</f>
        <v>35</v>
      </c>
      <c r="D124" s="15">
        <f>IF(A124&lt;&gt;"",IF(A124&lt;='Proposed Loan'!$B$6*12,'Proposed Loan'!$B$17,0),"")</f>
        <v>4187.9591096558606</v>
      </c>
      <c r="E124" s="15">
        <f>IF(A124&lt;&gt;"",IF(A124&lt;='Proposed Loan'!$B$6*12,'Proposed Loan'!$B$13/12,0),"")</f>
        <v>25</v>
      </c>
      <c r="F124" s="15">
        <f t="shared" si="3"/>
        <v>210.88743910381709</v>
      </c>
      <c r="G124" s="15">
        <f t="shared" si="5"/>
        <v>23334.717814250471</v>
      </c>
      <c r="H124" s="14">
        <f t="shared" si="4"/>
        <v>1</v>
      </c>
    </row>
    <row r="125" spans="1:8" ht="21" customHeight="1">
      <c r="A125" s="14">
        <f>IF(AND('Current Loan'!$B$13,119&lt;=MAX('Current Loan'!B7,'Proposed Loan'!B6)*12),119,"")</f>
        <v>119</v>
      </c>
      <c r="B125" s="15">
        <f>IF(A125&lt;&gt;"",IF(A125&lt;='Current Loan'!$B$7*12,'Current Loan'!$B$17,0),"")</f>
        <v>4388.8465487596777</v>
      </c>
      <c r="C125" s="15">
        <f>IF(A125&lt;&gt;"",IF(A125&lt;='Current Loan'!$B$7*12,'Current Loan'!$B$9/12,0),"")</f>
        <v>35</v>
      </c>
      <c r="D125" s="15">
        <f>IF(A125&lt;&gt;"",IF(A125&lt;='Proposed Loan'!$B$6*12,'Proposed Loan'!$B$17,0),"")</f>
        <v>4187.9591096558606</v>
      </c>
      <c r="E125" s="15">
        <f>IF(A125&lt;&gt;"",IF(A125&lt;='Proposed Loan'!$B$6*12,'Proposed Loan'!$B$13/12,0),"")</f>
        <v>25</v>
      </c>
      <c r="F125" s="15">
        <f t="shared" si="3"/>
        <v>210.88743910381709</v>
      </c>
      <c r="G125" s="15">
        <f t="shared" si="5"/>
        <v>23545.60525335429</v>
      </c>
      <c r="H125" s="14">
        <f t="shared" si="4"/>
        <v>1</v>
      </c>
    </row>
    <row r="126" spans="1:8" ht="21" customHeight="1">
      <c r="A126" s="14">
        <f>IF(AND('Current Loan'!$B$13,120&lt;=MAX('Current Loan'!B7,'Proposed Loan'!B6)*12),120,"")</f>
        <v>120</v>
      </c>
      <c r="B126" s="15">
        <f>IF(A126&lt;&gt;"",IF(A126&lt;='Current Loan'!$B$7*12,'Current Loan'!$B$17,0),"")</f>
        <v>4388.8465487596777</v>
      </c>
      <c r="C126" s="15">
        <f>IF(A126&lt;&gt;"",IF(A126&lt;='Current Loan'!$B$7*12,'Current Loan'!$B$9/12,0),"")</f>
        <v>35</v>
      </c>
      <c r="D126" s="15">
        <f>IF(A126&lt;&gt;"",IF(A126&lt;='Proposed Loan'!$B$6*12,'Proposed Loan'!$B$17,0),"")</f>
        <v>4187.9591096558606</v>
      </c>
      <c r="E126" s="15">
        <f>IF(A126&lt;&gt;"",IF(A126&lt;='Proposed Loan'!$B$6*12,'Proposed Loan'!$B$13/12,0),"")</f>
        <v>25</v>
      </c>
      <c r="F126" s="15">
        <f t="shared" si="3"/>
        <v>210.88743910381709</v>
      </c>
      <c r="G126" s="15">
        <f t="shared" si="5"/>
        <v>23756.492692458109</v>
      </c>
      <c r="H126" s="14">
        <f t="shared" si="4"/>
        <v>1</v>
      </c>
    </row>
    <row r="127" spans="1:8" ht="21" customHeight="1">
      <c r="A127" s="14">
        <f>IF(AND('Current Loan'!$B$13,121&lt;=MAX('Current Loan'!B7,'Proposed Loan'!B6)*12),121,"")</f>
        <v>121</v>
      </c>
      <c r="B127" s="15">
        <f>IF(A127&lt;&gt;"",IF(A127&lt;='Current Loan'!$B$7*12,'Current Loan'!$B$17,0),"")</f>
        <v>4388.8465487596777</v>
      </c>
      <c r="C127" s="15">
        <f>IF(A127&lt;&gt;"",IF(A127&lt;='Current Loan'!$B$7*12,'Current Loan'!$B$9/12,0),"")</f>
        <v>35</v>
      </c>
      <c r="D127" s="15">
        <f>IF(A127&lt;&gt;"",IF(A127&lt;='Proposed Loan'!$B$6*12,'Proposed Loan'!$B$17,0),"")</f>
        <v>4187.9591096558606</v>
      </c>
      <c r="E127" s="15">
        <f>IF(A127&lt;&gt;"",IF(A127&lt;='Proposed Loan'!$B$6*12,'Proposed Loan'!$B$13/12,0),"")</f>
        <v>25</v>
      </c>
      <c r="F127" s="15">
        <f t="shared" si="3"/>
        <v>210.88743910381709</v>
      </c>
      <c r="G127" s="15">
        <f t="shared" si="5"/>
        <v>23967.380131561928</v>
      </c>
      <c r="H127" s="14">
        <f t="shared" si="4"/>
        <v>1</v>
      </c>
    </row>
    <row r="128" spans="1:8" ht="21" customHeight="1">
      <c r="A128" s="14">
        <f>IF(AND('Current Loan'!$B$13,122&lt;=MAX('Current Loan'!B7,'Proposed Loan'!B6)*12),122,"")</f>
        <v>122</v>
      </c>
      <c r="B128" s="15">
        <f>IF(A128&lt;&gt;"",IF(A128&lt;='Current Loan'!$B$7*12,'Current Loan'!$B$17,0),"")</f>
        <v>4388.8465487596777</v>
      </c>
      <c r="C128" s="15">
        <f>IF(A128&lt;&gt;"",IF(A128&lt;='Current Loan'!$B$7*12,'Current Loan'!$B$9/12,0),"")</f>
        <v>35</v>
      </c>
      <c r="D128" s="15">
        <f>IF(A128&lt;&gt;"",IF(A128&lt;='Proposed Loan'!$B$6*12,'Proposed Loan'!$B$17,0),"")</f>
        <v>4187.9591096558606</v>
      </c>
      <c r="E128" s="15">
        <f>IF(A128&lt;&gt;"",IF(A128&lt;='Proposed Loan'!$B$6*12,'Proposed Loan'!$B$13/12,0),"")</f>
        <v>25</v>
      </c>
      <c r="F128" s="15">
        <f t="shared" si="3"/>
        <v>210.88743910381709</v>
      </c>
      <c r="G128" s="15">
        <f t="shared" si="5"/>
        <v>24178.267570665746</v>
      </c>
      <c r="H128" s="14">
        <f t="shared" si="4"/>
        <v>1</v>
      </c>
    </row>
    <row r="129" spans="1:8" ht="21" customHeight="1">
      <c r="A129" s="14">
        <f>IF(AND('Current Loan'!$B$13,123&lt;=MAX('Current Loan'!B7,'Proposed Loan'!B6)*12),123,"")</f>
        <v>123</v>
      </c>
      <c r="B129" s="15">
        <f>IF(A129&lt;&gt;"",IF(A129&lt;='Current Loan'!$B$7*12,'Current Loan'!$B$17,0),"")</f>
        <v>4388.8465487596777</v>
      </c>
      <c r="C129" s="15">
        <f>IF(A129&lt;&gt;"",IF(A129&lt;='Current Loan'!$B$7*12,'Current Loan'!$B$9/12,0),"")</f>
        <v>35</v>
      </c>
      <c r="D129" s="15">
        <f>IF(A129&lt;&gt;"",IF(A129&lt;='Proposed Loan'!$B$6*12,'Proposed Loan'!$B$17,0),"")</f>
        <v>4187.9591096558606</v>
      </c>
      <c r="E129" s="15">
        <f>IF(A129&lt;&gt;"",IF(A129&lt;='Proposed Loan'!$B$6*12,'Proposed Loan'!$B$13/12,0),"")</f>
        <v>25</v>
      </c>
      <c r="F129" s="15">
        <f t="shared" si="3"/>
        <v>210.88743910381709</v>
      </c>
      <c r="G129" s="15">
        <f t="shared" si="5"/>
        <v>24389.155009769565</v>
      </c>
      <c r="H129" s="14">
        <f t="shared" si="4"/>
        <v>1</v>
      </c>
    </row>
    <row r="130" spans="1:8" ht="21" customHeight="1">
      <c r="A130" s="14">
        <f>IF(AND('Current Loan'!$B$13,124&lt;=MAX('Current Loan'!B7,'Proposed Loan'!B6)*12),124,"")</f>
        <v>124</v>
      </c>
      <c r="B130" s="15">
        <f>IF(A130&lt;&gt;"",IF(A130&lt;='Current Loan'!$B$7*12,'Current Loan'!$B$17,0),"")</f>
        <v>4388.8465487596777</v>
      </c>
      <c r="C130" s="15">
        <f>IF(A130&lt;&gt;"",IF(A130&lt;='Current Loan'!$B$7*12,'Current Loan'!$B$9/12,0),"")</f>
        <v>35</v>
      </c>
      <c r="D130" s="15">
        <f>IF(A130&lt;&gt;"",IF(A130&lt;='Proposed Loan'!$B$6*12,'Proposed Loan'!$B$17,0),"")</f>
        <v>4187.9591096558606</v>
      </c>
      <c r="E130" s="15">
        <f>IF(A130&lt;&gt;"",IF(A130&lt;='Proposed Loan'!$B$6*12,'Proposed Loan'!$B$13/12,0),"")</f>
        <v>25</v>
      </c>
      <c r="F130" s="15">
        <f t="shared" si="3"/>
        <v>210.88743910381709</v>
      </c>
      <c r="G130" s="15">
        <f t="shared" si="5"/>
        <v>24600.042448873384</v>
      </c>
      <c r="H130" s="14">
        <f t="shared" si="4"/>
        <v>1</v>
      </c>
    </row>
    <row r="131" spans="1:8" ht="21" customHeight="1">
      <c r="A131" s="14">
        <f>IF(AND('Current Loan'!$B$13,125&lt;=MAX('Current Loan'!B7,'Proposed Loan'!B6)*12),125,"")</f>
        <v>125</v>
      </c>
      <c r="B131" s="15">
        <f>IF(A131&lt;&gt;"",IF(A131&lt;='Current Loan'!$B$7*12,'Current Loan'!$B$17,0),"")</f>
        <v>4388.8465487596777</v>
      </c>
      <c r="C131" s="15">
        <f>IF(A131&lt;&gt;"",IF(A131&lt;='Current Loan'!$B$7*12,'Current Loan'!$B$9/12,0),"")</f>
        <v>35</v>
      </c>
      <c r="D131" s="15">
        <f>IF(A131&lt;&gt;"",IF(A131&lt;='Proposed Loan'!$B$6*12,'Proposed Loan'!$B$17,0),"")</f>
        <v>4187.9591096558606</v>
      </c>
      <c r="E131" s="15">
        <f>IF(A131&lt;&gt;"",IF(A131&lt;='Proposed Loan'!$B$6*12,'Proposed Loan'!$B$13/12,0),"")</f>
        <v>25</v>
      </c>
      <c r="F131" s="15">
        <f t="shared" si="3"/>
        <v>210.88743910381709</v>
      </c>
      <c r="G131" s="15">
        <f t="shared" si="5"/>
        <v>24810.929887977203</v>
      </c>
      <c r="H131" s="14">
        <f t="shared" si="4"/>
        <v>1</v>
      </c>
    </row>
    <row r="132" spans="1:8" ht="21" customHeight="1">
      <c r="A132" s="14">
        <f>IF(AND('Current Loan'!$B$13,126&lt;=MAX('Current Loan'!B7,'Proposed Loan'!B6)*12),126,"")</f>
        <v>126</v>
      </c>
      <c r="B132" s="15">
        <f>IF(A132&lt;&gt;"",IF(A132&lt;='Current Loan'!$B$7*12,'Current Loan'!$B$17,0),"")</f>
        <v>4388.8465487596777</v>
      </c>
      <c r="C132" s="15">
        <f>IF(A132&lt;&gt;"",IF(A132&lt;='Current Loan'!$B$7*12,'Current Loan'!$B$9/12,0),"")</f>
        <v>35</v>
      </c>
      <c r="D132" s="15">
        <f>IF(A132&lt;&gt;"",IF(A132&lt;='Proposed Loan'!$B$6*12,'Proposed Loan'!$B$17,0),"")</f>
        <v>4187.9591096558606</v>
      </c>
      <c r="E132" s="15">
        <f>IF(A132&lt;&gt;"",IF(A132&lt;='Proposed Loan'!$B$6*12,'Proposed Loan'!$B$13/12,0),"")</f>
        <v>25</v>
      </c>
      <c r="F132" s="15">
        <f t="shared" si="3"/>
        <v>210.88743910381709</v>
      </c>
      <c r="G132" s="15">
        <f t="shared" si="5"/>
        <v>25021.817327081022</v>
      </c>
      <c r="H132" s="14">
        <f t="shared" si="4"/>
        <v>1</v>
      </c>
    </row>
    <row r="133" spans="1:8" ht="21" customHeight="1">
      <c r="A133" s="14">
        <f>IF(AND('Current Loan'!$B$13,127&lt;=MAX('Current Loan'!B7,'Proposed Loan'!B6)*12),127,"")</f>
        <v>127</v>
      </c>
      <c r="B133" s="15">
        <f>IF(A133&lt;&gt;"",IF(A133&lt;='Current Loan'!$B$7*12,'Current Loan'!$B$17,0),"")</f>
        <v>4388.8465487596777</v>
      </c>
      <c r="C133" s="15">
        <f>IF(A133&lt;&gt;"",IF(A133&lt;='Current Loan'!$B$7*12,'Current Loan'!$B$9/12,0),"")</f>
        <v>35</v>
      </c>
      <c r="D133" s="15">
        <f>IF(A133&lt;&gt;"",IF(A133&lt;='Proposed Loan'!$B$6*12,'Proposed Loan'!$B$17,0),"")</f>
        <v>4187.9591096558606</v>
      </c>
      <c r="E133" s="15">
        <f>IF(A133&lt;&gt;"",IF(A133&lt;='Proposed Loan'!$B$6*12,'Proposed Loan'!$B$13/12,0),"")</f>
        <v>25</v>
      </c>
      <c r="F133" s="15">
        <f t="shared" si="3"/>
        <v>210.88743910381709</v>
      </c>
      <c r="G133" s="15">
        <f t="shared" si="5"/>
        <v>25232.704766184841</v>
      </c>
      <c r="H133" s="14">
        <f t="shared" si="4"/>
        <v>1</v>
      </c>
    </row>
    <row r="134" spans="1:8" ht="21" customHeight="1">
      <c r="A134" s="14">
        <f>IF(AND('Current Loan'!$B$13,128&lt;=MAX('Current Loan'!B7,'Proposed Loan'!B6)*12),128,"")</f>
        <v>128</v>
      </c>
      <c r="B134" s="15">
        <f>IF(A134&lt;&gt;"",IF(A134&lt;='Current Loan'!$B$7*12,'Current Loan'!$B$17,0),"")</f>
        <v>4388.8465487596777</v>
      </c>
      <c r="C134" s="15">
        <f>IF(A134&lt;&gt;"",IF(A134&lt;='Current Loan'!$B$7*12,'Current Loan'!$B$9/12,0),"")</f>
        <v>35</v>
      </c>
      <c r="D134" s="15">
        <f>IF(A134&lt;&gt;"",IF(A134&lt;='Proposed Loan'!$B$6*12,'Proposed Loan'!$B$17,0),"")</f>
        <v>4187.9591096558606</v>
      </c>
      <c r="E134" s="15">
        <f>IF(A134&lt;&gt;"",IF(A134&lt;='Proposed Loan'!$B$6*12,'Proposed Loan'!$B$13/12,0),"")</f>
        <v>25</v>
      </c>
      <c r="F134" s="15">
        <f t="shared" si="3"/>
        <v>210.88743910381709</v>
      </c>
      <c r="G134" s="15">
        <f t="shared" si="5"/>
        <v>25443.59220528866</v>
      </c>
      <c r="H134" s="14">
        <f t="shared" si="4"/>
        <v>1</v>
      </c>
    </row>
    <row r="135" spans="1:8" ht="21" customHeight="1">
      <c r="A135" s="14">
        <f>IF(AND('Current Loan'!$B$13,129&lt;=MAX('Current Loan'!B7,'Proposed Loan'!B6)*12),129,"")</f>
        <v>129</v>
      </c>
      <c r="B135" s="15">
        <f>IF(A135&lt;&gt;"",IF(A135&lt;='Current Loan'!$B$7*12,'Current Loan'!$B$17,0),"")</f>
        <v>4388.8465487596777</v>
      </c>
      <c r="C135" s="15">
        <f>IF(A135&lt;&gt;"",IF(A135&lt;='Current Loan'!$B$7*12,'Current Loan'!$B$9/12,0),"")</f>
        <v>35</v>
      </c>
      <c r="D135" s="15">
        <f>IF(A135&lt;&gt;"",IF(A135&lt;='Proposed Loan'!$B$6*12,'Proposed Loan'!$B$17,0),"")</f>
        <v>4187.9591096558606</v>
      </c>
      <c r="E135" s="15">
        <f>IF(A135&lt;&gt;"",IF(A135&lt;='Proposed Loan'!$B$6*12,'Proposed Loan'!$B$13/12,0),"")</f>
        <v>25</v>
      </c>
      <c r="F135" s="15">
        <f t="shared" ref="F135:F198" si="6">IF(A135&lt;&gt;"",SUM(B135:C135)-SUM(D135:E135),"")</f>
        <v>210.88743910381709</v>
      </c>
      <c r="G135" s="15">
        <f t="shared" si="5"/>
        <v>25654.479644392479</v>
      </c>
      <c r="H135" s="14">
        <f t="shared" ref="H135:H198" si="7">IF(A135&lt;&gt;"",IF(G135&gt;=0,1,0),"")</f>
        <v>1</v>
      </c>
    </row>
    <row r="136" spans="1:8" ht="21" customHeight="1">
      <c r="A136" s="14">
        <f>IF(AND('Current Loan'!$B$13,130&lt;=MAX('Current Loan'!B7,'Proposed Loan'!B6)*12),130,"")</f>
        <v>130</v>
      </c>
      <c r="B136" s="15">
        <f>IF(A136&lt;&gt;"",IF(A136&lt;='Current Loan'!$B$7*12,'Current Loan'!$B$17,0),"")</f>
        <v>4388.8465487596777</v>
      </c>
      <c r="C136" s="15">
        <f>IF(A136&lt;&gt;"",IF(A136&lt;='Current Loan'!$B$7*12,'Current Loan'!$B$9/12,0),"")</f>
        <v>35</v>
      </c>
      <c r="D136" s="15">
        <f>IF(A136&lt;&gt;"",IF(A136&lt;='Proposed Loan'!$B$6*12,'Proposed Loan'!$B$17,0),"")</f>
        <v>4187.9591096558606</v>
      </c>
      <c r="E136" s="15">
        <f>IF(A136&lt;&gt;"",IF(A136&lt;='Proposed Loan'!$B$6*12,'Proposed Loan'!$B$13/12,0),"")</f>
        <v>25</v>
      </c>
      <c r="F136" s="15">
        <f t="shared" si="6"/>
        <v>210.88743910381709</v>
      </c>
      <c r="G136" s="15">
        <f t="shared" ref="G136:G199" si="8">IF(A136&lt;&gt;"",G135+F136,"")</f>
        <v>25865.367083496298</v>
      </c>
      <c r="H136" s="14">
        <f t="shared" si="7"/>
        <v>1</v>
      </c>
    </row>
    <row r="137" spans="1:8" ht="21" customHeight="1">
      <c r="A137" s="14">
        <f>IF(AND('Current Loan'!$B$13,131&lt;=MAX('Current Loan'!B7,'Proposed Loan'!B6)*12),131,"")</f>
        <v>131</v>
      </c>
      <c r="B137" s="15">
        <f>IF(A137&lt;&gt;"",IF(A137&lt;='Current Loan'!$B$7*12,'Current Loan'!$B$17,0),"")</f>
        <v>4388.8465487596777</v>
      </c>
      <c r="C137" s="15">
        <f>IF(A137&lt;&gt;"",IF(A137&lt;='Current Loan'!$B$7*12,'Current Loan'!$B$9/12,0),"")</f>
        <v>35</v>
      </c>
      <c r="D137" s="15">
        <f>IF(A137&lt;&gt;"",IF(A137&lt;='Proposed Loan'!$B$6*12,'Proposed Loan'!$B$17,0),"")</f>
        <v>4187.9591096558606</v>
      </c>
      <c r="E137" s="15">
        <f>IF(A137&lt;&gt;"",IF(A137&lt;='Proposed Loan'!$B$6*12,'Proposed Loan'!$B$13/12,0),"")</f>
        <v>25</v>
      </c>
      <c r="F137" s="15">
        <f t="shared" si="6"/>
        <v>210.88743910381709</v>
      </c>
      <c r="G137" s="15">
        <f t="shared" si="8"/>
        <v>26076.254522600117</v>
      </c>
      <c r="H137" s="14">
        <f t="shared" si="7"/>
        <v>1</v>
      </c>
    </row>
    <row r="138" spans="1:8" ht="21" customHeight="1">
      <c r="A138" s="14">
        <f>IF(AND('Current Loan'!$B$13,132&lt;=MAX('Current Loan'!B7,'Proposed Loan'!B6)*12),132,"")</f>
        <v>132</v>
      </c>
      <c r="B138" s="15">
        <f>IF(A138&lt;&gt;"",IF(A138&lt;='Current Loan'!$B$7*12,'Current Loan'!$B$17,0),"")</f>
        <v>4388.8465487596777</v>
      </c>
      <c r="C138" s="15">
        <f>IF(A138&lt;&gt;"",IF(A138&lt;='Current Loan'!$B$7*12,'Current Loan'!$B$9/12,0),"")</f>
        <v>35</v>
      </c>
      <c r="D138" s="15">
        <f>IF(A138&lt;&gt;"",IF(A138&lt;='Proposed Loan'!$B$6*12,'Proposed Loan'!$B$17,0),"")</f>
        <v>4187.9591096558606</v>
      </c>
      <c r="E138" s="15">
        <f>IF(A138&lt;&gt;"",IF(A138&lt;='Proposed Loan'!$B$6*12,'Proposed Loan'!$B$13/12,0),"")</f>
        <v>25</v>
      </c>
      <c r="F138" s="15">
        <f t="shared" si="6"/>
        <v>210.88743910381709</v>
      </c>
      <c r="G138" s="15">
        <f t="shared" si="8"/>
        <v>26287.141961703936</v>
      </c>
      <c r="H138" s="14">
        <f t="shared" si="7"/>
        <v>1</v>
      </c>
    </row>
    <row r="139" spans="1:8" ht="21" customHeight="1">
      <c r="A139" s="14">
        <f>IF(AND('Current Loan'!$B$13,133&lt;=MAX('Current Loan'!B7,'Proposed Loan'!B6)*12),133,"")</f>
        <v>133</v>
      </c>
      <c r="B139" s="15">
        <f>IF(A139&lt;&gt;"",IF(A139&lt;='Current Loan'!$B$7*12,'Current Loan'!$B$17,0),"")</f>
        <v>4388.8465487596777</v>
      </c>
      <c r="C139" s="15">
        <f>IF(A139&lt;&gt;"",IF(A139&lt;='Current Loan'!$B$7*12,'Current Loan'!$B$9/12,0),"")</f>
        <v>35</v>
      </c>
      <c r="D139" s="15">
        <f>IF(A139&lt;&gt;"",IF(A139&lt;='Proposed Loan'!$B$6*12,'Proposed Loan'!$B$17,0),"")</f>
        <v>4187.9591096558606</v>
      </c>
      <c r="E139" s="15">
        <f>IF(A139&lt;&gt;"",IF(A139&lt;='Proposed Loan'!$B$6*12,'Proposed Loan'!$B$13/12,0),"")</f>
        <v>25</v>
      </c>
      <c r="F139" s="15">
        <f t="shared" si="6"/>
        <v>210.88743910381709</v>
      </c>
      <c r="G139" s="15">
        <f t="shared" si="8"/>
        <v>26498.029400807754</v>
      </c>
      <c r="H139" s="14">
        <f t="shared" si="7"/>
        <v>1</v>
      </c>
    </row>
    <row r="140" spans="1:8" ht="21" customHeight="1">
      <c r="A140" s="14">
        <f>IF(AND('Current Loan'!$B$13,134&lt;=MAX('Current Loan'!B7,'Proposed Loan'!B6)*12),134,"")</f>
        <v>134</v>
      </c>
      <c r="B140" s="15">
        <f>IF(A140&lt;&gt;"",IF(A140&lt;='Current Loan'!$B$7*12,'Current Loan'!$B$17,0),"")</f>
        <v>4388.8465487596777</v>
      </c>
      <c r="C140" s="15">
        <f>IF(A140&lt;&gt;"",IF(A140&lt;='Current Loan'!$B$7*12,'Current Loan'!$B$9/12,0),"")</f>
        <v>35</v>
      </c>
      <c r="D140" s="15">
        <f>IF(A140&lt;&gt;"",IF(A140&lt;='Proposed Loan'!$B$6*12,'Proposed Loan'!$B$17,0),"")</f>
        <v>4187.9591096558606</v>
      </c>
      <c r="E140" s="15">
        <f>IF(A140&lt;&gt;"",IF(A140&lt;='Proposed Loan'!$B$6*12,'Proposed Loan'!$B$13/12,0),"")</f>
        <v>25</v>
      </c>
      <c r="F140" s="15">
        <f t="shared" si="6"/>
        <v>210.88743910381709</v>
      </c>
      <c r="G140" s="15">
        <f t="shared" si="8"/>
        <v>26708.916839911573</v>
      </c>
      <c r="H140" s="14">
        <f t="shared" si="7"/>
        <v>1</v>
      </c>
    </row>
    <row r="141" spans="1:8" ht="21" customHeight="1">
      <c r="A141" s="14">
        <f>IF(AND('Current Loan'!$B$13,135&lt;=MAX('Current Loan'!B7,'Proposed Loan'!B6)*12),135,"")</f>
        <v>135</v>
      </c>
      <c r="B141" s="15">
        <f>IF(A141&lt;&gt;"",IF(A141&lt;='Current Loan'!$B$7*12,'Current Loan'!$B$17,0),"")</f>
        <v>4388.8465487596777</v>
      </c>
      <c r="C141" s="15">
        <f>IF(A141&lt;&gt;"",IF(A141&lt;='Current Loan'!$B$7*12,'Current Loan'!$B$9/12,0),"")</f>
        <v>35</v>
      </c>
      <c r="D141" s="15">
        <f>IF(A141&lt;&gt;"",IF(A141&lt;='Proposed Loan'!$B$6*12,'Proposed Loan'!$B$17,0),"")</f>
        <v>4187.9591096558606</v>
      </c>
      <c r="E141" s="15">
        <f>IF(A141&lt;&gt;"",IF(A141&lt;='Proposed Loan'!$B$6*12,'Proposed Loan'!$B$13/12,0),"")</f>
        <v>25</v>
      </c>
      <c r="F141" s="15">
        <f t="shared" si="6"/>
        <v>210.88743910381709</v>
      </c>
      <c r="G141" s="15">
        <f t="shared" si="8"/>
        <v>26919.804279015392</v>
      </c>
      <c r="H141" s="14">
        <f t="shared" si="7"/>
        <v>1</v>
      </c>
    </row>
    <row r="142" spans="1:8" ht="21" customHeight="1">
      <c r="A142" s="14">
        <f>IF(AND('Current Loan'!$B$13,136&lt;=MAX('Current Loan'!B7,'Proposed Loan'!B6)*12),136,"")</f>
        <v>136</v>
      </c>
      <c r="B142" s="15">
        <f>IF(A142&lt;&gt;"",IF(A142&lt;='Current Loan'!$B$7*12,'Current Loan'!$B$17,0),"")</f>
        <v>4388.8465487596777</v>
      </c>
      <c r="C142" s="15">
        <f>IF(A142&lt;&gt;"",IF(A142&lt;='Current Loan'!$B$7*12,'Current Loan'!$B$9/12,0),"")</f>
        <v>35</v>
      </c>
      <c r="D142" s="15">
        <f>IF(A142&lt;&gt;"",IF(A142&lt;='Proposed Loan'!$B$6*12,'Proposed Loan'!$B$17,0),"")</f>
        <v>4187.9591096558606</v>
      </c>
      <c r="E142" s="15">
        <f>IF(A142&lt;&gt;"",IF(A142&lt;='Proposed Loan'!$B$6*12,'Proposed Loan'!$B$13/12,0),"")</f>
        <v>25</v>
      </c>
      <c r="F142" s="15">
        <f t="shared" si="6"/>
        <v>210.88743910381709</v>
      </c>
      <c r="G142" s="15">
        <f t="shared" si="8"/>
        <v>27130.691718119211</v>
      </c>
      <c r="H142" s="14">
        <f t="shared" si="7"/>
        <v>1</v>
      </c>
    </row>
    <row r="143" spans="1:8" ht="21" customHeight="1">
      <c r="A143" s="14">
        <f>IF(AND('Current Loan'!$B$13,137&lt;=MAX('Current Loan'!B7,'Proposed Loan'!B6)*12),137,"")</f>
        <v>137</v>
      </c>
      <c r="B143" s="15">
        <f>IF(A143&lt;&gt;"",IF(A143&lt;='Current Loan'!$B$7*12,'Current Loan'!$B$17,0),"")</f>
        <v>4388.8465487596777</v>
      </c>
      <c r="C143" s="15">
        <f>IF(A143&lt;&gt;"",IF(A143&lt;='Current Loan'!$B$7*12,'Current Loan'!$B$9/12,0),"")</f>
        <v>35</v>
      </c>
      <c r="D143" s="15">
        <f>IF(A143&lt;&gt;"",IF(A143&lt;='Proposed Loan'!$B$6*12,'Proposed Loan'!$B$17,0),"")</f>
        <v>4187.9591096558606</v>
      </c>
      <c r="E143" s="15">
        <f>IF(A143&lt;&gt;"",IF(A143&lt;='Proposed Loan'!$B$6*12,'Proposed Loan'!$B$13/12,0),"")</f>
        <v>25</v>
      </c>
      <c r="F143" s="15">
        <f t="shared" si="6"/>
        <v>210.88743910381709</v>
      </c>
      <c r="G143" s="15">
        <f t="shared" si="8"/>
        <v>27341.57915722303</v>
      </c>
      <c r="H143" s="14">
        <f t="shared" si="7"/>
        <v>1</v>
      </c>
    </row>
    <row r="144" spans="1:8" ht="21" customHeight="1">
      <c r="A144" s="14">
        <f>IF(AND('Current Loan'!$B$13,138&lt;=MAX('Current Loan'!B7,'Proposed Loan'!B6)*12),138,"")</f>
        <v>138</v>
      </c>
      <c r="B144" s="15">
        <f>IF(A144&lt;&gt;"",IF(A144&lt;='Current Loan'!$B$7*12,'Current Loan'!$B$17,0),"")</f>
        <v>4388.8465487596777</v>
      </c>
      <c r="C144" s="15">
        <f>IF(A144&lt;&gt;"",IF(A144&lt;='Current Loan'!$B$7*12,'Current Loan'!$B$9/12,0),"")</f>
        <v>35</v>
      </c>
      <c r="D144" s="15">
        <f>IF(A144&lt;&gt;"",IF(A144&lt;='Proposed Loan'!$B$6*12,'Proposed Loan'!$B$17,0),"")</f>
        <v>4187.9591096558606</v>
      </c>
      <c r="E144" s="15">
        <f>IF(A144&lt;&gt;"",IF(A144&lt;='Proposed Loan'!$B$6*12,'Proposed Loan'!$B$13/12,0),"")</f>
        <v>25</v>
      </c>
      <c r="F144" s="15">
        <f t="shared" si="6"/>
        <v>210.88743910381709</v>
      </c>
      <c r="G144" s="15">
        <f t="shared" si="8"/>
        <v>27552.466596326849</v>
      </c>
      <c r="H144" s="14">
        <f t="shared" si="7"/>
        <v>1</v>
      </c>
    </row>
    <row r="145" spans="1:8" ht="21" customHeight="1">
      <c r="A145" s="14">
        <f>IF(AND('Current Loan'!$B$13,139&lt;=MAX('Current Loan'!B7,'Proposed Loan'!B6)*12),139,"")</f>
        <v>139</v>
      </c>
      <c r="B145" s="15">
        <f>IF(A145&lt;&gt;"",IF(A145&lt;='Current Loan'!$B$7*12,'Current Loan'!$B$17,0),"")</f>
        <v>4388.8465487596777</v>
      </c>
      <c r="C145" s="15">
        <f>IF(A145&lt;&gt;"",IF(A145&lt;='Current Loan'!$B$7*12,'Current Loan'!$B$9/12,0),"")</f>
        <v>35</v>
      </c>
      <c r="D145" s="15">
        <f>IF(A145&lt;&gt;"",IF(A145&lt;='Proposed Loan'!$B$6*12,'Proposed Loan'!$B$17,0),"")</f>
        <v>4187.9591096558606</v>
      </c>
      <c r="E145" s="15">
        <f>IF(A145&lt;&gt;"",IF(A145&lt;='Proposed Loan'!$B$6*12,'Proposed Loan'!$B$13/12,0),"")</f>
        <v>25</v>
      </c>
      <c r="F145" s="15">
        <f t="shared" si="6"/>
        <v>210.88743910381709</v>
      </c>
      <c r="G145" s="15">
        <f t="shared" si="8"/>
        <v>27763.354035430668</v>
      </c>
      <c r="H145" s="14">
        <f t="shared" si="7"/>
        <v>1</v>
      </c>
    </row>
    <row r="146" spans="1:8" ht="21" customHeight="1">
      <c r="A146" s="14">
        <f>IF(AND('Current Loan'!$B$13,140&lt;=MAX('Current Loan'!B7,'Proposed Loan'!B6)*12),140,"")</f>
        <v>140</v>
      </c>
      <c r="B146" s="15">
        <f>IF(A146&lt;&gt;"",IF(A146&lt;='Current Loan'!$B$7*12,'Current Loan'!$B$17,0),"")</f>
        <v>4388.8465487596777</v>
      </c>
      <c r="C146" s="15">
        <f>IF(A146&lt;&gt;"",IF(A146&lt;='Current Loan'!$B$7*12,'Current Loan'!$B$9/12,0),"")</f>
        <v>35</v>
      </c>
      <c r="D146" s="15">
        <f>IF(A146&lt;&gt;"",IF(A146&lt;='Proposed Loan'!$B$6*12,'Proposed Loan'!$B$17,0),"")</f>
        <v>4187.9591096558606</v>
      </c>
      <c r="E146" s="15">
        <f>IF(A146&lt;&gt;"",IF(A146&lt;='Proposed Loan'!$B$6*12,'Proposed Loan'!$B$13/12,0),"")</f>
        <v>25</v>
      </c>
      <c r="F146" s="15">
        <f t="shared" si="6"/>
        <v>210.88743910381709</v>
      </c>
      <c r="G146" s="15">
        <f t="shared" si="8"/>
        <v>27974.241474534487</v>
      </c>
      <c r="H146" s="14">
        <f t="shared" si="7"/>
        <v>1</v>
      </c>
    </row>
    <row r="147" spans="1:8" ht="21" customHeight="1">
      <c r="A147" s="14">
        <f>IF(AND('Current Loan'!$B$13,141&lt;=MAX('Current Loan'!B7,'Proposed Loan'!B6)*12),141,"")</f>
        <v>141</v>
      </c>
      <c r="B147" s="15">
        <f>IF(A147&lt;&gt;"",IF(A147&lt;='Current Loan'!$B$7*12,'Current Loan'!$B$17,0),"")</f>
        <v>4388.8465487596777</v>
      </c>
      <c r="C147" s="15">
        <f>IF(A147&lt;&gt;"",IF(A147&lt;='Current Loan'!$B$7*12,'Current Loan'!$B$9/12,0),"")</f>
        <v>35</v>
      </c>
      <c r="D147" s="15">
        <f>IF(A147&lt;&gt;"",IF(A147&lt;='Proposed Loan'!$B$6*12,'Proposed Loan'!$B$17,0),"")</f>
        <v>4187.9591096558606</v>
      </c>
      <c r="E147" s="15">
        <f>IF(A147&lt;&gt;"",IF(A147&lt;='Proposed Loan'!$B$6*12,'Proposed Loan'!$B$13/12,0),"")</f>
        <v>25</v>
      </c>
      <c r="F147" s="15">
        <f t="shared" si="6"/>
        <v>210.88743910381709</v>
      </c>
      <c r="G147" s="15">
        <f t="shared" si="8"/>
        <v>28185.128913638306</v>
      </c>
      <c r="H147" s="14">
        <f t="shared" si="7"/>
        <v>1</v>
      </c>
    </row>
    <row r="148" spans="1:8" ht="21" customHeight="1">
      <c r="A148" s="14">
        <f>IF(AND('Current Loan'!$B$13,142&lt;=MAX('Current Loan'!B7,'Proposed Loan'!B6)*12),142,"")</f>
        <v>142</v>
      </c>
      <c r="B148" s="15">
        <f>IF(A148&lt;&gt;"",IF(A148&lt;='Current Loan'!$B$7*12,'Current Loan'!$B$17,0),"")</f>
        <v>4388.8465487596777</v>
      </c>
      <c r="C148" s="15">
        <f>IF(A148&lt;&gt;"",IF(A148&lt;='Current Loan'!$B$7*12,'Current Loan'!$B$9/12,0),"")</f>
        <v>35</v>
      </c>
      <c r="D148" s="15">
        <f>IF(A148&lt;&gt;"",IF(A148&lt;='Proposed Loan'!$B$6*12,'Proposed Loan'!$B$17,0),"")</f>
        <v>4187.9591096558606</v>
      </c>
      <c r="E148" s="15">
        <f>IF(A148&lt;&gt;"",IF(A148&lt;='Proposed Loan'!$B$6*12,'Proposed Loan'!$B$13/12,0),"")</f>
        <v>25</v>
      </c>
      <c r="F148" s="15">
        <f t="shared" si="6"/>
        <v>210.88743910381709</v>
      </c>
      <c r="G148" s="15">
        <f t="shared" si="8"/>
        <v>28396.016352742125</v>
      </c>
      <c r="H148" s="14">
        <f t="shared" si="7"/>
        <v>1</v>
      </c>
    </row>
    <row r="149" spans="1:8" ht="21" customHeight="1">
      <c r="A149" s="14">
        <f>IF(AND('Current Loan'!$B$13,143&lt;=MAX('Current Loan'!B7,'Proposed Loan'!B6)*12),143,"")</f>
        <v>143</v>
      </c>
      <c r="B149" s="15">
        <f>IF(A149&lt;&gt;"",IF(A149&lt;='Current Loan'!$B$7*12,'Current Loan'!$B$17,0),"")</f>
        <v>4388.8465487596777</v>
      </c>
      <c r="C149" s="15">
        <f>IF(A149&lt;&gt;"",IF(A149&lt;='Current Loan'!$B$7*12,'Current Loan'!$B$9/12,0),"")</f>
        <v>35</v>
      </c>
      <c r="D149" s="15">
        <f>IF(A149&lt;&gt;"",IF(A149&lt;='Proposed Loan'!$B$6*12,'Proposed Loan'!$B$17,0),"")</f>
        <v>4187.9591096558606</v>
      </c>
      <c r="E149" s="15">
        <f>IF(A149&lt;&gt;"",IF(A149&lt;='Proposed Loan'!$B$6*12,'Proposed Loan'!$B$13/12,0),"")</f>
        <v>25</v>
      </c>
      <c r="F149" s="15">
        <f t="shared" si="6"/>
        <v>210.88743910381709</v>
      </c>
      <c r="G149" s="15">
        <f t="shared" si="8"/>
        <v>28606.903791845943</v>
      </c>
      <c r="H149" s="14">
        <f t="shared" si="7"/>
        <v>1</v>
      </c>
    </row>
    <row r="150" spans="1:8" ht="21" customHeight="1">
      <c r="A150" s="14">
        <f>IF(AND('Current Loan'!$B$13,144&lt;=MAX('Current Loan'!B7,'Proposed Loan'!B6)*12),144,"")</f>
        <v>144</v>
      </c>
      <c r="B150" s="15">
        <f>IF(A150&lt;&gt;"",IF(A150&lt;='Current Loan'!$B$7*12,'Current Loan'!$B$17,0),"")</f>
        <v>4388.8465487596777</v>
      </c>
      <c r="C150" s="15">
        <f>IF(A150&lt;&gt;"",IF(A150&lt;='Current Loan'!$B$7*12,'Current Loan'!$B$9/12,0),"")</f>
        <v>35</v>
      </c>
      <c r="D150" s="15">
        <f>IF(A150&lt;&gt;"",IF(A150&lt;='Proposed Loan'!$B$6*12,'Proposed Loan'!$B$17,0),"")</f>
        <v>4187.9591096558606</v>
      </c>
      <c r="E150" s="15">
        <f>IF(A150&lt;&gt;"",IF(A150&lt;='Proposed Loan'!$B$6*12,'Proposed Loan'!$B$13/12,0),"")</f>
        <v>25</v>
      </c>
      <c r="F150" s="15">
        <f t="shared" si="6"/>
        <v>210.88743910381709</v>
      </c>
      <c r="G150" s="15">
        <f t="shared" si="8"/>
        <v>28817.791230949762</v>
      </c>
      <c r="H150" s="14">
        <f t="shared" si="7"/>
        <v>1</v>
      </c>
    </row>
    <row r="151" spans="1:8" ht="21" customHeight="1">
      <c r="A151" s="14">
        <f>IF(AND('Current Loan'!$B$13,145&lt;=MAX('Current Loan'!B7,'Proposed Loan'!B6)*12),145,"")</f>
        <v>145</v>
      </c>
      <c r="B151" s="15">
        <f>IF(A151&lt;&gt;"",IF(A151&lt;='Current Loan'!$B$7*12,'Current Loan'!$B$17,0),"")</f>
        <v>4388.8465487596777</v>
      </c>
      <c r="C151" s="15">
        <f>IF(A151&lt;&gt;"",IF(A151&lt;='Current Loan'!$B$7*12,'Current Loan'!$B$9/12,0),"")</f>
        <v>35</v>
      </c>
      <c r="D151" s="15">
        <f>IF(A151&lt;&gt;"",IF(A151&lt;='Proposed Loan'!$B$6*12,'Proposed Loan'!$B$17,0),"")</f>
        <v>4187.9591096558606</v>
      </c>
      <c r="E151" s="15">
        <f>IF(A151&lt;&gt;"",IF(A151&lt;='Proposed Loan'!$B$6*12,'Proposed Loan'!$B$13/12,0),"")</f>
        <v>25</v>
      </c>
      <c r="F151" s="15">
        <f t="shared" si="6"/>
        <v>210.88743910381709</v>
      </c>
      <c r="G151" s="15">
        <f t="shared" si="8"/>
        <v>29028.678670053581</v>
      </c>
      <c r="H151" s="14">
        <f t="shared" si="7"/>
        <v>1</v>
      </c>
    </row>
    <row r="152" spans="1:8" ht="21" customHeight="1">
      <c r="A152" s="14">
        <f>IF(AND('Current Loan'!$B$13,146&lt;=MAX('Current Loan'!B7,'Proposed Loan'!B6)*12),146,"")</f>
        <v>146</v>
      </c>
      <c r="B152" s="15">
        <f>IF(A152&lt;&gt;"",IF(A152&lt;='Current Loan'!$B$7*12,'Current Loan'!$B$17,0),"")</f>
        <v>4388.8465487596777</v>
      </c>
      <c r="C152" s="15">
        <f>IF(A152&lt;&gt;"",IF(A152&lt;='Current Loan'!$B$7*12,'Current Loan'!$B$9/12,0),"")</f>
        <v>35</v>
      </c>
      <c r="D152" s="15">
        <f>IF(A152&lt;&gt;"",IF(A152&lt;='Proposed Loan'!$B$6*12,'Proposed Loan'!$B$17,0),"")</f>
        <v>4187.9591096558606</v>
      </c>
      <c r="E152" s="15">
        <f>IF(A152&lt;&gt;"",IF(A152&lt;='Proposed Loan'!$B$6*12,'Proposed Loan'!$B$13/12,0),"")</f>
        <v>25</v>
      </c>
      <c r="F152" s="15">
        <f t="shared" si="6"/>
        <v>210.88743910381709</v>
      </c>
      <c r="G152" s="15">
        <f t="shared" si="8"/>
        <v>29239.5661091574</v>
      </c>
      <c r="H152" s="14">
        <f t="shared" si="7"/>
        <v>1</v>
      </c>
    </row>
    <row r="153" spans="1:8" ht="21" customHeight="1">
      <c r="A153" s="14">
        <f>IF(AND('Current Loan'!$B$13,147&lt;=MAX('Current Loan'!B7,'Proposed Loan'!B6)*12),147,"")</f>
        <v>147</v>
      </c>
      <c r="B153" s="15">
        <f>IF(A153&lt;&gt;"",IF(A153&lt;='Current Loan'!$B$7*12,'Current Loan'!$B$17,0),"")</f>
        <v>4388.8465487596777</v>
      </c>
      <c r="C153" s="15">
        <f>IF(A153&lt;&gt;"",IF(A153&lt;='Current Loan'!$B$7*12,'Current Loan'!$B$9/12,0),"")</f>
        <v>35</v>
      </c>
      <c r="D153" s="15">
        <f>IF(A153&lt;&gt;"",IF(A153&lt;='Proposed Loan'!$B$6*12,'Proposed Loan'!$B$17,0),"")</f>
        <v>4187.9591096558606</v>
      </c>
      <c r="E153" s="15">
        <f>IF(A153&lt;&gt;"",IF(A153&lt;='Proposed Loan'!$B$6*12,'Proposed Loan'!$B$13/12,0),"")</f>
        <v>25</v>
      </c>
      <c r="F153" s="15">
        <f t="shared" si="6"/>
        <v>210.88743910381709</v>
      </c>
      <c r="G153" s="15">
        <f t="shared" si="8"/>
        <v>29450.453548261219</v>
      </c>
      <c r="H153" s="14">
        <f t="shared" si="7"/>
        <v>1</v>
      </c>
    </row>
    <row r="154" spans="1:8" ht="21" customHeight="1">
      <c r="A154" s="14">
        <f>IF(AND('Current Loan'!$B$13,148&lt;=MAX('Current Loan'!B7,'Proposed Loan'!B6)*12),148,"")</f>
        <v>148</v>
      </c>
      <c r="B154" s="15">
        <f>IF(A154&lt;&gt;"",IF(A154&lt;='Current Loan'!$B$7*12,'Current Loan'!$B$17,0),"")</f>
        <v>4388.8465487596777</v>
      </c>
      <c r="C154" s="15">
        <f>IF(A154&lt;&gt;"",IF(A154&lt;='Current Loan'!$B$7*12,'Current Loan'!$B$9/12,0),"")</f>
        <v>35</v>
      </c>
      <c r="D154" s="15">
        <f>IF(A154&lt;&gt;"",IF(A154&lt;='Proposed Loan'!$B$6*12,'Proposed Loan'!$B$17,0),"")</f>
        <v>4187.9591096558606</v>
      </c>
      <c r="E154" s="15">
        <f>IF(A154&lt;&gt;"",IF(A154&lt;='Proposed Loan'!$B$6*12,'Proposed Loan'!$B$13/12,0),"")</f>
        <v>25</v>
      </c>
      <c r="F154" s="15">
        <f t="shared" si="6"/>
        <v>210.88743910381709</v>
      </c>
      <c r="G154" s="15">
        <f t="shared" si="8"/>
        <v>29661.340987365038</v>
      </c>
      <c r="H154" s="14">
        <f t="shared" si="7"/>
        <v>1</v>
      </c>
    </row>
    <row r="155" spans="1:8" ht="21" customHeight="1">
      <c r="A155" s="14">
        <f>IF(AND('Current Loan'!$B$13,149&lt;=MAX('Current Loan'!B7,'Proposed Loan'!B6)*12),149,"")</f>
        <v>149</v>
      </c>
      <c r="B155" s="15">
        <f>IF(A155&lt;&gt;"",IF(A155&lt;='Current Loan'!$B$7*12,'Current Loan'!$B$17,0),"")</f>
        <v>4388.8465487596777</v>
      </c>
      <c r="C155" s="15">
        <f>IF(A155&lt;&gt;"",IF(A155&lt;='Current Loan'!$B$7*12,'Current Loan'!$B$9/12,0),"")</f>
        <v>35</v>
      </c>
      <c r="D155" s="15">
        <f>IF(A155&lt;&gt;"",IF(A155&lt;='Proposed Loan'!$B$6*12,'Proposed Loan'!$B$17,0),"")</f>
        <v>4187.9591096558606</v>
      </c>
      <c r="E155" s="15">
        <f>IF(A155&lt;&gt;"",IF(A155&lt;='Proposed Loan'!$B$6*12,'Proposed Loan'!$B$13/12,0),"")</f>
        <v>25</v>
      </c>
      <c r="F155" s="15">
        <f t="shared" si="6"/>
        <v>210.88743910381709</v>
      </c>
      <c r="G155" s="15">
        <f t="shared" si="8"/>
        <v>29872.228426468857</v>
      </c>
      <c r="H155" s="14">
        <f t="shared" si="7"/>
        <v>1</v>
      </c>
    </row>
    <row r="156" spans="1:8" ht="21" customHeight="1">
      <c r="A156" s="14">
        <f>IF(AND('Current Loan'!$B$13,150&lt;=MAX('Current Loan'!B7,'Proposed Loan'!B6)*12),150,"")</f>
        <v>150</v>
      </c>
      <c r="B156" s="15">
        <f>IF(A156&lt;&gt;"",IF(A156&lt;='Current Loan'!$B$7*12,'Current Loan'!$B$17,0),"")</f>
        <v>4388.8465487596777</v>
      </c>
      <c r="C156" s="15">
        <f>IF(A156&lt;&gt;"",IF(A156&lt;='Current Loan'!$B$7*12,'Current Loan'!$B$9/12,0),"")</f>
        <v>35</v>
      </c>
      <c r="D156" s="15">
        <f>IF(A156&lt;&gt;"",IF(A156&lt;='Proposed Loan'!$B$6*12,'Proposed Loan'!$B$17,0),"")</f>
        <v>4187.9591096558606</v>
      </c>
      <c r="E156" s="15">
        <f>IF(A156&lt;&gt;"",IF(A156&lt;='Proposed Loan'!$B$6*12,'Proposed Loan'!$B$13/12,0),"")</f>
        <v>25</v>
      </c>
      <c r="F156" s="15">
        <f t="shared" si="6"/>
        <v>210.88743910381709</v>
      </c>
      <c r="G156" s="15">
        <f t="shared" si="8"/>
        <v>30083.115865572676</v>
      </c>
      <c r="H156" s="14">
        <f t="shared" si="7"/>
        <v>1</v>
      </c>
    </row>
    <row r="157" spans="1:8" ht="21" customHeight="1">
      <c r="A157" s="14">
        <f>IF(AND('Current Loan'!$B$13,151&lt;=MAX('Current Loan'!B7,'Proposed Loan'!B6)*12),151,"")</f>
        <v>151</v>
      </c>
      <c r="B157" s="15">
        <f>IF(A157&lt;&gt;"",IF(A157&lt;='Current Loan'!$B$7*12,'Current Loan'!$B$17,0),"")</f>
        <v>4388.8465487596777</v>
      </c>
      <c r="C157" s="15">
        <f>IF(A157&lt;&gt;"",IF(A157&lt;='Current Loan'!$B$7*12,'Current Loan'!$B$9/12,0),"")</f>
        <v>35</v>
      </c>
      <c r="D157" s="15">
        <f>IF(A157&lt;&gt;"",IF(A157&lt;='Proposed Loan'!$B$6*12,'Proposed Loan'!$B$17,0),"")</f>
        <v>4187.9591096558606</v>
      </c>
      <c r="E157" s="15">
        <f>IF(A157&lt;&gt;"",IF(A157&lt;='Proposed Loan'!$B$6*12,'Proposed Loan'!$B$13/12,0),"")</f>
        <v>25</v>
      </c>
      <c r="F157" s="15">
        <f t="shared" si="6"/>
        <v>210.88743910381709</v>
      </c>
      <c r="G157" s="15">
        <f t="shared" si="8"/>
        <v>30294.003304676495</v>
      </c>
      <c r="H157" s="14">
        <f t="shared" si="7"/>
        <v>1</v>
      </c>
    </row>
    <row r="158" spans="1:8" ht="21" customHeight="1">
      <c r="A158" s="14">
        <f>IF(AND('Current Loan'!$B$13,152&lt;=MAX('Current Loan'!B7,'Proposed Loan'!B6)*12),152,"")</f>
        <v>152</v>
      </c>
      <c r="B158" s="15">
        <f>IF(A158&lt;&gt;"",IF(A158&lt;='Current Loan'!$B$7*12,'Current Loan'!$B$17,0),"")</f>
        <v>4388.8465487596777</v>
      </c>
      <c r="C158" s="15">
        <f>IF(A158&lt;&gt;"",IF(A158&lt;='Current Loan'!$B$7*12,'Current Loan'!$B$9/12,0),"")</f>
        <v>35</v>
      </c>
      <c r="D158" s="15">
        <f>IF(A158&lt;&gt;"",IF(A158&lt;='Proposed Loan'!$B$6*12,'Proposed Loan'!$B$17,0),"")</f>
        <v>4187.9591096558606</v>
      </c>
      <c r="E158" s="15">
        <f>IF(A158&lt;&gt;"",IF(A158&lt;='Proposed Loan'!$B$6*12,'Proposed Loan'!$B$13/12,0),"")</f>
        <v>25</v>
      </c>
      <c r="F158" s="15">
        <f t="shared" si="6"/>
        <v>210.88743910381709</v>
      </c>
      <c r="G158" s="15">
        <f t="shared" si="8"/>
        <v>30504.890743780314</v>
      </c>
      <c r="H158" s="14">
        <f t="shared" si="7"/>
        <v>1</v>
      </c>
    </row>
    <row r="159" spans="1:8" ht="21" customHeight="1">
      <c r="A159" s="14">
        <f>IF(AND('Current Loan'!$B$13,153&lt;=MAX('Current Loan'!B7,'Proposed Loan'!B6)*12),153,"")</f>
        <v>153</v>
      </c>
      <c r="B159" s="15">
        <f>IF(A159&lt;&gt;"",IF(A159&lt;='Current Loan'!$B$7*12,'Current Loan'!$B$17,0),"")</f>
        <v>4388.8465487596777</v>
      </c>
      <c r="C159" s="15">
        <f>IF(A159&lt;&gt;"",IF(A159&lt;='Current Loan'!$B$7*12,'Current Loan'!$B$9/12,0),"")</f>
        <v>35</v>
      </c>
      <c r="D159" s="15">
        <f>IF(A159&lt;&gt;"",IF(A159&lt;='Proposed Loan'!$B$6*12,'Proposed Loan'!$B$17,0),"")</f>
        <v>4187.9591096558606</v>
      </c>
      <c r="E159" s="15">
        <f>IF(A159&lt;&gt;"",IF(A159&lt;='Proposed Loan'!$B$6*12,'Proposed Loan'!$B$13/12,0),"")</f>
        <v>25</v>
      </c>
      <c r="F159" s="15">
        <f t="shared" si="6"/>
        <v>210.88743910381709</v>
      </c>
      <c r="G159" s="15">
        <f t="shared" si="8"/>
        <v>30715.778182884133</v>
      </c>
      <c r="H159" s="14">
        <f t="shared" si="7"/>
        <v>1</v>
      </c>
    </row>
    <row r="160" spans="1:8" ht="21" customHeight="1">
      <c r="A160" s="14">
        <f>IF(AND('Current Loan'!$B$13,154&lt;=MAX('Current Loan'!B7,'Proposed Loan'!B6)*12),154,"")</f>
        <v>154</v>
      </c>
      <c r="B160" s="15">
        <f>IF(A160&lt;&gt;"",IF(A160&lt;='Current Loan'!$B$7*12,'Current Loan'!$B$17,0),"")</f>
        <v>4388.8465487596777</v>
      </c>
      <c r="C160" s="15">
        <f>IF(A160&lt;&gt;"",IF(A160&lt;='Current Loan'!$B$7*12,'Current Loan'!$B$9/12,0),"")</f>
        <v>35</v>
      </c>
      <c r="D160" s="15">
        <f>IF(A160&lt;&gt;"",IF(A160&lt;='Proposed Loan'!$B$6*12,'Proposed Loan'!$B$17,0),"")</f>
        <v>4187.9591096558606</v>
      </c>
      <c r="E160" s="15">
        <f>IF(A160&lt;&gt;"",IF(A160&lt;='Proposed Loan'!$B$6*12,'Proposed Loan'!$B$13/12,0),"")</f>
        <v>25</v>
      </c>
      <c r="F160" s="15">
        <f t="shared" si="6"/>
        <v>210.88743910381709</v>
      </c>
      <c r="G160" s="15">
        <f t="shared" si="8"/>
        <v>30926.665621987951</v>
      </c>
      <c r="H160" s="14">
        <f t="shared" si="7"/>
        <v>1</v>
      </c>
    </row>
    <row r="161" spans="1:8" ht="21" customHeight="1">
      <c r="A161" s="14">
        <f>IF(AND('Current Loan'!$B$13,155&lt;=MAX('Current Loan'!B7,'Proposed Loan'!B6)*12),155,"")</f>
        <v>155</v>
      </c>
      <c r="B161" s="15">
        <f>IF(A161&lt;&gt;"",IF(A161&lt;='Current Loan'!$B$7*12,'Current Loan'!$B$17,0),"")</f>
        <v>4388.8465487596777</v>
      </c>
      <c r="C161" s="15">
        <f>IF(A161&lt;&gt;"",IF(A161&lt;='Current Loan'!$B$7*12,'Current Loan'!$B$9/12,0),"")</f>
        <v>35</v>
      </c>
      <c r="D161" s="15">
        <f>IF(A161&lt;&gt;"",IF(A161&lt;='Proposed Loan'!$B$6*12,'Proposed Loan'!$B$17,0),"")</f>
        <v>4187.9591096558606</v>
      </c>
      <c r="E161" s="15">
        <f>IF(A161&lt;&gt;"",IF(A161&lt;='Proposed Loan'!$B$6*12,'Proposed Loan'!$B$13/12,0),"")</f>
        <v>25</v>
      </c>
      <c r="F161" s="15">
        <f t="shared" si="6"/>
        <v>210.88743910381709</v>
      </c>
      <c r="G161" s="15">
        <f t="shared" si="8"/>
        <v>31137.55306109177</v>
      </c>
      <c r="H161" s="14">
        <f t="shared" si="7"/>
        <v>1</v>
      </c>
    </row>
    <row r="162" spans="1:8" ht="21" customHeight="1">
      <c r="A162" s="14">
        <f>IF(AND('Current Loan'!$B$13,156&lt;=MAX('Current Loan'!B7,'Proposed Loan'!B6)*12),156,"")</f>
        <v>156</v>
      </c>
      <c r="B162" s="15">
        <f>IF(A162&lt;&gt;"",IF(A162&lt;='Current Loan'!$B$7*12,'Current Loan'!$B$17,0),"")</f>
        <v>4388.8465487596777</v>
      </c>
      <c r="C162" s="15">
        <f>IF(A162&lt;&gt;"",IF(A162&lt;='Current Loan'!$B$7*12,'Current Loan'!$B$9/12,0),"")</f>
        <v>35</v>
      </c>
      <c r="D162" s="15">
        <f>IF(A162&lt;&gt;"",IF(A162&lt;='Proposed Loan'!$B$6*12,'Proposed Loan'!$B$17,0),"")</f>
        <v>4187.9591096558606</v>
      </c>
      <c r="E162" s="15">
        <f>IF(A162&lt;&gt;"",IF(A162&lt;='Proposed Loan'!$B$6*12,'Proposed Loan'!$B$13/12,0),"")</f>
        <v>25</v>
      </c>
      <c r="F162" s="15">
        <f t="shared" si="6"/>
        <v>210.88743910381709</v>
      </c>
      <c r="G162" s="15">
        <f t="shared" si="8"/>
        <v>31348.440500195589</v>
      </c>
      <c r="H162" s="14">
        <f t="shared" si="7"/>
        <v>1</v>
      </c>
    </row>
    <row r="163" spans="1:8" ht="21" customHeight="1">
      <c r="A163" s="14">
        <f>IF(AND('Current Loan'!$B$13,157&lt;=MAX('Current Loan'!B7,'Proposed Loan'!B6)*12),157,"")</f>
        <v>157</v>
      </c>
      <c r="B163" s="15">
        <f>IF(A163&lt;&gt;"",IF(A163&lt;='Current Loan'!$B$7*12,'Current Loan'!$B$17,0),"")</f>
        <v>4388.8465487596777</v>
      </c>
      <c r="C163" s="15">
        <f>IF(A163&lt;&gt;"",IF(A163&lt;='Current Loan'!$B$7*12,'Current Loan'!$B$9/12,0),"")</f>
        <v>35</v>
      </c>
      <c r="D163" s="15">
        <f>IF(A163&lt;&gt;"",IF(A163&lt;='Proposed Loan'!$B$6*12,'Proposed Loan'!$B$17,0),"")</f>
        <v>4187.9591096558606</v>
      </c>
      <c r="E163" s="15">
        <f>IF(A163&lt;&gt;"",IF(A163&lt;='Proposed Loan'!$B$6*12,'Proposed Loan'!$B$13/12,0),"")</f>
        <v>25</v>
      </c>
      <c r="F163" s="15">
        <f t="shared" si="6"/>
        <v>210.88743910381709</v>
      </c>
      <c r="G163" s="15">
        <f t="shared" si="8"/>
        <v>31559.327939299408</v>
      </c>
      <c r="H163" s="14">
        <f t="shared" si="7"/>
        <v>1</v>
      </c>
    </row>
    <row r="164" spans="1:8" ht="21" customHeight="1">
      <c r="A164" s="14">
        <f>IF(AND('Current Loan'!$B$13,158&lt;=MAX('Current Loan'!B7,'Proposed Loan'!B6)*12),158,"")</f>
        <v>158</v>
      </c>
      <c r="B164" s="15">
        <f>IF(A164&lt;&gt;"",IF(A164&lt;='Current Loan'!$B$7*12,'Current Loan'!$B$17,0),"")</f>
        <v>4388.8465487596777</v>
      </c>
      <c r="C164" s="15">
        <f>IF(A164&lt;&gt;"",IF(A164&lt;='Current Loan'!$B$7*12,'Current Loan'!$B$9/12,0),"")</f>
        <v>35</v>
      </c>
      <c r="D164" s="15">
        <f>IF(A164&lt;&gt;"",IF(A164&lt;='Proposed Loan'!$B$6*12,'Proposed Loan'!$B$17,0),"")</f>
        <v>4187.9591096558606</v>
      </c>
      <c r="E164" s="15">
        <f>IF(A164&lt;&gt;"",IF(A164&lt;='Proposed Loan'!$B$6*12,'Proposed Loan'!$B$13/12,0),"")</f>
        <v>25</v>
      </c>
      <c r="F164" s="15">
        <f t="shared" si="6"/>
        <v>210.88743910381709</v>
      </c>
      <c r="G164" s="15">
        <f t="shared" si="8"/>
        <v>31770.215378403227</v>
      </c>
      <c r="H164" s="14">
        <f t="shared" si="7"/>
        <v>1</v>
      </c>
    </row>
    <row r="165" spans="1:8" ht="21" customHeight="1">
      <c r="A165" s="14">
        <f>IF(AND('Current Loan'!$B$13,159&lt;=MAX('Current Loan'!B7,'Proposed Loan'!B6)*12),159,"")</f>
        <v>159</v>
      </c>
      <c r="B165" s="15">
        <f>IF(A165&lt;&gt;"",IF(A165&lt;='Current Loan'!$B$7*12,'Current Loan'!$B$17,0),"")</f>
        <v>4388.8465487596777</v>
      </c>
      <c r="C165" s="15">
        <f>IF(A165&lt;&gt;"",IF(A165&lt;='Current Loan'!$B$7*12,'Current Loan'!$B$9/12,0),"")</f>
        <v>35</v>
      </c>
      <c r="D165" s="15">
        <f>IF(A165&lt;&gt;"",IF(A165&lt;='Proposed Loan'!$B$6*12,'Proposed Loan'!$B$17,0),"")</f>
        <v>4187.9591096558606</v>
      </c>
      <c r="E165" s="15">
        <f>IF(A165&lt;&gt;"",IF(A165&lt;='Proposed Loan'!$B$6*12,'Proposed Loan'!$B$13/12,0),"")</f>
        <v>25</v>
      </c>
      <c r="F165" s="15">
        <f t="shared" si="6"/>
        <v>210.88743910381709</v>
      </c>
      <c r="G165" s="15">
        <f t="shared" si="8"/>
        <v>31981.102817507046</v>
      </c>
      <c r="H165" s="14">
        <f t="shared" si="7"/>
        <v>1</v>
      </c>
    </row>
    <row r="166" spans="1:8" ht="21" customHeight="1">
      <c r="A166" s="14">
        <f>IF(AND('Current Loan'!$B$13,160&lt;=MAX('Current Loan'!B7,'Proposed Loan'!B6)*12),160,"")</f>
        <v>160</v>
      </c>
      <c r="B166" s="15">
        <f>IF(A166&lt;&gt;"",IF(A166&lt;='Current Loan'!$B$7*12,'Current Loan'!$B$17,0),"")</f>
        <v>4388.8465487596777</v>
      </c>
      <c r="C166" s="15">
        <f>IF(A166&lt;&gt;"",IF(A166&lt;='Current Loan'!$B$7*12,'Current Loan'!$B$9/12,0),"")</f>
        <v>35</v>
      </c>
      <c r="D166" s="15">
        <f>IF(A166&lt;&gt;"",IF(A166&lt;='Proposed Loan'!$B$6*12,'Proposed Loan'!$B$17,0),"")</f>
        <v>4187.9591096558606</v>
      </c>
      <c r="E166" s="15">
        <f>IF(A166&lt;&gt;"",IF(A166&lt;='Proposed Loan'!$B$6*12,'Proposed Loan'!$B$13/12,0),"")</f>
        <v>25</v>
      </c>
      <c r="F166" s="15">
        <f t="shared" si="6"/>
        <v>210.88743910381709</v>
      </c>
      <c r="G166" s="15">
        <f t="shared" si="8"/>
        <v>32191.990256610865</v>
      </c>
      <c r="H166" s="14">
        <f t="shared" si="7"/>
        <v>1</v>
      </c>
    </row>
    <row r="167" spans="1:8" ht="21" customHeight="1">
      <c r="A167" s="14">
        <f>IF(AND('Current Loan'!$B$13,161&lt;=MAX('Current Loan'!B7,'Proposed Loan'!B6)*12),161,"")</f>
        <v>161</v>
      </c>
      <c r="B167" s="15">
        <f>IF(A167&lt;&gt;"",IF(A167&lt;='Current Loan'!$B$7*12,'Current Loan'!$B$17,0),"")</f>
        <v>4388.8465487596777</v>
      </c>
      <c r="C167" s="15">
        <f>IF(A167&lt;&gt;"",IF(A167&lt;='Current Loan'!$B$7*12,'Current Loan'!$B$9/12,0),"")</f>
        <v>35</v>
      </c>
      <c r="D167" s="15">
        <f>IF(A167&lt;&gt;"",IF(A167&lt;='Proposed Loan'!$B$6*12,'Proposed Loan'!$B$17,0),"")</f>
        <v>4187.9591096558606</v>
      </c>
      <c r="E167" s="15">
        <f>IF(A167&lt;&gt;"",IF(A167&lt;='Proposed Loan'!$B$6*12,'Proposed Loan'!$B$13/12,0),"")</f>
        <v>25</v>
      </c>
      <c r="F167" s="15">
        <f t="shared" si="6"/>
        <v>210.88743910381709</v>
      </c>
      <c r="G167" s="15">
        <f t="shared" si="8"/>
        <v>32402.877695714684</v>
      </c>
      <c r="H167" s="14">
        <f t="shared" si="7"/>
        <v>1</v>
      </c>
    </row>
    <row r="168" spans="1:8" ht="21" customHeight="1">
      <c r="A168" s="14">
        <f>IF(AND('Current Loan'!$B$13,162&lt;=MAX('Current Loan'!B7,'Proposed Loan'!B6)*12),162,"")</f>
        <v>162</v>
      </c>
      <c r="B168" s="15">
        <f>IF(A168&lt;&gt;"",IF(A168&lt;='Current Loan'!$B$7*12,'Current Loan'!$B$17,0),"")</f>
        <v>4388.8465487596777</v>
      </c>
      <c r="C168" s="15">
        <f>IF(A168&lt;&gt;"",IF(A168&lt;='Current Loan'!$B$7*12,'Current Loan'!$B$9/12,0),"")</f>
        <v>35</v>
      </c>
      <c r="D168" s="15">
        <f>IF(A168&lt;&gt;"",IF(A168&lt;='Proposed Loan'!$B$6*12,'Proposed Loan'!$B$17,0),"")</f>
        <v>4187.9591096558606</v>
      </c>
      <c r="E168" s="15">
        <f>IF(A168&lt;&gt;"",IF(A168&lt;='Proposed Loan'!$B$6*12,'Proposed Loan'!$B$13/12,0),"")</f>
        <v>25</v>
      </c>
      <c r="F168" s="15">
        <f t="shared" si="6"/>
        <v>210.88743910381709</v>
      </c>
      <c r="G168" s="15">
        <f t="shared" si="8"/>
        <v>32613.765134818503</v>
      </c>
      <c r="H168" s="14">
        <f t="shared" si="7"/>
        <v>1</v>
      </c>
    </row>
    <row r="169" spans="1:8" ht="21" customHeight="1">
      <c r="A169" s="14">
        <f>IF(AND('Current Loan'!$B$13,163&lt;=MAX('Current Loan'!B7,'Proposed Loan'!B6)*12),163,"")</f>
        <v>163</v>
      </c>
      <c r="B169" s="15">
        <f>IF(A169&lt;&gt;"",IF(A169&lt;='Current Loan'!$B$7*12,'Current Loan'!$B$17,0),"")</f>
        <v>4388.8465487596777</v>
      </c>
      <c r="C169" s="15">
        <f>IF(A169&lt;&gt;"",IF(A169&lt;='Current Loan'!$B$7*12,'Current Loan'!$B$9/12,0),"")</f>
        <v>35</v>
      </c>
      <c r="D169" s="15">
        <f>IF(A169&lt;&gt;"",IF(A169&lt;='Proposed Loan'!$B$6*12,'Proposed Loan'!$B$17,0),"")</f>
        <v>4187.9591096558606</v>
      </c>
      <c r="E169" s="15">
        <f>IF(A169&lt;&gt;"",IF(A169&lt;='Proposed Loan'!$B$6*12,'Proposed Loan'!$B$13/12,0),"")</f>
        <v>25</v>
      </c>
      <c r="F169" s="15">
        <f t="shared" si="6"/>
        <v>210.88743910381709</v>
      </c>
      <c r="G169" s="15">
        <f t="shared" si="8"/>
        <v>32824.652573922322</v>
      </c>
      <c r="H169" s="14">
        <f t="shared" si="7"/>
        <v>1</v>
      </c>
    </row>
    <row r="170" spans="1:8" ht="21" customHeight="1">
      <c r="A170" s="14">
        <f>IF(AND('Current Loan'!$B$13,164&lt;=MAX('Current Loan'!B7,'Proposed Loan'!B6)*12),164,"")</f>
        <v>164</v>
      </c>
      <c r="B170" s="15">
        <f>IF(A170&lt;&gt;"",IF(A170&lt;='Current Loan'!$B$7*12,'Current Loan'!$B$17,0),"")</f>
        <v>4388.8465487596777</v>
      </c>
      <c r="C170" s="15">
        <f>IF(A170&lt;&gt;"",IF(A170&lt;='Current Loan'!$B$7*12,'Current Loan'!$B$9/12,0),"")</f>
        <v>35</v>
      </c>
      <c r="D170" s="15">
        <f>IF(A170&lt;&gt;"",IF(A170&lt;='Proposed Loan'!$B$6*12,'Proposed Loan'!$B$17,0),"")</f>
        <v>4187.9591096558606</v>
      </c>
      <c r="E170" s="15">
        <f>IF(A170&lt;&gt;"",IF(A170&lt;='Proposed Loan'!$B$6*12,'Proposed Loan'!$B$13/12,0),"")</f>
        <v>25</v>
      </c>
      <c r="F170" s="15">
        <f t="shared" si="6"/>
        <v>210.88743910381709</v>
      </c>
      <c r="G170" s="15">
        <f t="shared" si="8"/>
        <v>33035.540013026141</v>
      </c>
      <c r="H170" s="14">
        <f t="shared" si="7"/>
        <v>1</v>
      </c>
    </row>
    <row r="171" spans="1:8" ht="21" customHeight="1">
      <c r="A171" s="14">
        <f>IF(AND('Current Loan'!$B$13,165&lt;=MAX('Current Loan'!B7,'Proposed Loan'!B6)*12),165,"")</f>
        <v>165</v>
      </c>
      <c r="B171" s="15">
        <f>IF(A171&lt;&gt;"",IF(A171&lt;='Current Loan'!$B$7*12,'Current Loan'!$B$17,0),"")</f>
        <v>4388.8465487596777</v>
      </c>
      <c r="C171" s="15">
        <f>IF(A171&lt;&gt;"",IF(A171&lt;='Current Loan'!$B$7*12,'Current Loan'!$B$9/12,0),"")</f>
        <v>35</v>
      </c>
      <c r="D171" s="15">
        <f>IF(A171&lt;&gt;"",IF(A171&lt;='Proposed Loan'!$B$6*12,'Proposed Loan'!$B$17,0),"")</f>
        <v>4187.9591096558606</v>
      </c>
      <c r="E171" s="15">
        <f>IF(A171&lt;&gt;"",IF(A171&lt;='Proposed Loan'!$B$6*12,'Proposed Loan'!$B$13/12,0),"")</f>
        <v>25</v>
      </c>
      <c r="F171" s="15">
        <f t="shared" si="6"/>
        <v>210.88743910381709</v>
      </c>
      <c r="G171" s="15">
        <f t="shared" si="8"/>
        <v>33246.427452129959</v>
      </c>
      <c r="H171" s="14">
        <f t="shared" si="7"/>
        <v>1</v>
      </c>
    </row>
    <row r="172" spans="1:8" ht="21" customHeight="1">
      <c r="A172" s="14">
        <f>IF(AND('Current Loan'!$B$13,166&lt;=MAX('Current Loan'!B7,'Proposed Loan'!B6)*12),166,"")</f>
        <v>166</v>
      </c>
      <c r="B172" s="15">
        <f>IF(A172&lt;&gt;"",IF(A172&lt;='Current Loan'!$B$7*12,'Current Loan'!$B$17,0),"")</f>
        <v>4388.8465487596777</v>
      </c>
      <c r="C172" s="15">
        <f>IF(A172&lt;&gt;"",IF(A172&lt;='Current Loan'!$B$7*12,'Current Loan'!$B$9/12,0),"")</f>
        <v>35</v>
      </c>
      <c r="D172" s="15">
        <f>IF(A172&lt;&gt;"",IF(A172&lt;='Proposed Loan'!$B$6*12,'Proposed Loan'!$B$17,0),"")</f>
        <v>4187.9591096558606</v>
      </c>
      <c r="E172" s="15">
        <f>IF(A172&lt;&gt;"",IF(A172&lt;='Proposed Loan'!$B$6*12,'Proposed Loan'!$B$13/12,0),"")</f>
        <v>25</v>
      </c>
      <c r="F172" s="15">
        <f t="shared" si="6"/>
        <v>210.88743910381709</v>
      </c>
      <c r="G172" s="15">
        <f t="shared" si="8"/>
        <v>33457.314891233778</v>
      </c>
      <c r="H172" s="14">
        <f t="shared" si="7"/>
        <v>1</v>
      </c>
    </row>
    <row r="173" spans="1:8" ht="21" customHeight="1">
      <c r="A173" s="14">
        <f>IF(AND('Current Loan'!$B$13,167&lt;=MAX('Current Loan'!B7,'Proposed Loan'!B6)*12),167,"")</f>
        <v>167</v>
      </c>
      <c r="B173" s="15">
        <f>IF(A173&lt;&gt;"",IF(A173&lt;='Current Loan'!$B$7*12,'Current Loan'!$B$17,0),"")</f>
        <v>4388.8465487596777</v>
      </c>
      <c r="C173" s="15">
        <f>IF(A173&lt;&gt;"",IF(A173&lt;='Current Loan'!$B$7*12,'Current Loan'!$B$9/12,0),"")</f>
        <v>35</v>
      </c>
      <c r="D173" s="15">
        <f>IF(A173&lt;&gt;"",IF(A173&lt;='Proposed Loan'!$B$6*12,'Proposed Loan'!$B$17,0),"")</f>
        <v>4187.9591096558606</v>
      </c>
      <c r="E173" s="15">
        <f>IF(A173&lt;&gt;"",IF(A173&lt;='Proposed Loan'!$B$6*12,'Proposed Loan'!$B$13/12,0),"")</f>
        <v>25</v>
      </c>
      <c r="F173" s="15">
        <f t="shared" si="6"/>
        <v>210.88743910381709</v>
      </c>
      <c r="G173" s="15">
        <f t="shared" si="8"/>
        <v>33668.202330337597</v>
      </c>
      <c r="H173" s="14">
        <f t="shared" si="7"/>
        <v>1</v>
      </c>
    </row>
    <row r="174" spans="1:8" ht="21" customHeight="1">
      <c r="A174" s="14">
        <f>IF(AND('Current Loan'!$B$13,168&lt;=MAX('Current Loan'!B7,'Proposed Loan'!B6)*12),168,"")</f>
        <v>168</v>
      </c>
      <c r="B174" s="15">
        <f>IF(A174&lt;&gt;"",IF(A174&lt;='Current Loan'!$B$7*12,'Current Loan'!$B$17,0),"")</f>
        <v>4388.8465487596777</v>
      </c>
      <c r="C174" s="15">
        <f>IF(A174&lt;&gt;"",IF(A174&lt;='Current Loan'!$B$7*12,'Current Loan'!$B$9/12,0),"")</f>
        <v>35</v>
      </c>
      <c r="D174" s="15">
        <f>IF(A174&lt;&gt;"",IF(A174&lt;='Proposed Loan'!$B$6*12,'Proposed Loan'!$B$17,0),"")</f>
        <v>4187.9591096558606</v>
      </c>
      <c r="E174" s="15">
        <f>IF(A174&lt;&gt;"",IF(A174&lt;='Proposed Loan'!$B$6*12,'Proposed Loan'!$B$13/12,0),"")</f>
        <v>25</v>
      </c>
      <c r="F174" s="15">
        <f t="shared" si="6"/>
        <v>210.88743910381709</v>
      </c>
      <c r="G174" s="15">
        <f t="shared" si="8"/>
        <v>33879.089769441416</v>
      </c>
      <c r="H174" s="14">
        <f t="shared" si="7"/>
        <v>1</v>
      </c>
    </row>
    <row r="175" spans="1:8" ht="21" customHeight="1">
      <c r="A175" s="14">
        <f>IF(AND('Current Loan'!$B$13,169&lt;=MAX('Current Loan'!B7,'Proposed Loan'!B6)*12),169,"")</f>
        <v>169</v>
      </c>
      <c r="B175" s="15">
        <f>IF(A175&lt;&gt;"",IF(A175&lt;='Current Loan'!$B$7*12,'Current Loan'!$B$17,0),"")</f>
        <v>4388.8465487596777</v>
      </c>
      <c r="C175" s="15">
        <f>IF(A175&lt;&gt;"",IF(A175&lt;='Current Loan'!$B$7*12,'Current Loan'!$B$9/12,0),"")</f>
        <v>35</v>
      </c>
      <c r="D175" s="15">
        <f>IF(A175&lt;&gt;"",IF(A175&lt;='Proposed Loan'!$B$6*12,'Proposed Loan'!$B$17,0),"")</f>
        <v>4187.9591096558606</v>
      </c>
      <c r="E175" s="15">
        <f>IF(A175&lt;&gt;"",IF(A175&lt;='Proposed Loan'!$B$6*12,'Proposed Loan'!$B$13/12,0),"")</f>
        <v>25</v>
      </c>
      <c r="F175" s="15">
        <f t="shared" si="6"/>
        <v>210.88743910381709</v>
      </c>
      <c r="G175" s="15">
        <f t="shared" si="8"/>
        <v>34089.977208545235</v>
      </c>
      <c r="H175" s="14">
        <f t="shared" si="7"/>
        <v>1</v>
      </c>
    </row>
    <row r="176" spans="1:8" ht="21" customHeight="1">
      <c r="A176" s="14">
        <f>IF(AND('Current Loan'!$B$13,170&lt;=MAX('Current Loan'!B7,'Proposed Loan'!B6)*12),170,"")</f>
        <v>170</v>
      </c>
      <c r="B176" s="15">
        <f>IF(A176&lt;&gt;"",IF(A176&lt;='Current Loan'!$B$7*12,'Current Loan'!$B$17,0),"")</f>
        <v>4388.8465487596777</v>
      </c>
      <c r="C176" s="15">
        <f>IF(A176&lt;&gt;"",IF(A176&lt;='Current Loan'!$B$7*12,'Current Loan'!$B$9/12,0),"")</f>
        <v>35</v>
      </c>
      <c r="D176" s="15">
        <f>IF(A176&lt;&gt;"",IF(A176&lt;='Proposed Loan'!$B$6*12,'Proposed Loan'!$B$17,0),"")</f>
        <v>4187.9591096558606</v>
      </c>
      <c r="E176" s="15">
        <f>IF(A176&lt;&gt;"",IF(A176&lt;='Proposed Loan'!$B$6*12,'Proposed Loan'!$B$13/12,0),"")</f>
        <v>25</v>
      </c>
      <c r="F176" s="15">
        <f t="shared" si="6"/>
        <v>210.88743910381709</v>
      </c>
      <c r="G176" s="15">
        <f t="shared" si="8"/>
        <v>34300.864647649054</v>
      </c>
      <c r="H176" s="14">
        <f t="shared" si="7"/>
        <v>1</v>
      </c>
    </row>
    <row r="177" spans="1:8" ht="21" customHeight="1">
      <c r="A177" s="14">
        <f>IF(AND('Current Loan'!$B$13,171&lt;=MAX('Current Loan'!B7,'Proposed Loan'!B6)*12),171,"")</f>
        <v>171</v>
      </c>
      <c r="B177" s="15">
        <f>IF(A177&lt;&gt;"",IF(A177&lt;='Current Loan'!$B$7*12,'Current Loan'!$B$17,0),"")</f>
        <v>4388.8465487596777</v>
      </c>
      <c r="C177" s="15">
        <f>IF(A177&lt;&gt;"",IF(A177&lt;='Current Loan'!$B$7*12,'Current Loan'!$B$9/12,0),"")</f>
        <v>35</v>
      </c>
      <c r="D177" s="15">
        <f>IF(A177&lt;&gt;"",IF(A177&lt;='Proposed Loan'!$B$6*12,'Proposed Loan'!$B$17,0),"")</f>
        <v>4187.9591096558606</v>
      </c>
      <c r="E177" s="15">
        <f>IF(A177&lt;&gt;"",IF(A177&lt;='Proposed Loan'!$B$6*12,'Proposed Loan'!$B$13/12,0),"")</f>
        <v>25</v>
      </c>
      <c r="F177" s="15">
        <f t="shared" si="6"/>
        <v>210.88743910381709</v>
      </c>
      <c r="G177" s="15">
        <f t="shared" si="8"/>
        <v>34511.752086752873</v>
      </c>
      <c r="H177" s="14">
        <f t="shared" si="7"/>
        <v>1</v>
      </c>
    </row>
    <row r="178" spans="1:8" ht="21" customHeight="1">
      <c r="A178" s="14">
        <f>IF(AND('Current Loan'!$B$13,172&lt;=MAX('Current Loan'!B7,'Proposed Loan'!B6)*12),172,"")</f>
        <v>172</v>
      </c>
      <c r="B178" s="15">
        <f>IF(A178&lt;&gt;"",IF(A178&lt;='Current Loan'!$B$7*12,'Current Loan'!$B$17,0),"")</f>
        <v>4388.8465487596777</v>
      </c>
      <c r="C178" s="15">
        <f>IF(A178&lt;&gt;"",IF(A178&lt;='Current Loan'!$B$7*12,'Current Loan'!$B$9/12,0),"")</f>
        <v>35</v>
      </c>
      <c r="D178" s="15">
        <f>IF(A178&lt;&gt;"",IF(A178&lt;='Proposed Loan'!$B$6*12,'Proposed Loan'!$B$17,0),"")</f>
        <v>4187.9591096558606</v>
      </c>
      <c r="E178" s="15">
        <f>IF(A178&lt;&gt;"",IF(A178&lt;='Proposed Loan'!$B$6*12,'Proposed Loan'!$B$13/12,0),"")</f>
        <v>25</v>
      </c>
      <c r="F178" s="15">
        <f t="shared" si="6"/>
        <v>210.88743910381709</v>
      </c>
      <c r="G178" s="15">
        <f t="shared" si="8"/>
        <v>34722.639525856692</v>
      </c>
      <c r="H178" s="14">
        <f t="shared" si="7"/>
        <v>1</v>
      </c>
    </row>
    <row r="179" spans="1:8" ht="21" customHeight="1">
      <c r="A179" s="14">
        <f>IF(AND('Current Loan'!$B$13,173&lt;=MAX('Current Loan'!B7,'Proposed Loan'!B6)*12),173,"")</f>
        <v>173</v>
      </c>
      <c r="B179" s="15">
        <f>IF(A179&lt;&gt;"",IF(A179&lt;='Current Loan'!$B$7*12,'Current Loan'!$B$17,0),"")</f>
        <v>4388.8465487596777</v>
      </c>
      <c r="C179" s="15">
        <f>IF(A179&lt;&gt;"",IF(A179&lt;='Current Loan'!$B$7*12,'Current Loan'!$B$9/12,0),"")</f>
        <v>35</v>
      </c>
      <c r="D179" s="15">
        <f>IF(A179&lt;&gt;"",IF(A179&lt;='Proposed Loan'!$B$6*12,'Proposed Loan'!$B$17,0),"")</f>
        <v>4187.9591096558606</v>
      </c>
      <c r="E179" s="15">
        <f>IF(A179&lt;&gt;"",IF(A179&lt;='Proposed Loan'!$B$6*12,'Proposed Loan'!$B$13/12,0),"")</f>
        <v>25</v>
      </c>
      <c r="F179" s="15">
        <f t="shared" si="6"/>
        <v>210.88743910381709</v>
      </c>
      <c r="G179" s="15">
        <f t="shared" si="8"/>
        <v>34933.526964960511</v>
      </c>
      <c r="H179" s="14">
        <f t="shared" si="7"/>
        <v>1</v>
      </c>
    </row>
    <row r="180" spans="1:8" ht="21" customHeight="1">
      <c r="A180" s="14">
        <f>IF(AND('Current Loan'!$B$13,174&lt;=MAX('Current Loan'!B7,'Proposed Loan'!B6)*12),174,"")</f>
        <v>174</v>
      </c>
      <c r="B180" s="15">
        <f>IF(A180&lt;&gt;"",IF(A180&lt;='Current Loan'!$B$7*12,'Current Loan'!$B$17,0),"")</f>
        <v>4388.8465487596777</v>
      </c>
      <c r="C180" s="15">
        <f>IF(A180&lt;&gt;"",IF(A180&lt;='Current Loan'!$B$7*12,'Current Loan'!$B$9/12,0),"")</f>
        <v>35</v>
      </c>
      <c r="D180" s="15">
        <f>IF(A180&lt;&gt;"",IF(A180&lt;='Proposed Loan'!$B$6*12,'Proposed Loan'!$B$17,0),"")</f>
        <v>4187.9591096558606</v>
      </c>
      <c r="E180" s="15">
        <f>IF(A180&lt;&gt;"",IF(A180&lt;='Proposed Loan'!$B$6*12,'Proposed Loan'!$B$13/12,0),"")</f>
        <v>25</v>
      </c>
      <c r="F180" s="15">
        <f t="shared" si="6"/>
        <v>210.88743910381709</v>
      </c>
      <c r="G180" s="15">
        <f t="shared" si="8"/>
        <v>35144.41440406433</v>
      </c>
      <c r="H180" s="14">
        <f t="shared" si="7"/>
        <v>1</v>
      </c>
    </row>
    <row r="181" spans="1:8" ht="21" customHeight="1">
      <c r="A181" s="14">
        <f>IF(AND('Current Loan'!$B$13,175&lt;=MAX('Current Loan'!B7,'Proposed Loan'!B6)*12),175,"")</f>
        <v>175</v>
      </c>
      <c r="B181" s="15">
        <f>IF(A181&lt;&gt;"",IF(A181&lt;='Current Loan'!$B$7*12,'Current Loan'!$B$17,0),"")</f>
        <v>4388.8465487596777</v>
      </c>
      <c r="C181" s="15">
        <f>IF(A181&lt;&gt;"",IF(A181&lt;='Current Loan'!$B$7*12,'Current Loan'!$B$9/12,0),"")</f>
        <v>35</v>
      </c>
      <c r="D181" s="15">
        <f>IF(A181&lt;&gt;"",IF(A181&lt;='Proposed Loan'!$B$6*12,'Proposed Loan'!$B$17,0),"")</f>
        <v>4187.9591096558606</v>
      </c>
      <c r="E181" s="15">
        <f>IF(A181&lt;&gt;"",IF(A181&lt;='Proposed Loan'!$B$6*12,'Proposed Loan'!$B$13/12,0),"")</f>
        <v>25</v>
      </c>
      <c r="F181" s="15">
        <f t="shared" si="6"/>
        <v>210.88743910381709</v>
      </c>
      <c r="G181" s="15">
        <f t="shared" si="8"/>
        <v>35355.301843168148</v>
      </c>
      <c r="H181" s="14">
        <f t="shared" si="7"/>
        <v>1</v>
      </c>
    </row>
    <row r="182" spans="1:8" ht="21" customHeight="1">
      <c r="A182" s="14">
        <f>IF(AND('Current Loan'!$B$13,176&lt;=MAX('Current Loan'!B7,'Proposed Loan'!B6)*12),176,"")</f>
        <v>176</v>
      </c>
      <c r="B182" s="15">
        <f>IF(A182&lt;&gt;"",IF(A182&lt;='Current Loan'!$B$7*12,'Current Loan'!$B$17,0),"")</f>
        <v>4388.8465487596777</v>
      </c>
      <c r="C182" s="15">
        <f>IF(A182&lt;&gt;"",IF(A182&lt;='Current Loan'!$B$7*12,'Current Loan'!$B$9/12,0),"")</f>
        <v>35</v>
      </c>
      <c r="D182" s="15">
        <f>IF(A182&lt;&gt;"",IF(A182&lt;='Proposed Loan'!$B$6*12,'Proposed Loan'!$B$17,0),"")</f>
        <v>4187.9591096558606</v>
      </c>
      <c r="E182" s="15">
        <f>IF(A182&lt;&gt;"",IF(A182&lt;='Proposed Loan'!$B$6*12,'Proposed Loan'!$B$13/12,0),"")</f>
        <v>25</v>
      </c>
      <c r="F182" s="15">
        <f t="shared" si="6"/>
        <v>210.88743910381709</v>
      </c>
      <c r="G182" s="15">
        <f t="shared" si="8"/>
        <v>35566.189282271967</v>
      </c>
      <c r="H182" s="14">
        <f t="shared" si="7"/>
        <v>1</v>
      </c>
    </row>
    <row r="183" spans="1:8" ht="21" customHeight="1">
      <c r="A183" s="14">
        <f>IF(AND('Current Loan'!$B$13,177&lt;=MAX('Current Loan'!B7,'Proposed Loan'!B6)*12),177,"")</f>
        <v>177</v>
      </c>
      <c r="B183" s="15">
        <f>IF(A183&lt;&gt;"",IF(A183&lt;='Current Loan'!$B$7*12,'Current Loan'!$B$17,0),"")</f>
        <v>4388.8465487596777</v>
      </c>
      <c r="C183" s="15">
        <f>IF(A183&lt;&gt;"",IF(A183&lt;='Current Loan'!$B$7*12,'Current Loan'!$B$9/12,0),"")</f>
        <v>35</v>
      </c>
      <c r="D183" s="15">
        <f>IF(A183&lt;&gt;"",IF(A183&lt;='Proposed Loan'!$B$6*12,'Proposed Loan'!$B$17,0),"")</f>
        <v>4187.9591096558606</v>
      </c>
      <c r="E183" s="15">
        <f>IF(A183&lt;&gt;"",IF(A183&lt;='Proposed Loan'!$B$6*12,'Proposed Loan'!$B$13/12,0),"")</f>
        <v>25</v>
      </c>
      <c r="F183" s="15">
        <f t="shared" si="6"/>
        <v>210.88743910381709</v>
      </c>
      <c r="G183" s="15">
        <f t="shared" si="8"/>
        <v>35777.076721375786</v>
      </c>
      <c r="H183" s="14">
        <f t="shared" si="7"/>
        <v>1</v>
      </c>
    </row>
    <row r="184" spans="1:8" ht="21" customHeight="1">
      <c r="A184" s="14">
        <f>IF(AND('Current Loan'!$B$13,178&lt;=MAX('Current Loan'!B7,'Proposed Loan'!B6)*12),178,"")</f>
        <v>178</v>
      </c>
      <c r="B184" s="15">
        <f>IF(A184&lt;&gt;"",IF(A184&lt;='Current Loan'!$B$7*12,'Current Loan'!$B$17,0),"")</f>
        <v>4388.8465487596777</v>
      </c>
      <c r="C184" s="15">
        <f>IF(A184&lt;&gt;"",IF(A184&lt;='Current Loan'!$B$7*12,'Current Loan'!$B$9/12,0),"")</f>
        <v>35</v>
      </c>
      <c r="D184" s="15">
        <f>IF(A184&lt;&gt;"",IF(A184&lt;='Proposed Loan'!$B$6*12,'Proposed Loan'!$B$17,0),"")</f>
        <v>4187.9591096558606</v>
      </c>
      <c r="E184" s="15">
        <f>IF(A184&lt;&gt;"",IF(A184&lt;='Proposed Loan'!$B$6*12,'Proposed Loan'!$B$13/12,0),"")</f>
        <v>25</v>
      </c>
      <c r="F184" s="15">
        <f t="shared" si="6"/>
        <v>210.88743910381709</v>
      </c>
      <c r="G184" s="15">
        <f t="shared" si="8"/>
        <v>35987.964160479605</v>
      </c>
      <c r="H184" s="14">
        <f t="shared" si="7"/>
        <v>1</v>
      </c>
    </row>
    <row r="185" spans="1:8" ht="21" customHeight="1">
      <c r="A185" s="14">
        <f>IF(AND('Current Loan'!$B$13,179&lt;=MAX('Current Loan'!B7,'Proposed Loan'!B6)*12),179,"")</f>
        <v>179</v>
      </c>
      <c r="B185" s="15">
        <f>IF(A185&lt;&gt;"",IF(A185&lt;='Current Loan'!$B$7*12,'Current Loan'!$B$17,0),"")</f>
        <v>4388.8465487596777</v>
      </c>
      <c r="C185" s="15">
        <f>IF(A185&lt;&gt;"",IF(A185&lt;='Current Loan'!$B$7*12,'Current Loan'!$B$9/12,0),"")</f>
        <v>35</v>
      </c>
      <c r="D185" s="15">
        <f>IF(A185&lt;&gt;"",IF(A185&lt;='Proposed Loan'!$B$6*12,'Proposed Loan'!$B$17,0),"")</f>
        <v>4187.9591096558606</v>
      </c>
      <c r="E185" s="15">
        <f>IF(A185&lt;&gt;"",IF(A185&lt;='Proposed Loan'!$B$6*12,'Proposed Loan'!$B$13/12,0),"")</f>
        <v>25</v>
      </c>
      <c r="F185" s="15">
        <f t="shared" si="6"/>
        <v>210.88743910381709</v>
      </c>
      <c r="G185" s="15">
        <f t="shared" si="8"/>
        <v>36198.851599583424</v>
      </c>
      <c r="H185" s="14">
        <f t="shared" si="7"/>
        <v>1</v>
      </c>
    </row>
    <row r="186" spans="1:8" ht="21" customHeight="1">
      <c r="A186" s="14">
        <f>IF(AND('Current Loan'!$B$13,180&lt;=MAX('Current Loan'!B7,'Proposed Loan'!B6)*12),180,"")</f>
        <v>180</v>
      </c>
      <c r="B186" s="15">
        <f>IF(A186&lt;&gt;"",IF(A186&lt;='Current Loan'!$B$7*12,'Current Loan'!$B$17,0),"")</f>
        <v>4388.8465487596777</v>
      </c>
      <c r="C186" s="15">
        <f>IF(A186&lt;&gt;"",IF(A186&lt;='Current Loan'!$B$7*12,'Current Loan'!$B$9/12,0),"")</f>
        <v>35</v>
      </c>
      <c r="D186" s="15">
        <f>IF(A186&lt;&gt;"",IF(A186&lt;='Proposed Loan'!$B$6*12,'Proposed Loan'!$B$17,0),"")</f>
        <v>4187.9591096558606</v>
      </c>
      <c r="E186" s="15">
        <f>IF(A186&lt;&gt;"",IF(A186&lt;='Proposed Loan'!$B$6*12,'Proposed Loan'!$B$13/12,0),"")</f>
        <v>25</v>
      </c>
      <c r="F186" s="15">
        <f t="shared" si="6"/>
        <v>210.88743910381709</v>
      </c>
      <c r="G186" s="15">
        <f t="shared" si="8"/>
        <v>36409.739038687243</v>
      </c>
      <c r="H186" s="14">
        <f t="shared" si="7"/>
        <v>1</v>
      </c>
    </row>
    <row r="187" spans="1:8" ht="21" customHeight="1">
      <c r="A187" s="14">
        <f>IF(AND('Current Loan'!$B$13,181&lt;=MAX('Current Loan'!B7,'Proposed Loan'!B6)*12),181,"")</f>
        <v>181</v>
      </c>
      <c r="B187" s="15">
        <f>IF(A187&lt;&gt;"",IF(A187&lt;='Current Loan'!$B$7*12,'Current Loan'!$B$17,0),"")</f>
        <v>4388.8465487596777</v>
      </c>
      <c r="C187" s="15">
        <f>IF(A187&lt;&gt;"",IF(A187&lt;='Current Loan'!$B$7*12,'Current Loan'!$B$9/12,0),"")</f>
        <v>35</v>
      </c>
      <c r="D187" s="15">
        <f>IF(A187&lt;&gt;"",IF(A187&lt;='Proposed Loan'!$B$6*12,'Proposed Loan'!$B$17,0),"")</f>
        <v>4187.9591096558606</v>
      </c>
      <c r="E187" s="15">
        <f>IF(A187&lt;&gt;"",IF(A187&lt;='Proposed Loan'!$B$6*12,'Proposed Loan'!$B$13/12,0),"")</f>
        <v>25</v>
      </c>
      <c r="F187" s="15">
        <f t="shared" si="6"/>
        <v>210.88743910381709</v>
      </c>
      <c r="G187" s="15">
        <f t="shared" si="8"/>
        <v>36620.626477791062</v>
      </c>
      <c r="H187" s="14">
        <f t="shared" si="7"/>
        <v>1</v>
      </c>
    </row>
    <row r="188" spans="1:8" ht="21" customHeight="1">
      <c r="A188" s="14">
        <f>IF(AND('Current Loan'!$B$13,182&lt;=MAX('Current Loan'!B7,'Proposed Loan'!B6)*12),182,"")</f>
        <v>182</v>
      </c>
      <c r="B188" s="15">
        <f>IF(A188&lt;&gt;"",IF(A188&lt;='Current Loan'!$B$7*12,'Current Loan'!$B$17,0),"")</f>
        <v>4388.8465487596777</v>
      </c>
      <c r="C188" s="15">
        <f>IF(A188&lt;&gt;"",IF(A188&lt;='Current Loan'!$B$7*12,'Current Loan'!$B$9/12,0),"")</f>
        <v>35</v>
      </c>
      <c r="D188" s="15">
        <f>IF(A188&lt;&gt;"",IF(A188&lt;='Proposed Loan'!$B$6*12,'Proposed Loan'!$B$17,0),"")</f>
        <v>4187.9591096558606</v>
      </c>
      <c r="E188" s="15">
        <f>IF(A188&lt;&gt;"",IF(A188&lt;='Proposed Loan'!$B$6*12,'Proposed Loan'!$B$13/12,0),"")</f>
        <v>25</v>
      </c>
      <c r="F188" s="15">
        <f t="shared" si="6"/>
        <v>210.88743910381709</v>
      </c>
      <c r="G188" s="15">
        <f t="shared" si="8"/>
        <v>36831.513916894881</v>
      </c>
      <c r="H188" s="14">
        <f t="shared" si="7"/>
        <v>1</v>
      </c>
    </row>
    <row r="189" spans="1:8" ht="21" customHeight="1">
      <c r="A189" s="14">
        <f>IF(AND('Current Loan'!$B$13,183&lt;=MAX('Current Loan'!B7,'Proposed Loan'!B6)*12),183,"")</f>
        <v>183</v>
      </c>
      <c r="B189" s="15">
        <f>IF(A189&lt;&gt;"",IF(A189&lt;='Current Loan'!$B$7*12,'Current Loan'!$B$17,0),"")</f>
        <v>4388.8465487596777</v>
      </c>
      <c r="C189" s="15">
        <f>IF(A189&lt;&gt;"",IF(A189&lt;='Current Loan'!$B$7*12,'Current Loan'!$B$9/12,0),"")</f>
        <v>35</v>
      </c>
      <c r="D189" s="15">
        <f>IF(A189&lt;&gt;"",IF(A189&lt;='Proposed Loan'!$B$6*12,'Proposed Loan'!$B$17,0),"")</f>
        <v>4187.9591096558606</v>
      </c>
      <c r="E189" s="15">
        <f>IF(A189&lt;&gt;"",IF(A189&lt;='Proposed Loan'!$B$6*12,'Proposed Loan'!$B$13/12,0),"")</f>
        <v>25</v>
      </c>
      <c r="F189" s="15">
        <f t="shared" si="6"/>
        <v>210.88743910381709</v>
      </c>
      <c r="G189" s="15">
        <f t="shared" si="8"/>
        <v>37042.4013559987</v>
      </c>
      <c r="H189" s="14">
        <f t="shared" si="7"/>
        <v>1</v>
      </c>
    </row>
    <row r="190" spans="1:8" ht="21" customHeight="1">
      <c r="A190" s="14">
        <f>IF(AND('Current Loan'!$B$13,184&lt;=MAX('Current Loan'!B7,'Proposed Loan'!B6)*12),184,"")</f>
        <v>184</v>
      </c>
      <c r="B190" s="15">
        <f>IF(A190&lt;&gt;"",IF(A190&lt;='Current Loan'!$B$7*12,'Current Loan'!$B$17,0),"")</f>
        <v>4388.8465487596777</v>
      </c>
      <c r="C190" s="15">
        <f>IF(A190&lt;&gt;"",IF(A190&lt;='Current Loan'!$B$7*12,'Current Loan'!$B$9/12,0),"")</f>
        <v>35</v>
      </c>
      <c r="D190" s="15">
        <f>IF(A190&lt;&gt;"",IF(A190&lt;='Proposed Loan'!$B$6*12,'Proposed Loan'!$B$17,0),"")</f>
        <v>4187.9591096558606</v>
      </c>
      <c r="E190" s="15">
        <f>IF(A190&lt;&gt;"",IF(A190&lt;='Proposed Loan'!$B$6*12,'Proposed Loan'!$B$13/12,0),"")</f>
        <v>25</v>
      </c>
      <c r="F190" s="15">
        <f t="shared" si="6"/>
        <v>210.88743910381709</v>
      </c>
      <c r="G190" s="15">
        <f t="shared" si="8"/>
        <v>37253.288795102519</v>
      </c>
      <c r="H190" s="14">
        <f t="shared" si="7"/>
        <v>1</v>
      </c>
    </row>
    <row r="191" spans="1:8" ht="21" customHeight="1">
      <c r="A191" s="14">
        <f>IF(AND('Current Loan'!$B$13,185&lt;=MAX('Current Loan'!B7,'Proposed Loan'!B6)*12),185,"")</f>
        <v>185</v>
      </c>
      <c r="B191" s="15">
        <f>IF(A191&lt;&gt;"",IF(A191&lt;='Current Loan'!$B$7*12,'Current Loan'!$B$17,0),"")</f>
        <v>4388.8465487596777</v>
      </c>
      <c r="C191" s="15">
        <f>IF(A191&lt;&gt;"",IF(A191&lt;='Current Loan'!$B$7*12,'Current Loan'!$B$9/12,0),"")</f>
        <v>35</v>
      </c>
      <c r="D191" s="15">
        <f>IF(A191&lt;&gt;"",IF(A191&lt;='Proposed Loan'!$B$6*12,'Proposed Loan'!$B$17,0),"")</f>
        <v>4187.9591096558606</v>
      </c>
      <c r="E191" s="15">
        <f>IF(A191&lt;&gt;"",IF(A191&lt;='Proposed Loan'!$B$6*12,'Proposed Loan'!$B$13/12,0),"")</f>
        <v>25</v>
      </c>
      <c r="F191" s="15">
        <f t="shared" si="6"/>
        <v>210.88743910381709</v>
      </c>
      <c r="G191" s="15">
        <f t="shared" si="8"/>
        <v>37464.176234206338</v>
      </c>
      <c r="H191" s="14">
        <f t="shared" si="7"/>
        <v>1</v>
      </c>
    </row>
    <row r="192" spans="1:8" ht="21" customHeight="1">
      <c r="A192" s="14">
        <f>IF(AND('Current Loan'!$B$13,186&lt;=MAX('Current Loan'!B7,'Proposed Loan'!B6)*12),186,"")</f>
        <v>186</v>
      </c>
      <c r="B192" s="15">
        <f>IF(A192&lt;&gt;"",IF(A192&lt;='Current Loan'!$B$7*12,'Current Loan'!$B$17,0),"")</f>
        <v>4388.8465487596777</v>
      </c>
      <c r="C192" s="15">
        <f>IF(A192&lt;&gt;"",IF(A192&lt;='Current Loan'!$B$7*12,'Current Loan'!$B$9/12,0),"")</f>
        <v>35</v>
      </c>
      <c r="D192" s="15">
        <f>IF(A192&lt;&gt;"",IF(A192&lt;='Proposed Loan'!$B$6*12,'Proposed Loan'!$B$17,0),"")</f>
        <v>4187.9591096558606</v>
      </c>
      <c r="E192" s="15">
        <f>IF(A192&lt;&gt;"",IF(A192&lt;='Proposed Loan'!$B$6*12,'Proposed Loan'!$B$13/12,0),"")</f>
        <v>25</v>
      </c>
      <c r="F192" s="15">
        <f t="shared" si="6"/>
        <v>210.88743910381709</v>
      </c>
      <c r="G192" s="15">
        <f t="shared" si="8"/>
        <v>37675.063673310156</v>
      </c>
      <c r="H192" s="14">
        <f t="shared" si="7"/>
        <v>1</v>
      </c>
    </row>
    <row r="193" spans="1:8" ht="21" customHeight="1">
      <c r="A193" s="14">
        <f>IF(AND('Current Loan'!$B$13,187&lt;=MAX('Current Loan'!B7,'Proposed Loan'!B6)*12),187,"")</f>
        <v>187</v>
      </c>
      <c r="B193" s="15">
        <f>IF(A193&lt;&gt;"",IF(A193&lt;='Current Loan'!$B$7*12,'Current Loan'!$B$17,0),"")</f>
        <v>4388.8465487596777</v>
      </c>
      <c r="C193" s="15">
        <f>IF(A193&lt;&gt;"",IF(A193&lt;='Current Loan'!$B$7*12,'Current Loan'!$B$9/12,0),"")</f>
        <v>35</v>
      </c>
      <c r="D193" s="15">
        <f>IF(A193&lt;&gt;"",IF(A193&lt;='Proposed Loan'!$B$6*12,'Proposed Loan'!$B$17,0),"")</f>
        <v>4187.9591096558606</v>
      </c>
      <c r="E193" s="15">
        <f>IF(A193&lt;&gt;"",IF(A193&lt;='Proposed Loan'!$B$6*12,'Proposed Loan'!$B$13/12,0),"")</f>
        <v>25</v>
      </c>
      <c r="F193" s="15">
        <f t="shared" si="6"/>
        <v>210.88743910381709</v>
      </c>
      <c r="G193" s="15">
        <f t="shared" si="8"/>
        <v>37885.951112413975</v>
      </c>
      <c r="H193" s="14">
        <f t="shared" si="7"/>
        <v>1</v>
      </c>
    </row>
    <row r="194" spans="1:8" ht="21" customHeight="1">
      <c r="A194" s="14">
        <f>IF(AND('Current Loan'!$B$13,188&lt;=MAX('Current Loan'!B7,'Proposed Loan'!B6)*12),188,"")</f>
        <v>188</v>
      </c>
      <c r="B194" s="15">
        <f>IF(A194&lt;&gt;"",IF(A194&lt;='Current Loan'!$B$7*12,'Current Loan'!$B$17,0),"")</f>
        <v>4388.8465487596777</v>
      </c>
      <c r="C194" s="15">
        <f>IF(A194&lt;&gt;"",IF(A194&lt;='Current Loan'!$B$7*12,'Current Loan'!$B$9/12,0),"")</f>
        <v>35</v>
      </c>
      <c r="D194" s="15">
        <f>IF(A194&lt;&gt;"",IF(A194&lt;='Proposed Loan'!$B$6*12,'Proposed Loan'!$B$17,0),"")</f>
        <v>4187.9591096558606</v>
      </c>
      <c r="E194" s="15">
        <f>IF(A194&lt;&gt;"",IF(A194&lt;='Proposed Loan'!$B$6*12,'Proposed Loan'!$B$13/12,0),"")</f>
        <v>25</v>
      </c>
      <c r="F194" s="15">
        <f t="shared" si="6"/>
        <v>210.88743910381709</v>
      </c>
      <c r="G194" s="15">
        <f t="shared" si="8"/>
        <v>38096.838551517794</v>
      </c>
      <c r="H194" s="14">
        <f t="shared" si="7"/>
        <v>1</v>
      </c>
    </row>
    <row r="195" spans="1:8" ht="21" customHeight="1">
      <c r="A195" s="14">
        <f>IF(AND('Current Loan'!$B$13,189&lt;=MAX('Current Loan'!B7,'Proposed Loan'!B6)*12),189,"")</f>
        <v>189</v>
      </c>
      <c r="B195" s="15">
        <f>IF(A195&lt;&gt;"",IF(A195&lt;='Current Loan'!$B$7*12,'Current Loan'!$B$17,0),"")</f>
        <v>4388.8465487596777</v>
      </c>
      <c r="C195" s="15">
        <f>IF(A195&lt;&gt;"",IF(A195&lt;='Current Loan'!$B$7*12,'Current Loan'!$B$9/12,0),"")</f>
        <v>35</v>
      </c>
      <c r="D195" s="15">
        <f>IF(A195&lt;&gt;"",IF(A195&lt;='Proposed Loan'!$B$6*12,'Proposed Loan'!$B$17,0),"")</f>
        <v>4187.9591096558606</v>
      </c>
      <c r="E195" s="15">
        <f>IF(A195&lt;&gt;"",IF(A195&lt;='Proposed Loan'!$B$6*12,'Proposed Loan'!$B$13/12,0),"")</f>
        <v>25</v>
      </c>
      <c r="F195" s="15">
        <f t="shared" si="6"/>
        <v>210.88743910381709</v>
      </c>
      <c r="G195" s="15">
        <f t="shared" si="8"/>
        <v>38307.725990621613</v>
      </c>
      <c r="H195" s="14">
        <f t="shared" si="7"/>
        <v>1</v>
      </c>
    </row>
    <row r="196" spans="1:8" ht="21" customHeight="1">
      <c r="A196" s="14">
        <f>IF(AND('Current Loan'!$B$13,190&lt;=MAX('Current Loan'!B7,'Proposed Loan'!B6)*12),190,"")</f>
        <v>190</v>
      </c>
      <c r="B196" s="15">
        <f>IF(A196&lt;&gt;"",IF(A196&lt;='Current Loan'!$B$7*12,'Current Loan'!$B$17,0),"")</f>
        <v>4388.8465487596777</v>
      </c>
      <c r="C196" s="15">
        <f>IF(A196&lt;&gt;"",IF(A196&lt;='Current Loan'!$B$7*12,'Current Loan'!$B$9/12,0),"")</f>
        <v>35</v>
      </c>
      <c r="D196" s="15">
        <f>IF(A196&lt;&gt;"",IF(A196&lt;='Proposed Loan'!$B$6*12,'Proposed Loan'!$B$17,0),"")</f>
        <v>4187.9591096558606</v>
      </c>
      <c r="E196" s="15">
        <f>IF(A196&lt;&gt;"",IF(A196&lt;='Proposed Loan'!$B$6*12,'Proposed Loan'!$B$13/12,0),"")</f>
        <v>25</v>
      </c>
      <c r="F196" s="15">
        <f t="shared" si="6"/>
        <v>210.88743910381709</v>
      </c>
      <c r="G196" s="15">
        <f t="shared" si="8"/>
        <v>38518.613429725432</v>
      </c>
      <c r="H196" s="14">
        <f t="shared" si="7"/>
        <v>1</v>
      </c>
    </row>
    <row r="197" spans="1:8" ht="21" customHeight="1">
      <c r="A197" s="14">
        <f>IF(AND('Current Loan'!$B$13,191&lt;=MAX('Current Loan'!B7,'Proposed Loan'!B6)*12),191,"")</f>
        <v>191</v>
      </c>
      <c r="B197" s="15">
        <f>IF(A197&lt;&gt;"",IF(A197&lt;='Current Loan'!$B$7*12,'Current Loan'!$B$17,0),"")</f>
        <v>4388.8465487596777</v>
      </c>
      <c r="C197" s="15">
        <f>IF(A197&lt;&gt;"",IF(A197&lt;='Current Loan'!$B$7*12,'Current Loan'!$B$9/12,0),"")</f>
        <v>35</v>
      </c>
      <c r="D197" s="15">
        <f>IF(A197&lt;&gt;"",IF(A197&lt;='Proposed Loan'!$B$6*12,'Proposed Loan'!$B$17,0),"")</f>
        <v>4187.9591096558606</v>
      </c>
      <c r="E197" s="15">
        <f>IF(A197&lt;&gt;"",IF(A197&lt;='Proposed Loan'!$B$6*12,'Proposed Loan'!$B$13/12,0),"")</f>
        <v>25</v>
      </c>
      <c r="F197" s="15">
        <f t="shared" si="6"/>
        <v>210.88743910381709</v>
      </c>
      <c r="G197" s="15">
        <f t="shared" si="8"/>
        <v>38729.500868829251</v>
      </c>
      <c r="H197" s="14">
        <f t="shared" si="7"/>
        <v>1</v>
      </c>
    </row>
    <row r="198" spans="1:8" ht="21" customHeight="1">
      <c r="A198" s="14">
        <f>IF(AND('Current Loan'!$B$13,192&lt;=MAX('Current Loan'!B7,'Proposed Loan'!B6)*12),192,"")</f>
        <v>192</v>
      </c>
      <c r="B198" s="15">
        <f>IF(A198&lt;&gt;"",IF(A198&lt;='Current Loan'!$B$7*12,'Current Loan'!$B$17,0),"")</f>
        <v>4388.8465487596777</v>
      </c>
      <c r="C198" s="15">
        <f>IF(A198&lt;&gt;"",IF(A198&lt;='Current Loan'!$B$7*12,'Current Loan'!$B$9/12,0),"")</f>
        <v>35</v>
      </c>
      <c r="D198" s="15">
        <f>IF(A198&lt;&gt;"",IF(A198&lt;='Proposed Loan'!$B$6*12,'Proposed Loan'!$B$17,0),"")</f>
        <v>4187.9591096558606</v>
      </c>
      <c r="E198" s="15">
        <f>IF(A198&lt;&gt;"",IF(A198&lt;='Proposed Loan'!$B$6*12,'Proposed Loan'!$B$13/12,0),"")</f>
        <v>25</v>
      </c>
      <c r="F198" s="15">
        <f t="shared" si="6"/>
        <v>210.88743910381709</v>
      </c>
      <c r="G198" s="15">
        <f t="shared" si="8"/>
        <v>38940.38830793307</v>
      </c>
      <c r="H198" s="14">
        <f t="shared" si="7"/>
        <v>1</v>
      </c>
    </row>
    <row r="199" spans="1:8" ht="21" customHeight="1">
      <c r="A199" s="14">
        <f>IF(AND('Current Loan'!$B$13,193&lt;=MAX('Current Loan'!B7,'Proposed Loan'!B6)*12),193,"")</f>
        <v>193</v>
      </c>
      <c r="B199" s="15">
        <f>IF(A199&lt;&gt;"",IF(A199&lt;='Current Loan'!$B$7*12,'Current Loan'!$B$17,0),"")</f>
        <v>4388.8465487596777</v>
      </c>
      <c r="C199" s="15">
        <f>IF(A199&lt;&gt;"",IF(A199&lt;='Current Loan'!$B$7*12,'Current Loan'!$B$9/12,0),"")</f>
        <v>35</v>
      </c>
      <c r="D199" s="15">
        <f>IF(A199&lt;&gt;"",IF(A199&lt;='Proposed Loan'!$B$6*12,'Proposed Loan'!$B$17,0),"")</f>
        <v>4187.9591096558606</v>
      </c>
      <c r="E199" s="15">
        <f>IF(A199&lt;&gt;"",IF(A199&lt;='Proposed Loan'!$B$6*12,'Proposed Loan'!$B$13/12,0),"")</f>
        <v>25</v>
      </c>
      <c r="F199" s="15">
        <f t="shared" ref="F199:F262" si="9">IF(A199&lt;&gt;"",SUM(B199:C199)-SUM(D199:E199),"")</f>
        <v>210.88743910381709</v>
      </c>
      <c r="G199" s="15">
        <f t="shared" si="8"/>
        <v>39151.275747036889</v>
      </c>
      <c r="H199" s="14">
        <f t="shared" ref="H199:H262" si="10">IF(A199&lt;&gt;"",IF(G199&gt;=0,1,0),"")</f>
        <v>1</v>
      </c>
    </row>
    <row r="200" spans="1:8" ht="21" customHeight="1">
      <c r="A200" s="14">
        <f>IF(AND('Current Loan'!$B$13,194&lt;=MAX('Current Loan'!B7,'Proposed Loan'!B6)*12),194,"")</f>
        <v>194</v>
      </c>
      <c r="B200" s="15">
        <f>IF(A200&lt;&gt;"",IF(A200&lt;='Current Loan'!$B$7*12,'Current Loan'!$B$17,0),"")</f>
        <v>4388.8465487596777</v>
      </c>
      <c r="C200" s="15">
        <f>IF(A200&lt;&gt;"",IF(A200&lt;='Current Loan'!$B$7*12,'Current Loan'!$B$9/12,0),"")</f>
        <v>35</v>
      </c>
      <c r="D200" s="15">
        <f>IF(A200&lt;&gt;"",IF(A200&lt;='Proposed Loan'!$B$6*12,'Proposed Loan'!$B$17,0),"")</f>
        <v>4187.9591096558606</v>
      </c>
      <c r="E200" s="15">
        <f>IF(A200&lt;&gt;"",IF(A200&lt;='Proposed Loan'!$B$6*12,'Proposed Loan'!$B$13/12,0),"")</f>
        <v>25</v>
      </c>
      <c r="F200" s="15">
        <f t="shared" si="9"/>
        <v>210.88743910381709</v>
      </c>
      <c r="G200" s="15">
        <f t="shared" ref="G200:G263" si="11">IF(A200&lt;&gt;"",G199+F200,"")</f>
        <v>39362.163186140708</v>
      </c>
      <c r="H200" s="14">
        <f t="shared" si="10"/>
        <v>1</v>
      </c>
    </row>
    <row r="201" spans="1:8" ht="21" customHeight="1">
      <c r="A201" s="14">
        <f>IF(AND('Current Loan'!$B$13,195&lt;=MAX('Current Loan'!B7,'Proposed Loan'!B6)*12),195,"")</f>
        <v>195</v>
      </c>
      <c r="B201" s="15">
        <f>IF(A201&lt;&gt;"",IF(A201&lt;='Current Loan'!$B$7*12,'Current Loan'!$B$17,0),"")</f>
        <v>4388.8465487596777</v>
      </c>
      <c r="C201" s="15">
        <f>IF(A201&lt;&gt;"",IF(A201&lt;='Current Loan'!$B$7*12,'Current Loan'!$B$9/12,0),"")</f>
        <v>35</v>
      </c>
      <c r="D201" s="15">
        <f>IF(A201&lt;&gt;"",IF(A201&lt;='Proposed Loan'!$B$6*12,'Proposed Loan'!$B$17,0),"")</f>
        <v>4187.9591096558606</v>
      </c>
      <c r="E201" s="15">
        <f>IF(A201&lt;&gt;"",IF(A201&lt;='Proposed Loan'!$B$6*12,'Proposed Loan'!$B$13/12,0),"")</f>
        <v>25</v>
      </c>
      <c r="F201" s="15">
        <f t="shared" si="9"/>
        <v>210.88743910381709</v>
      </c>
      <c r="G201" s="15">
        <f t="shared" si="11"/>
        <v>39573.050625244527</v>
      </c>
      <c r="H201" s="14">
        <f t="shared" si="10"/>
        <v>1</v>
      </c>
    </row>
    <row r="202" spans="1:8" ht="21" customHeight="1">
      <c r="A202" s="14">
        <f>IF(AND('Current Loan'!$B$13,196&lt;=MAX('Current Loan'!B7,'Proposed Loan'!B6)*12),196,"")</f>
        <v>196</v>
      </c>
      <c r="B202" s="15">
        <f>IF(A202&lt;&gt;"",IF(A202&lt;='Current Loan'!$B$7*12,'Current Loan'!$B$17,0),"")</f>
        <v>4388.8465487596777</v>
      </c>
      <c r="C202" s="15">
        <f>IF(A202&lt;&gt;"",IF(A202&lt;='Current Loan'!$B$7*12,'Current Loan'!$B$9/12,0),"")</f>
        <v>35</v>
      </c>
      <c r="D202" s="15">
        <f>IF(A202&lt;&gt;"",IF(A202&lt;='Proposed Loan'!$B$6*12,'Proposed Loan'!$B$17,0),"")</f>
        <v>4187.9591096558606</v>
      </c>
      <c r="E202" s="15">
        <f>IF(A202&lt;&gt;"",IF(A202&lt;='Proposed Loan'!$B$6*12,'Proposed Loan'!$B$13/12,0),"")</f>
        <v>25</v>
      </c>
      <c r="F202" s="15">
        <f t="shared" si="9"/>
        <v>210.88743910381709</v>
      </c>
      <c r="G202" s="15">
        <f t="shared" si="11"/>
        <v>39783.938064348346</v>
      </c>
      <c r="H202" s="14">
        <f t="shared" si="10"/>
        <v>1</v>
      </c>
    </row>
    <row r="203" spans="1:8" ht="21" customHeight="1">
      <c r="A203" s="14">
        <f>IF(AND('Current Loan'!$B$13,197&lt;=MAX('Current Loan'!B7,'Proposed Loan'!B6)*12),197,"")</f>
        <v>197</v>
      </c>
      <c r="B203" s="15">
        <f>IF(A203&lt;&gt;"",IF(A203&lt;='Current Loan'!$B$7*12,'Current Loan'!$B$17,0),"")</f>
        <v>4388.8465487596777</v>
      </c>
      <c r="C203" s="15">
        <f>IF(A203&lt;&gt;"",IF(A203&lt;='Current Loan'!$B$7*12,'Current Loan'!$B$9/12,0),"")</f>
        <v>35</v>
      </c>
      <c r="D203" s="15">
        <f>IF(A203&lt;&gt;"",IF(A203&lt;='Proposed Loan'!$B$6*12,'Proposed Loan'!$B$17,0),"")</f>
        <v>4187.9591096558606</v>
      </c>
      <c r="E203" s="15">
        <f>IF(A203&lt;&gt;"",IF(A203&lt;='Proposed Loan'!$B$6*12,'Proposed Loan'!$B$13/12,0),"")</f>
        <v>25</v>
      </c>
      <c r="F203" s="15">
        <f t="shared" si="9"/>
        <v>210.88743910381709</v>
      </c>
      <c r="G203" s="15">
        <f t="shared" si="11"/>
        <v>39994.825503452164</v>
      </c>
      <c r="H203" s="14">
        <f t="shared" si="10"/>
        <v>1</v>
      </c>
    </row>
    <row r="204" spans="1:8" ht="21" customHeight="1">
      <c r="A204" s="14">
        <f>IF(AND('Current Loan'!$B$13,198&lt;=MAX('Current Loan'!B7,'Proposed Loan'!B6)*12),198,"")</f>
        <v>198</v>
      </c>
      <c r="B204" s="15">
        <f>IF(A204&lt;&gt;"",IF(A204&lt;='Current Loan'!$B$7*12,'Current Loan'!$B$17,0),"")</f>
        <v>4388.8465487596777</v>
      </c>
      <c r="C204" s="15">
        <f>IF(A204&lt;&gt;"",IF(A204&lt;='Current Loan'!$B$7*12,'Current Loan'!$B$9/12,0),"")</f>
        <v>35</v>
      </c>
      <c r="D204" s="15">
        <f>IF(A204&lt;&gt;"",IF(A204&lt;='Proposed Loan'!$B$6*12,'Proposed Loan'!$B$17,0),"")</f>
        <v>4187.9591096558606</v>
      </c>
      <c r="E204" s="15">
        <f>IF(A204&lt;&gt;"",IF(A204&lt;='Proposed Loan'!$B$6*12,'Proposed Loan'!$B$13/12,0),"")</f>
        <v>25</v>
      </c>
      <c r="F204" s="15">
        <f t="shared" si="9"/>
        <v>210.88743910381709</v>
      </c>
      <c r="G204" s="15">
        <f t="shared" si="11"/>
        <v>40205.712942555983</v>
      </c>
      <c r="H204" s="14">
        <f t="shared" si="10"/>
        <v>1</v>
      </c>
    </row>
    <row r="205" spans="1:8" ht="21" customHeight="1">
      <c r="A205" s="14">
        <f>IF(AND('Current Loan'!$B$13,199&lt;=MAX('Current Loan'!B7,'Proposed Loan'!B6)*12),199,"")</f>
        <v>199</v>
      </c>
      <c r="B205" s="15">
        <f>IF(A205&lt;&gt;"",IF(A205&lt;='Current Loan'!$B$7*12,'Current Loan'!$B$17,0),"")</f>
        <v>4388.8465487596777</v>
      </c>
      <c r="C205" s="15">
        <f>IF(A205&lt;&gt;"",IF(A205&lt;='Current Loan'!$B$7*12,'Current Loan'!$B$9/12,0),"")</f>
        <v>35</v>
      </c>
      <c r="D205" s="15">
        <f>IF(A205&lt;&gt;"",IF(A205&lt;='Proposed Loan'!$B$6*12,'Proposed Loan'!$B$17,0),"")</f>
        <v>4187.9591096558606</v>
      </c>
      <c r="E205" s="15">
        <f>IF(A205&lt;&gt;"",IF(A205&lt;='Proposed Loan'!$B$6*12,'Proposed Loan'!$B$13/12,0),"")</f>
        <v>25</v>
      </c>
      <c r="F205" s="15">
        <f t="shared" si="9"/>
        <v>210.88743910381709</v>
      </c>
      <c r="G205" s="15">
        <f t="shared" si="11"/>
        <v>40416.600381659802</v>
      </c>
      <c r="H205" s="14">
        <f t="shared" si="10"/>
        <v>1</v>
      </c>
    </row>
    <row r="206" spans="1:8" ht="21" customHeight="1">
      <c r="A206" s="14">
        <f>IF(AND('Current Loan'!$B$13,200&lt;=MAX('Current Loan'!B7,'Proposed Loan'!B6)*12),200,"")</f>
        <v>200</v>
      </c>
      <c r="B206" s="15">
        <f>IF(A206&lt;&gt;"",IF(A206&lt;='Current Loan'!$B$7*12,'Current Loan'!$B$17,0),"")</f>
        <v>4388.8465487596777</v>
      </c>
      <c r="C206" s="15">
        <f>IF(A206&lt;&gt;"",IF(A206&lt;='Current Loan'!$B$7*12,'Current Loan'!$B$9/12,0),"")</f>
        <v>35</v>
      </c>
      <c r="D206" s="15">
        <f>IF(A206&lt;&gt;"",IF(A206&lt;='Proposed Loan'!$B$6*12,'Proposed Loan'!$B$17,0),"")</f>
        <v>4187.9591096558606</v>
      </c>
      <c r="E206" s="15">
        <f>IF(A206&lt;&gt;"",IF(A206&lt;='Proposed Loan'!$B$6*12,'Proposed Loan'!$B$13/12,0),"")</f>
        <v>25</v>
      </c>
      <c r="F206" s="15">
        <f t="shared" si="9"/>
        <v>210.88743910381709</v>
      </c>
      <c r="G206" s="15">
        <f t="shared" si="11"/>
        <v>40627.487820763621</v>
      </c>
      <c r="H206" s="14">
        <f t="shared" si="10"/>
        <v>1</v>
      </c>
    </row>
    <row r="207" spans="1:8" ht="21" customHeight="1">
      <c r="A207" s="14">
        <f>IF(AND('Current Loan'!$B$13,201&lt;=MAX('Current Loan'!B7,'Proposed Loan'!B6)*12),201,"")</f>
        <v>201</v>
      </c>
      <c r="B207" s="15">
        <f>IF(A207&lt;&gt;"",IF(A207&lt;='Current Loan'!$B$7*12,'Current Loan'!$B$17,0),"")</f>
        <v>4388.8465487596777</v>
      </c>
      <c r="C207" s="15">
        <f>IF(A207&lt;&gt;"",IF(A207&lt;='Current Loan'!$B$7*12,'Current Loan'!$B$9/12,0),"")</f>
        <v>35</v>
      </c>
      <c r="D207" s="15">
        <f>IF(A207&lt;&gt;"",IF(A207&lt;='Proposed Loan'!$B$6*12,'Proposed Loan'!$B$17,0),"")</f>
        <v>4187.9591096558606</v>
      </c>
      <c r="E207" s="15">
        <f>IF(A207&lt;&gt;"",IF(A207&lt;='Proposed Loan'!$B$6*12,'Proposed Loan'!$B$13/12,0),"")</f>
        <v>25</v>
      </c>
      <c r="F207" s="15">
        <f t="shared" si="9"/>
        <v>210.88743910381709</v>
      </c>
      <c r="G207" s="15">
        <f t="shared" si="11"/>
        <v>40838.37525986744</v>
      </c>
      <c r="H207" s="14">
        <f t="shared" si="10"/>
        <v>1</v>
      </c>
    </row>
    <row r="208" spans="1:8" ht="21" customHeight="1">
      <c r="A208" s="14">
        <f>IF(AND('Current Loan'!$B$13,202&lt;=MAX('Current Loan'!B7,'Proposed Loan'!B6)*12),202,"")</f>
        <v>202</v>
      </c>
      <c r="B208" s="15">
        <f>IF(A208&lt;&gt;"",IF(A208&lt;='Current Loan'!$B$7*12,'Current Loan'!$B$17,0),"")</f>
        <v>4388.8465487596777</v>
      </c>
      <c r="C208" s="15">
        <f>IF(A208&lt;&gt;"",IF(A208&lt;='Current Loan'!$B$7*12,'Current Loan'!$B$9/12,0),"")</f>
        <v>35</v>
      </c>
      <c r="D208" s="15">
        <f>IF(A208&lt;&gt;"",IF(A208&lt;='Proposed Loan'!$B$6*12,'Proposed Loan'!$B$17,0),"")</f>
        <v>4187.9591096558606</v>
      </c>
      <c r="E208" s="15">
        <f>IF(A208&lt;&gt;"",IF(A208&lt;='Proposed Loan'!$B$6*12,'Proposed Loan'!$B$13/12,0),"")</f>
        <v>25</v>
      </c>
      <c r="F208" s="15">
        <f t="shared" si="9"/>
        <v>210.88743910381709</v>
      </c>
      <c r="G208" s="15">
        <f t="shared" si="11"/>
        <v>41049.262698971259</v>
      </c>
      <c r="H208" s="14">
        <f t="shared" si="10"/>
        <v>1</v>
      </c>
    </row>
    <row r="209" spans="1:8" ht="21" customHeight="1">
      <c r="A209" s="14">
        <f>IF(AND('Current Loan'!$B$13,203&lt;=MAX('Current Loan'!B7,'Proposed Loan'!B6)*12),203,"")</f>
        <v>203</v>
      </c>
      <c r="B209" s="15">
        <f>IF(A209&lt;&gt;"",IF(A209&lt;='Current Loan'!$B$7*12,'Current Loan'!$B$17,0),"")</f>
        <v>4388.8465487596777</v>
      </c>
      <c r="C209" s="15">
        <f>IF(A209&lt;&gt;"",IF(A209&lt;='Current Loan'!$B$7*12,'Current Loan'!$B$9/12,0),"")</f>
        <v>35</v>
      </c>
      <c r="D209" s="15">
        <f>IF(A209&lt;&gt;"",IF(A209&lt;='Proposed Loan'!$B$6*12,'Proposed Loan'!$B$17,0),"")</f>
        <v>4187.9591096558606</v>
      </c>
      <c r="E209" s="15">
        <f>IF(A209&lt;&gt;"",IF(A209&lt;='Proposed Loan'!$B$6*12,'Proposed Loan'!$B$13/12,0),"")</f>
        <v>25</v>
      </c>
      <c r="F209" s="15">
        <f t="shared" si="9"/>
        <v>210.88743910381709</v>
      </c>
      <c r="G209" s="15">
        <f t="shared" si="11"/>
        <v>41260.150138075078</v>
      </c>
      <c r="H209" s="14">
        <f t="shared" si="10"/>
        <v>1</v>
      </c>
    </row>
    <row r="210" spans="1:8" ht="21" customHeight="1">
      <c r="A210" s="14">
        <f>IF(AND('Current Loan'!$B$13,204&lt;=MAX('Current Loan'!B7,'Proposed Loan'!B6)*12),204,"")</f>
        <v>204</v>
      </c>
      <c r="B210" s="15">
        <f>IF(A210&lt;&gt;"",IF(A210&lt;='Current Loan'!$B$7*12,'Current Loan'!$B$17,0),"")</f>
        <v>4388.8465487596777</v>
      </c>
      <c r="C210" s="15">
        <f>IF(A210&lt;&gt;"",IF(A210&lt;='Current Loan'!$B$7*12,'Current Loan'!$B$9/12,0),"")</f>
        <v>35</v>
      </c>
      <c r="D210" s="15">
        <f>IF(A210&lt;&gt;"",IF(A210&lt;='Proposed Loan'!$B$6*12,'Proposed Loan'!$B$17,0),"")</f>
        <v>4187.9591096558606</v>
      </c>
      <c r="E210" s="15">
        <f>IF(A210&lt;&gt;"",IF(A210&lt;='Proposed Loan'!$B$6*12,'Proposed Loan'!$B$13/12,0),"")</f>
        <v>25</v>
      </c>
      <c r="F210" s="15">
        <f t="shared" si="9"/>
        <v>210.88743910381709</v>
      </c>
      <c r="G210" s="15">
        <f t="shared" si="11"/>
        <v>41471.037577178897</v>
      </c>
      <c r="H210" s="14">
        <f t="shared" si="10"/>
        <v>1</v>
      </c>
    </row>
    <row r="211" spans="1:8" ht="21" customHeight="1">
      <c r="A211" s="14">
        <f>IF(AND('Current Loan'!$B$13,205&lt;=MAX('Current Loan'!B7,'Proposed Loan'!B6)*12),205,"")</f>
        <v>205</v>
      </c>
      <c r="B211" s="15">
        <f>IF(A211&lt;&gt;"",IF(A211&lt;='Current Loan'!$B$7*12,'Current Loan'!$B$17,0),"")</f>
        <v>4388.8465487596777</v>
      </c>
      <c r="C211" s="15">
        <f>IF(A211&lt;&gt;"",IF(A211&lt;='Current Loan'!$B$7*12,'Current Loan'!$B$9/12,0),"")</f>
        <v>35</v>
      </c>
      <c r="D211" s="15">
        <f>IF(A211&lt;&gt;"",IF(A211&lt;='Proposed Loan'!$B$6*12,'Proposed Loan'!$B$17,0),"")</f>
        <v>4187.9591096558606</v>
      </c>
      <c r="E211" s="15">
        <f>IF(A211&lt;&gt;"",IF(A211&lt;='Proposed Loan'!$B$6*12,'Proposed Loan'!$B$13/12,0),"")</f>
        <v>25</v>
      </c>
      <c r="F211" s="15">
        <f t="shared" si="9"/>
        <v>210.88743910381709</v>
      </c>
      <c r="G211" s="15">
        <f t="shared" si="11"/>
        <v>41681.925016282716</v>
      </c>
      <c r="H211" s="14">
        <f t="shared" si="10"/>
        <v>1</v>
      </c>
    </row>
    <row r="212" spans="1:8" ht="21" customHeight="1">
      <c r="A212" s="14">
        <f>IF(AND('Current Loan'!$B$13,206&lt;=MAX('Current Loan'!B7,'Proposed Loan'!B6)*12),206,"")</f>
        <v>206</v>
      </c>
      <c r="B212" s="15">
        <f>IF(A212&lt;&gt;"",IF(A212&lt;='Current Loan'!$B$7*12,'Current Loan'!$B$17,0),"")</f>
        <v>4388.8465487596777</v>
      </c>
      <c r="C212" s="15">
        <f>IF(A212&lt;&gt;"",IF(A212&lt;='Current Loan'!$B$7*12,'Current Loan'!$B$9/12,0),"")</f>
        <v>35</v>
      </c>
      <c r="D212" s="15">
        <f>IF(A212&lt;&gt;"",IF(A212&lt;='Proposed Loan'!$B$6*12,'Proposed Loan'!$B$17,0),"")</f>
        <v>4187.9591096558606</v>
      </c>
      <c r="E212" s="15">
        <f>IF(A212&lt;&gt;"",IF(A212&lt;='Proposed Loan'!$B$6*12,'Proposed Loan'!$B$13/12,0),"")</f>
        <v>25</v>
      </c>
      <c r="F212" s="15">
        <f t="shared" si="9"/>
        <v>210.88743910381709</v>
      </c>
      <c r="G212" s="15">
        <f t="shared" si="11"/>
        <v>41892.812455386535</v>
      </c>
      <c r="H212" s="14">
        <f t="shared" si="10"/>
        <v>1</v>
      </c>
    </row>
    <row r="213" spans="1:8" ht="21" customHeight="1">
      <c r="A213" s="14">
        <f>IF(AND('Current Loan'!$B$13,207&lt;=MAX('Current Loan'!B7,'Proposed Loan'!B6)*12),207,"")</f>
        <v>207</v>
      </c>
      <c r="B213" s="15">
        <f>IF(A213&lt;&gt;"",IF(A213&lt;='Current Loan'!$B$7*12,'Current Loan'!$B$17,0),"")</f>
        <v>4388.8465487596777</v>
      </c>
      <c r="C213" s="15">
        <f>IF(A213&lt;&gt;"",IF(A213&lt;='Current Loan'!$B$7*12,'Current Loan'!$B$9/12,0),"")</f>
        <v>35</v>
      </c>
      <c r="D213" s="15">
        <f>IF(A213&lt;&gt;"",IF(A213&lt;='Proposed Loan'!$B$6*12,'Proposed Loan'!$B$17,0),"")</f>
        <v>4187.9591096558606</v>
      </c>
      <c r="E213" s="15">
        <f>IF(A213&lt;&gt;"",IF(A213&lt;='Proposed Loan'!$B$6*12,'Proposed Loan'!$B$13/12,0),"")</f>
        <v>25</v>
      </c>
      <c r="F213" s="15">
        <f t="shared" si="9"/>
        <v>210.88743910381709</v>
      </c>
      <c r="G213" s="15">
        <f t="shared" si="11"/>
        <v>42103.699894490353</v>
      </c>
      <c r="H213" s="14">
        <f t="shared" si="10"/>
        <v>1</v>
      </c>
    </row>
    <row r="214" spans="1:8" ht="21" customHeight="1">
      <c r="A214" s="14">
        <f>IF(AND('Current Loan'!$B$13,208&lt;=MAX('Current Loan'!B7,'Proposed Loan'!B6)*12),208,"")</f>
        <v>208</v>
      </c>
      <c r="B214" s="15">
        <f>IF(A214&lt;&gt;"",IF(A214&lt;='Current Loan'!$B$7*12,'Current Loan'!$B$17,0),"")</f>
        <v>4388.8465487596777</v>
      </c>
      <c r="C214" s="15">
        <f>IF(A214&lt;&gt;"",IF(A214&lt;='Current Loan'!$B$7*12,'Current Loan'!$B$9/12,0),"")</f>
        <v>35</v>
      </c>
      <c r="D214" s="15">
        <f>IF(A214&lt;&gt;"",IF(A214&lt;='Proposed Loan'!$B$6*12,'Proposed Loan'!$B$17,0),"")</f>
        <v>4187.9591096558606</v>
      </c>
      <c r="E214" s="15">
        <f>IF(A214&lt;&gt;"",IF(A214&lt;='Proposed Loan'!$B$6*12,'Proposed Loan'!$B$13/12,0),"")</f>
        <v>25</v>
      </c>
      <c r="F214" s="15">
        <f t="shared" si="9"/>
        <v>210.88743910381709</v>
      </c>
      <c r="G214" s="15">
        <f t="shared" si="11"/>
        <v>42314.587333594172</v>
      </c>
      <c r="H214" s="14">
        <f t="shared" si="10"/>
        <v>1</v>
      </c>
    </row>
    <row r="215" spans="1:8" ht="21" customHeight="1">
      <c r="A215" s="14">
        <f>IF(AND('Current Loan'!$B$13,209&lt;=MAX('Current Loan'!B7,'Proposed Loan'!B6)*12),209,"")</f>
        <v>209</v>
      </c>
      <c r="B215" s="15">
        <f>IF(A215&lt;&gt;"",IF(A215&lt;='Current Loan'!$B$7*12,'Current Loan'!$B$17,0),"")</f>
        <v>4388.8465487596777</v>
      </c>
      <c r="C215" s="15">
        <f>IF(A215&lt;&gt;"",IF(A215&lt;='Current Loan'!$B$7*12,'Current Loan'!$B$9/12,0),"")</f>
        <v>35</v>
      </c>
      <c r="D215" s="15">
        <f>IF(A215&lt;&gt;"",IF(A215&lt;='Proposed Loan'!$B$6*12,'Proposed Loan'!$B$17,0),"")</f>
        <v>4187.9591096558606</v>
      </c>
      <c r="E215" s="15">
        <f>IF(A215&lt;&gt;"",IF(A215&lt;='Proposed Loan'!$B$6*12,'Proposed Loan'!$B$13/12,0),"")</f>
        <v>25</v>
      </c>
      <c r="F215" s="15">
        <f t="shared" si="9"/>
        <v>210.88743910381709</v>
      </c>
      <c r="G215" s="15">
        <f t="shared" si="11"/>
        <v>42525.474772697991</v>
      </c>
      <c r="H215" s="14">
        <f t="shared" si="10"/>
        <v>1</v>
      </c>
    </row>
    <row r="216" spans="1:8" ht="21" customHeight="1">
      <c r="A216" s="14">
        <f>IF(AND('Current Loan'!$B$13,210&lt;=MAX('Current Loan'!B7,'Proposed Loan'!B6)*12),210,"")</f>
        <v>210</v>
      </c>
      <c r="B216" s="15">
        <f>IF(A216&lt;&gt;"",IF(A216&lt;='Current Loan'!$B$7*12,'Current Loan'!$B$17,0),"")</f>
        <v>4388.8465487596777</v>
      </c>
      <c r="C216" s="15">
        <f>IF(A216&lt;&gt;"",IF(A216&lt;='Current Loan'!$B$7*12,'Current Loan'!$B$9/12,0),"")</f>
        <v>35</v>
      </c>
      <c r="D216" s="15">
        <f>IF(A216&lt;&gt;"",IF(A216&lt;='Proposed Loan'!$B$6*12,'Proposed Loan'!$B$17,0),"")</f>
        <v>4187.9591096558606</v>
      </c>
      <c r="E216" s="15">
        <f>IF(A216&lt;&gt;"",IF(A216&lt;='Proposed Loan'!$B$6*12,'Proposed Loan'!$B$13/12,0),"")</f>
        <v>25</v>
      </c>
      <c r="F216" s="15">
        <f t="shared" si="9"/>
        <v>210.88743910381709</v>
      </c>
      <c r="G216" s="15">
        <f t="shared" si="11"/>
        <v>42736.36221180181</v>
      </c>
      <c r="H216" s="14">
        <f t="shared" si="10"/>
        <v>1</v>
      </c>
    </row>
    <row r="217" spans="1:8" ht="21" customHeight="1">
      <c r="A217" s="14">
        <f>IF(AND('Current Loan'!$B$13,211&lt;=MAX('Current Loan'!B7,'Proposed Loan'!B6)*12),211,"")</f>
        <v>211</v>
      </c>
      <c r="B217" s="15">
        <f>IF(A217&lt;&gt;"",IF(A217&lt;='Current Loan'!$B$7*12,'Current Loan'!$B$17,0),"")</f>
        <v>4388.8465487596777</v>
      </c>
      <c r="C217" s="15">
        <f>IF(A217&lt;&gt;"",IF(A217&lt;='Current Loan'!$B$7*12,'Current Loan'!$B$9/12,0),"")</f>
        <v>35</v>
      </c>
      <c r="D217" s="15">
        <f>IF(A217&lt;&gt;"",IF(A217&lt;='Proposed Loan'!$B$6*12,'Proposed Loan'!$B$17,0),"")</f>
        <v>4187.9591096558606</v>
      </c>
      <c r="E217" s="15">
        <f>IF(A217&lt;&gt;"",IF(A217&lt;='Proposed Loan'!$B$6*12,'Proposed Loan'!$B$13/12,0),"")</f>
        <v>25</v>
      </c>
      <c r="F217" s="15">
        <f t="shared" si="9"/>
        <v>210.88743910381709</v>
      </c>
      <c r="G217" s="15">
        <f t="shared" si="11"/>
        <v>42947.249650905629</v>
      </c>
      <c r="H217" s="14">
        <f t="shared" si="10"/>
        <v>1</v>
      </c>
    </row>
    <row r="218" spans="1:8" ht="21" customHeight="1">
      <c r="A218" s="14">
        <f>IF(AND('Current Loan'!$B$13,212&lt;=MAX('Current Loan'!B7,'Proposed Loan'!B6)*12),212,"")</f>
        <v>212</v>
      </c>
      <c r="B218" s="15">
        <f>IF(A218&lt;&gt;"",IF(A218&lt;='Current Loan'!$B$7*12,'Current Loan'!$B$17,0),"")</f>
        <v>4388.8465487596777</v>
      </c>
      <c r="C218" s="15">
        <f>IF(A218&lt;&gt;"",IF(A218&lt;='Current Loan'!$B$7*12,'Current Loan'!$B$9/12,0),"")</f>
        <v>35</v>
      </c>
      <c r="D218" s="15">
        <f>IF(A218&lt;&gt;"",IF(A218&lt;='Proposed Loan'!$B$6*12,'Proposed Loan'!$B$17,0),"")</f>
        <v>4187.9591096558606</v>
      </c>
      <c r="E218" s="15">
        <f>IF(A218&lt;&gt;"",IF(A218&lt;='Proposed Loan'!$B$6*12,'Proposed Loan'!$B$13/12,0),"")</f>
        <v>25</v>
      </c>
      <c r="F218" s="15">
        <f t="shared" si="9"/>
        <v>210.88743910381709</v>
      </c>
      <c r="G218" s="15">
        <f t="shared" si="11"/>
        <v>43158.137090009448</v>
      </c>
      <c r="H218" s="14">
        <f t="shared" si="10"/>
        <v>1</v>
      </c>
    </row>
    <row r="219" spans="1:8" ht="21" customHeight="1">
      <c r="A219" s="14">
        <f>IF(AND('Current Loan'!$B$13,213&lt;=MAX('Current Loan'!B7,'Proposed Loan'!B6)*12),213,"")</f>
        <v>213</v>
      </c>
      <c r="B219" s="15">
        <f>IF(A219&lt;&gt;"",IF(A219&lt;='Current Loan'!$B$7*12,'Current Loan'!$B$17,0),"")</f>
        <v>4388.8465487596777</v>
      </c>
      <c r="C219" s="15">
        <f>IF(A219&lt;&gt;"",IF(A219&lt;='Current Loan'!$B$7*12,'Current Loan'!$B$9/12,0),"")</f>
        <v>35</v>
      </c>
      <c r="D219" s="15">
        <f>IF(A219&lt;&gt;"",IF(A219&lt;='Proposed Loan'!$B$6*12,'Proposed Loan'!$B$17,0),"")</f>
        <v>4187.9591096558606</v>
      </c>
      <c r="E219" s="15">
        <f>IF(A219&lt;&gt;"",IF(A219&lt;='Proposed Loan'!$B$6*12,'Proposed Loan'!$B$13/12,0),"")</f>
        <v>25</v>
      </c>
      <c r="F219" s="15">
        <f t="shared" si="9"/>
        <v>210.88743910381709</v>
      </c>
      <c r="G219" s="15">
        <f t="shared" si="11"/>
        <v>43369.024529113267</v>
      </c>
      <c r="H219" s="14">
        <f t="shared" si="10"/>
        <v>1</v>
      </c>
    </row>
    <row r="220" spans="1:8" ht="21" customHeight="1">
      <c r="A220" s="14">
        <f>IF(AND('Current Loan'!$B$13,214&lt;=MAX('Current Loan'!B7,'Proposed Loan'!B6)*12),214,"")</f>
        <v>214</v>
      </c>
      <c r="B220" s="15">
        <f>IF(A220&lt;&gt;"",IF(A220&lt;='Current Loan'!$B$7*12,'Current Loan'!$B$17,0),"")</f>
        <v>4388.8465487596777</v>
      </c>
      <c r="C220" s="15">
        <f>IF(A220&lt;&gt;"",IF(A220&lt;='Current Loan'!$B$7*12,'Current Loan'!$B$9/12,0),"")</f>
        <v>35</v>
      </c>
      <c r="D220" s="15">
        <f>IF(A220&lt;&gt;"",IF(A220&lt;='Proposed Loan'!$B$6*12,'Proposed Loan'!$B$17,0),"")</f>
        <v>4187.9591096558606</v>
      </c>
      <c r="E220" s="15">
        <f>IF(A220&lt;&gt;"",IF(A220&lt;='Proposed Loan'!$B$6*12,'Proposed Loan'!$B$13/12,0),"")</f>
        <v>25</v>
      </c>
      <c r="F220" s="15">
        <f t="shared" si="9"/>
        <v>210.88743910381709</v>
      </c>
      <c r="G220" s="15">
        <f t="shared" si="11"/>
        <v>43579.911968217086</v>
      </c>
      <c r="H220" s="14">
        <f t="shared" si="10"/>
        <v>1</v>
      </c>
    </row>
    <row r="221" spans="1:8" ht="21" customHeight="1">
      <c r="A221" s="14">
        <f>IF(AND('Current Loan'!$B$13,215&lt;=MAX('Current Loan'!B7,'Proposed Loan'!B6)*12),215,"")</f>
        <v>215</v>
      </c>
      <c r="B221" s="15">
        <f>IF(A221&lt;&gt;"",IF(A221&lt;='Current Loan'!$B$7*12,'Current Loan'!$B$17,0),"")</f>
        <v>4388.8465487596777</v>
      </c>
      <c r="C221" s="15">
        <f>IF(A221&lt;&gt;"",IF(A221&lt;='Current Loan'!$B$7*12,'Current Loan'!$B$9/12,0),"")</f>
        <v>35</v>
      </c>
      <c r="D221" s="15">
        <f>IF(A221&lt;&gt;"",IF(A221&lt;='Proposed Loan'!$B$6*12,'Proposed Loan'!$B$17,0),"")</f>
        <v>4187.9591096558606</v>
      </c>
      <c r="E221" s="15">
        <f>IF(A221&lt;&gt;"",IF(A221&lt;='Proposed Loan'!$B$6*12,'Proposed Loan'!$B$13/12,0),"")</f>
        <v>25</v>
      </c>
      <c r="F221" s="15">
        <f t="shared" si="9"/>
        <v>210.88743910381709</v>
      </c>
      <c r="G221" s="15">
        <f t="shared" si="11"/>
        <v>43790.799407320905</v>
      </c>
      <c r="H221" s="14">
        <f t="shared" si="10"/>
        <v>1</v>
      </c>
    </row>
    <row r="222" spans="1:8" ht="21" customHeight="1">
      <c r="A222" s="14">
        <f>IF(AND('Current Loan'!$B$13,216&lt;=MAX('Current Loan'!B7,'Proposed Loan'!B6)*12),216,"")</f>
        <v>216</v>
      </c>
      <c r="B222" s="15">
        <f>IF(A222&lt;&gt;"",IF(A222&lt;='Current Loan'!$B$7*12,'Current Loan'!$B$17,0),"")</f>
        <v>4388.8465487596777</v>
      </c>
      <c r="C222" s="15">
        <f>IF(A222&lt;&gt;"",IF(A222&lt;='Current Loan'!$B$7*12,'Current Loan'!$B$9/12,0),"")</f>
        <v>35</v>
      </c>
      <c r="D222" s="15">
        <f>IF(A222&lt;&gt;"",IF(A222&lt;='Proposed Loan'!$B$6*12,'Proposed Loan'!$B$17,0),"")</f>
        <v>4187.9591096558606</v>
      </c>
      <c r="E222" s="15">
        <f>IF(A222&lt;&gt;"",IF(A222&lt;='Proposed Loan'!$B$6*12,'Proposed Loan'!$B$13/12,0),"")</f>
        <v>25</v>
      </c>
      <c r="F222" s="15">
        <f t="shared" si="9"/>
        <v>210.88743910381709</v>
      </c>
      <c r="G222" s="15">
        <f t="shared" si="11"/>
        <v>44001.686846424724</v>
      </c>
      <c r="H222" s="14">
        <f t="shared" si="10"/>
        <v>1</v>
      </c>
    </row>
    <row r="223" spans="1:8" ht="21" customHeight="1">
      <c r="A223" s="14">
        <f>IF(AND('Current Loan'!$B$13,217&lt;=MAX('Current Loan'!B7,'Proposed Loan'!B6)*12),217,"")</f>
        <v>217</v>
      </c>
      <c r="B223" s="15">
        <f>IF(A223&lt;&gt;"",IF(A223&lt;='Current Loan'!$B$7*12,'Current Loan'!$B$17,0),"")</f>
        <v>4388.8465487596777</v>
      </c>
      <c r="C223" s="15">
        <f>IF(A223&lt;&gt;"",IF(A223&lt;='Current Loan'!$B$7*12,'Current Loan'!$B$9/12,0),"")</f>
        <v>35</v>
      </c>
      <c r="D223" s="15">
        <f>IF(A223&lt;&gt;"",IF(A223&lt;='Proposed Loan'!$B$6*12,'Proposed Loan'!$B$17,0),"")</f>
        <v>4187.9591096558606</v>
      </c>
      <c r="E223" s="15">
        <f>IF(A223&lt;&gt;"",IF(A223&lt;='Proposed Loan'!$B$6*12,'Proposed Loan'!$B$13/12,0),"")</f>
        <v>25</v>
      </c>
      <c r="F223" s="15">
        <f t="shared" si="9"/>
        <v>210.88743910381709</v>
      </c>
      <c r="G223" s="15">
        <f t="shared" si="11"/>
        <v>44212.574285528543</v>
      </c>
      <c r="H223" s="14">
        <f t="shared" si="10"/>
        <v>1</v>
      </c>
    </row>
    <row r="224" spans="1:8" ht="21" customHeight="1">
      <c r="A224" s="14">
        <f>IF(AND('Current Loan'!$B$13,218&lt;=MAX('Current Loan'!B7,'Proposed Loan'!B6)*12),218,"")</f>
        <v>218</v>
      </c>
      <c r="B224" s="15">
        <f>IF(A224&lt;&gt;"",IF(A224&lt;='Current Loan'!$B$7*12,'Current Loan'!$B$17,0),"")</f>
        <v>4388.8465487596777</v>
      </c>
      <c r="C224" s="15">
        <f>IF(A224&lt;&gt;"",IF(A224&lt;='Current Loan'!$B$7*12,'Current Loan'!$B$9/12,0),"")</f>
        <v>35</v>
      </c>
      <c r="D224" s="15">
        <f>IF(A224&lt;&gt;"",IF(A224&lt;='Proposed Loan'!$B$6*12,'Proposed Loan'!$B$17,0),"")</f>
        <v>4187.9591096558606</v>
      </c>
      <c r="E224" s="15">
        <f>IF(A224&lt;&gt;"",IF(A224&lt;='Proposed Loan'!$B$6*12,'Proposed Loan'!$B$13/12,0),"")</f>
        <v>25</v>
      </c>
      <c r="F224" s="15">
        <f t="shared" si="9"/>
        <v>210.88743910381709</v>
      </c>
      <c r="G224" s="15">
        <f t="shared" si="11"/>
        <v>44423.461724632361</v>
      </c>
      <c r="H224" s="14">
        <f t="shared" si="10"/>
        <v>1</v>
      </c>
    </row>
    <row r="225" spans="1:8" ht="21" customHeight="1">
      <c r="A225" s="14">
        <f>IF(AND('Current Loan'!$B$13,219&lt;=MAX('Current Loan'!B7,'Proposed Loan'!B6)*12),219,"")</f>
        <v>219</v>
      </c>
      <c r="B225" s="15">
        <f>IF(A225&lt;&gt;"",IF(A225&lt;='Current Loan'!$B$7*12,'Current Loan'!$B$17,0),"")</f>
        <v>4388.8465487596777</v>
      </c>
      <c r="C225" s="15">
        <f>IF(A225&lt;&gt;"",IF(A225&lt;='Current Loan'!$B$7*12,'Current Loan'!$B$9/12,0),"")</f>
        <v>35</v>
      </c>
      <c r="D225" s="15">
        <f>IF(A225&lt;&gt;"",IF(A225&lt;='Proposed Loan'!$B$6*12,'Proposed Loan'!$B$17,0),"")</f>
        <v>4187.9591096558606</v>
      </c>
      <c r="E225" s="15">
        <f>IF(A225&lt;&gt;"",IF(A225&lt;='Proposed Loan'!$B$6*12,'Proposed Loan'!$B$13/12,0),"")</f>
        <v>25</v>
      </c>
      <c r="F225" s="15">
        <f t="shared" si="9"/>
        <v>210.88743910381709</v>
      </c>
      <c r="G225" s="15">
        <f t="shared" si="11"/>
        <v>44634.34916373618</v>
      </c>
      <c r="H225" s="14">
        <f t="shared" si="10"/>
        <v>1</v>
      </c>
    </row>
    <row r="226" spans="1:8" ht="21" customHeight="1">
      <c r="A226" s="14">
        <f>IF(AND('Current Loan'!$B$13,220&lt;=MAX('Current Loan'!B7,'Proposed Loan'!B6)*12),220,"")</f>
        <v>220</v>
      </c>
      <c r="B226" s="15">
        <f>IF(A226&lt;&gt;"",IF(A226&lt;='Current Loan'!$B$7*12,'Current Loan'!$B$17,0),"")</f>
        <v>4388.8465487596777</v>
      </c>
      <c r="C226" s="15">
        <f>IF(A226&lt;&gt;"",IF(A226&lt;='Current Loan'!$B$7*12,'Current Loan'!$B$9/12,0),"")</f>
        <v>35</v>
      </c>
      <c r="D226" s="15">
        <f>IF(A226&lt;&gt;"",IF(A226&lt;='Proposed Loan'!$B$6*12,'Proposed Loan'!$B$17,0),"")</f>
        <v>4187.9591096558606</v>
      </c>
      <c r="E226" s="15">
        <f>IF(A226&lt;&gt;"",IF(A226&lt;='Proposed Loan'!$B$6*12,'Proposed Loan'!$B$13/12,0),"")</f>
        <v>25</v>
      </c>
      <c r="F226" s="15">
        <f t="shared" si="9"/>
        <v>210.88743910381709</v>
      </c>
      <c r="G226" s="15">
        <f t="shared" si="11"/>
        <v>44845.236602839999</v>
      </c>
      <c r="H226" s="14">
        <f t="shared" si="10"/>
        <v>1</v>
      </c>
    </row>
    <row r="227" spans="1:8" ht="21" customHeight="1">
      <c r="A227" s="14">
        <f>IF(AND('Current Loan'!$B$13,221&lt;=MAX('Current Loan'!B7,'Proposed Loan'!B6)*12),221,"")</f>
        <v>221</v>
      </c>
      <c r="B227" s="15">
        <f>IF(A227&lt;&gt;"",IF(A227&lt;='Current Loan'!$B$7*12,'Current Loan'!$B$17,0),"")</f>
        <v>4388.8465487596777</v>
      </c>
      <c r="C227" s="15">
        <f>IF(A227&lt;&gt;"",IF(A227&lt;='Current Loan'!$B$7*12,'Current Loan'!$B$9/12,0),"")</f>
        <v>35</v>
      </c>
      <c r="D227" s="15">
        <f>IF(A227&lt;&gt;"",IF(A227&lt;='Proposed Loan'!$B$6*12,'Proposed Loan'!$B$17,0),"")</f>
        <v>4187.9591096558606</v>
      </c>
      <c r="E227" s="15">
        <f>IF(A227&lt;&gt;"",IF(A227&lt;='Proposed Loan'!$B$6*12,'Proposed Loan'!$B$13/12,0),"")</f>
        <v>25</v>
      </c>
      <c r="F227" s="15">
        <f t="shared" si="9"/>
        <v>210.88743910381709</v>
      </c>
      <c r="G227" s="15">
        <f t="shared" si="11"/>
        <v>45056.124041943818</v>
      </c>
      <c r="H227" s="14">
        <f t="shared" si="10"/>
        <v>1</v>
      </c>
    </row>
    <row r="228" spans="1:8" ht="21" customHeight="1">
      <c r="A228" s="14">
        <f>IF(AND('Current Loan'!$B$13,222&lt;=MAX('Current Loan'!B7,'Proposed Loan'!B6)*12),222,"")</f>
        <v>222</v>
      </c>
      <c r="B228" s="15">
        <f>IF(A228&lt;&gt;"",IF(A228&lt;='Current Loan'!$B$7*12,'Current Loan'!$B$17,0),"")</f>
        <v>4388.8465487596777</v>
      </c>
      <c r="C228" s="15">
        <f>IF(A228&lt;&gt;"",IF(A228&lt;='Current Loan'!$B$7*12,'Current Loan'!$B$9/12,0),"")</f>
        <v>35</v>
      </c>
      <c r="D228" s="15">
        <f>IF(A228&lt;&gt;"",IF(A228&lt;='Proposed Loan'!$B$6*12,'Proposed Loan'!$B$17,0),"")</f>
        <v>4187.9591096558606</v>
      </c>
      <c r="E228" s="15">
        <f>IF(A228&lt;&gt;"",IF(A228&lt;='Proposed Loan'!$B$6*12,'Proposed Loan'!$B$13/12,0),"")</f>
        <v>25</v>
      </c>
      <c r="F228" s="15">
        <f t="shared" si="9"/>
        <v>210.88743910381709</v>
      </c>
      <c r="G228" s="15">
        <f t="shared" si="11"/>
        <v>45267.011481047637</v>
      </c>
      <c r="H228" s="14">
        <f t="shared" si="10"/>
        <v>1</v>
      </c>
    </row>
    <row r="229" spans="1:8" ht="21" customHeight="1">
      <c r="A229" s="14">
        <f>IF(AND('Current Loan'!$B$13,223&lt;=MAX('Current Loan'!B7,'Proposed Loan'!B6)*12),223,"")</f>
        <v>223</v>
      </c>
      <c r="B229" s="15">
        <f>IF(A229&lt;&gt;"",IF(A229&lt;='Current Loan'!$B$7*12,'Current Loan'!$B$17,0),"")</f>
        <v>4388.8465487596777</v>
      </c>
      <c r="C229" s="15">
        <f>IF(A229&lt;&gt;"",IF(A229&lt;='Current Loan'!$B$7*12,'Current Loan'!$B$9/12,0),"")</f>
        <v>35</v>
      </c>
      <c r="D229" s="15">
        <f>IF(A229&lt;&gt;"",IF(A229&lt;='Proposed Loan'!$B$6*12,'Proposed Loan'!$B$17,0),"")</f>
        <v>4187.9591096558606</v>
      </c>
      <c r="E229" s="15">
        <f>IF(A229&lt;&gt;"",IF(A229&lt;='Proposed Loan'!$B$6*12,'Proposed Loan'!$B$13/12,0),"")</f>
        <v>25</v>
      </c>
      <c r="F229" s="15">
        <f t="shared" si="9"/>
        <v>210.88743910381709</v>
      </c>
      <c r="G229" s="15">
        <f t="shared" si="11"/>
        <v>45477.898920151456</v>
      </c>
      <c r="H229" s="14">
        <f t="shared" si="10"/>
        <v>1</v>
      </c>
    </row>
    <row r="230" spans="1:8" ht="21" customHeight="1">
      <c r="A230" s="14">
        <f>IF(AND('Current Loan'!$B$13,224&lt;=MAX('Current Loan'!B7,'Proposed Loan'!B6)*12),224,"")</f>
        <v>224</v>
      </c>
      <c r="B230" s="15">
        <f>IF(A230&lt;&gt;"",IF(A230&lt;='Current Loan'!$B$7*12,'Current Loan'!$B$17,0),"")</f>
        <v>4388.8465487596777</v>
      </c>
      <c r="C230" s="15">
        <f>IF(A230&lt;&gt;"",IF(A230&lt;='Current Loan'!$B$7*12,'Current Loan'!$B$9/12,0),"")</f>
        <v>35</v>
      </c>
      <c r="D230" s="15">
        <f>IF(A230&lt;&gt;"",IF(A230&lt;='Proposed Loan'!$B$6*12,'Proposed Loan'!$B$17,0),"")</f>
        <v>4187.9591096558606</v>
      </c>
      <c r="E230" s="15">
        <f>IF(A230&lt;&gt;"",IF(A230&lt;='Proposed Loan'!$B$6*12,'Proposed Loan'!$B$13/12,0),"")</f>
        <v>25</v>
      </c>
      <c r="F230" s="15">
        <f t="shared" si="9"/>
        <v>210.88743910381709</v>
      </c>
      <c r="G230" s="15">
        <f t="shared" si="11"/>
        <v>45688.786359255275</v>
      </c>
      <c r="H230" s="14">
        <f t="shared" si="10"/>
        <v>1</v>
      </c>
    </row>
    <row r="231" spans="1:8" ht="21" customHeight="1">
      <c r="A231" s="14">
        <f>IF(AND('Current Loan'!$B$13,225&lt;=MAX('Current Loan'!B7,'Proposed Loan'!B6)*12),225,"")</f>
        <v>225</v>
      </c>
      <c r="B231" s="15">
        <f>IF(A231&lt;&gt;"",IF(A231&lt;='Current Loan'!$B$7*12,'Current Loan'!$B$17,0),"")</f>
        <v>4388.8465487596777</v>
      </c>
      <c r="C231" s="15">
        <f>IF(A231&lt;&gt;"",IF(A231&lt;='Current Loan'!$B$7*12,'Current Loan'!$B$9/12,0),"")</f>
        <v>35</v>
      </c>
      <c r="D231" s="15">
        <f>IF(A231&lt;&gt;"",IF(A231&lt;='Proposed Loan'!$B$6*12,'Proposed Loan'!$B$17,0),"")</f>
        <v>4187.9591096558606</v>
      </c>
      <c r="E231" s="15">
        <f>IF(A231&lt;&gt;"",IF(A231&lt;='Proposed Loan'!$B$6*12,'Proposed Loan'!$B$13/12,0),"")</f>
        <v>25</v>
      </c>
      <c r="F231" s="15">
        <f t="shared" si="9"/>
        <v>210.88743910381709</v>
      </c>
      <c r="G231" s="15">
        <f t="shared" si="11"/>
        <v>45899.673798359094</v>
      </c>
      <c r="H231" s="14">
        <f t="shared" si="10"/>
        <v>1</v>
      </c>
    </row>
    <row r="232" spans="1:8" ht="21" customHeight="1">
      <c r="A232" s="14">
        <f>IF(AND('Current Loan'!$B$13,226&lt;=MAX('Current Loan'!B7,'Proposed Loan'!B6)*12),226,"")</f>
        <v>226</v>
      </c>
      <c r="B232" s="15">
        <f>IF(A232&lt;&gt;"",IF(A232&lt;='Current Loan'!$B$7*12,'Current Loan'!$B$17,0),"")</f>
        <v>4388.8465487596777</v>
      </c>
      <c r="C232" s="15">
        <f>IF(A232&lt;&gt;"",IF(A232&lt;='Current Loan'!$B$7*12,'Current Loan'!$B$9/12,0),"")</f>
        <v>35</v>
      </c>
      <c r="D232" s="15">
        <f>IF(A232&lt;&gt;"",IF(A232&lt;='Proposed Loan'!$B$6*12,'Proposed Loan'!$B$17,0),"")</f>
        <v>4187.9591096558606</v>
      </c>
      <c r="E232" s="15">
        <f>IF(A232&lt;&gt;"",IF(A232&lt;='Proposed Loan'!$B$6*12,'Proposed Loan'!$B$13/12,0),"")</f>
        <v>25</v>
      </c>
      <c r="F232" s="15">
        <f t="shared" si="9"/>
        <v>210.88743910381709</v>
      </c>
      <c r="G232" s="15">
        <f t="shared" si="11"/>
        <v>46110.561237462913</v>
      </c>
      <c r="H232" s="14">
        <f t="shared" si="10"/>
        <v>1</v>
      </c>
    </row>
    <row r="233" spans="1:8" ht="21" customHeight="1">
      <c r="A233" s="14">
        <f>IF(AND('Current Loan'!$B$13,227&lt;=MAX('Current Loan'!B7,'Proposed Loan'!B6)*12),227,"")</f>
        <v>227</v>
      </c>
      <c r="B233" s="15">
        <f>IF(A233&lt;&gt;"",IF(A233&lt;='Current Loan'!$B$7*12,'Current Loan'!$B$17,0),"")</f>
        <v>4388.8465487596777</v>
      </c>
      <c r="C233" s="15">
        <f>IF(A233&lt;&gt;"",IF(A233&lt;='Current Loan'!$B$7*12,'Current Loan'!$B$9/12,0),"")</f>
        <v>35</v>
      </c>
      <c r="D233" s="15">
        <f>IF(A233&lt;&gt;"",IF(A233&lt;='Proposed Loan'!$B$6*12,'Proposed Loan'!$B$17,0),"")</f>
        <v>4187.9591096558606</v>
      </c>
      <c r="E233" s="15">
        <f>IF(A233&lt;&gt;"",IF(A233&lt;='Proposed Loan'!$B$6*12,'Proposed Loan'!$B$13/12,0),"")</f>
        <v>25</v>
      </c>
      <c r="F233" s="15">
        <f t="shared" si="9"/>
        <v>210.88743910381709</v>
      </c>
      <c r="G233" s="15">
        <f t="shared" si="11"/>
        <v>46321.448676566732</v>
      </c>
      <c r="H233" s="14">
        <f t="shared" si="10"/>
        <v>1</v>
      </c>
    </row>
    <row r="234" spans="1:8" ht="21" customHeight="1">
      <c r="A234" s="14">
        <f>IF(AND('Current Loan'!$B$13,228&lt;=MAX('Current Loan'!B7,'Proposed Loan'!B6)*12),228,"")</f>
        <v>228</v>
      </c>
      <c r="B234" s="15">
        <f>IF(A234&lt;&gt;"",IF(A234&lt;='Current Loan'!$B$7*12,'Current Loan'!$B$17,0),"")</f>
        <v>4388.8465487596777</v>
      </c>
      <c r="C234" s="15">
        <f>IF(A234&lt;&gt;"",IF(A234&lt;='Current Loan'!$B$7*12,'Current Loan'!$B$9/12,0),"")</f>
        <v>35</v>
      </c>
      <c r="D234" s="15">
        <f>IF(A234&lt;&gt;"",IF(A234&lt;='Proposed Loan'!$B$6*12,'Proposed Loan'!$B$17,0),"")</f>
        <v>4187.9591096558606</v>
      </c>
      <c r="E234" s="15">
        <f>IF(A234&lt;&gt;"",IF(A234&lt;='Proposed Loan'!$B$6*12,'Proposed Loan'!$B$13/12,0),"")</f>
        <v>25</v>
      </c>
      <c r="F234" s="15">
        <f t="shared" si="9"/>
        <v>210.88743910381709</v>
      </c>
      <c r="G234" s="15">
        <f t="shared" si="11"/>
        <v>46532.33611567055</v>
      </c>
      <c r="H234" s="14">
        <f t="shared" si="10"/>
        <v>1</v>
      </c>
    </row>
    <row r="235" spans="1:8" ht="21" customHeight="1">
      <c r="A235" s="14">
        <f>IF(AND('Current Loan'!$B$13,229&lt;=MAX('Current Loan'!B7,'Proposed Loan'!B6)*12),229,"")</f>
        <v>229</v>
      </c>
      <c r="B235" s="15">
        <f>IF(A235&lt;&gt;"",IF(A235&lt;='Current Loan'!$B$7*12,'Current Loan'!$B$17,0),"")</f>
        <v>4388.8465487596777</v>
      </c>
      <c r="C235" s="15">
        <f>IF(A235&lt;&gt;"",IF(A235&lt;='Current Loan'!$B$7*12,'Current Loan'!$B$9/12,0),"")</f>
        <v>35</v>
      </c>
      <c r="D235" s="15">
        <f>IF(A235&lt;&gt;"",IF(A235&lt;='Proposed Loan'!$B$6*12,'Proposed Loan'!$B$17,0),"")</f>
        <v>4187.9591096558606</v>
      </c>
      <c r="E235" s="15">
        <f>IF(A235&lt;&gt;"",IF(A235&lt;='Proposed Loan'!$B$6*12,'Proposed Loan'!$B$13/12,0),"")</f>
        <v>25</v>
      </c>
      <c r="F235" s="15">
        <f t="shared" si="9"/>
        <v>210.88743910381709</v>
      </c>
      <c r="G235" s="15">
        <f t="shared" si="11"/>
        <v>46743.223554774369</v>
      </c>
      <c r="H235" s="14">
        <f t="shared" si="10"/>
        <v>1</v>
      </c>
    </row>
    <row r="236" spans="1:8" ht="21" customHeight="1">
      <c r="A236" s="14">
        <f>IF(AND('Current Loan'!$B$13,230&lt;=MAX('Current Loan'!B7,'Proposed Loan'!B6)*12),230,"")</f>
        <v>230</v>
      </c>
      <c r="B236" s="15">
        <f>IF(A236&lt;&gt;"",IF(A236&lt;='Current Loan'!$B$7*12,'Current Loan'!$B$17,0),"")</f>
        <v>4388.8465487596777</v>
      </c>
      <c r="C236" s="15">
        <f>IF(A236&lt;&gt;"",IF(A236&lt;='Current Loan'!$B$7*12,'Current Loan'!$B$9/12,0),"")</f>
        <v>35</v>
      </c>
      <c r="D236" s="15">
        <f>IF(A236&lt;&gt;"",IF(A236&lt;='Proposed Loan'!$B$6*12,'Proposed Loan'!$B$17,0),"")</f>
        <v>4187.9591096558606</v>
      </c>
      <c r="E236" s="15">
        <f>IF(A236&lt;&gt;"",IF(A236&lt;='Proposed Loan'!$B$6*12,'Proposed Loan'!$B$13/12,0),"")</f>
        <v>25</v>
      </c>
      <c r="F236" s="15">
        <f t="shared" si="9"/>
        <v>210.88743910381709</v>
      </c>
      <c r="G236" s="15">
        <f t="shared" si="11"/>
        <v>46954.110993878188</v>
      </c>
      <c r="H236" s="14">
        <f t="shared" si="10"/>
        <v>1</v>
      </c>
    </row>
    <row r="237" spans="1:8" ht="21" customHeight="1">
      <c r="A237" s="14">
        <f>IF(AND('Current Loan'!$B$13,231&lt;=MAX('Current Loan'!B7,'Proposed Loan'!B6)*12),231,"")</f>
        <v>231</v>
      </c>
      <c r="B237" s="15">
        <f>IF(A237&lt;&gt;"",IF(A237&lt;='Current Loan'!$B$7*12,'Current Loan'!$B$17,0),"")</f>
        <v>4388.8465487596777</v>
      </c>
      <c r="C237" s="15">
        <f>IF(A237&lt;&gt;"",IF(A237&lt;='Current Loan'!$B$7*12,'Current Loan'!$B$9/12,0),"")</f>
        <v>35</v>
      </c>
      <c r="D237" s="15">
        <f>IF(A237&lt;&gt;"",IF(A237&lt;='Proposed Loan'!$B$6*12,'Proposed Loan'!$B$17,0),"")</f>
        <v>4187.9591096558606</v>
      </c>
      <c r="E237" s="15">
        <f>IF(A237&lt;&gt;"",IF(A237&lt;='Proposed Loan'!$B$6*12,'Proposed Loan'!$B$13/12,0),"")</f>
        <v>25</v>
      </c>
      <c r="F237" s="15">
        <f t="shared" si="9"/>
        <v>210.88743910381709</v>
      </c>
      <c r="G237" s="15">
        <f t="shared" si="11"/>
        <v>47164.998432982007</v>
      </c>
      <c r="H237" s="14">
        <f t="shared" si="10"/>
        <v>1</v>
      </c>
    </row>
    <row r="238" spans="1:8" ht="21" customHeight="1">
      <c r="A238" s="14">
        <f>IF(AND('Current Loan'!$B$13,232&lt;=MAX('Current Loan'!B7,'Proposed Loan'!B6)*12),232,"")</f>
        <v>232</v>
      </c>
      <c r="B238" s="15">
        <f>IF(A238&lt;&gt;"",IF(A238&lt;='Current Loan'!$B$7*12,'Current Loan'!$B$17,0),"")</f>
        <v>4388.8465487596777</v>
      </c>
      <c r="C238" s="15">
        <f>IF(A238&lt;&gt;"",IF(A238&lt;='Current Loan'!$B$7*12,'Current Loan'!$B$9/12,0),"")</f>
        <v>35</v>
      </c>
      <c r="D238" s="15">
        <f>IF(A238&lt;&gt;"",IF(A238&lt;='Proposed Loan'!$B$6*12,'Proposed Loan'!$B$17,0),"")</f>
        <v>4187.9591096558606</v>
      </c>
      <c r="E238" s="15">
        <f>IF(A238&lt;&gt;"",IF(A238&lt;='Proposed Loan'!$B$6*12,'Proposed Loan'!$B$13/12,0),"")</f>
        <v>25</v>
      </c>
      <c r="F238" s="15">
        <f t="shared" si="9"/>
        <v>210.88743910381709</v>
      </c>
      <c r="G238" s="15">
        <f t="shared" si="11"/>
        <v>47375.885872085826</v>
      </c>
      <c r="H238" s="14">
        <f t="shared" si="10"/>
        <v>1</v>
      </c>
    </row>
    <row r="239" spans="1:8" ht="21" customHeight="1">
      <c r="A239" s="14">
        <f>IF(AND('Current Loan'!$B$13,233&lt;=MAX('Current Loan'!B7,'Proposed Loan'!B6)*12),233,"")</f>
        <v>233</v>
      </c>
      <c r="B239" s="15">
        <f>IF(A239&lt;&gt;"",IF(A239&lt;='Current Loan'!$B$7*12,'Current Loan'!$B$17,0),"")</f>
        <v>4388.8465487596777</v>
      </c>
      <c r="C239" s="15">
        <f>IF(A239&lt;&gt;"",IF(A239&lt;='Current Loan'!$B$7*12,'Current Loan'!$B$9/12,0),"")</f>
        <v>35</v>
      </c>
      <c r="D239" s="15">
        <f>IF(A239&lt;&gt;"",IF(A239&lt;='Proposed Loan'!$B$6*12,'Proposed Loan'!$B$17,0),"")</f>
        <v>4187.9591096558606</v>
      </c>
      <c r="E239" s="15">
        <f>IF(A239&lt;&gt;"",IF(A239&lt;='Proposed Loan'!$B$6*12,'Proposed Loan'!$B$13/12,0),"")</f>
        <v>25</v>
      </c>
      <c r="F239" s="15">
        <f t="shared" si="9"/>
        <v>210.88743910381709</v>
      </c>
      <c r="G239" s="15">
        <f t="shared" si="11"/>
        <v>47586.773311189645</v>
      </c>
      <c r="H239" s="14">
        <f t="shared" si="10"/>
        <v>1</v>
      </c>
    </row>
    <row r="240" spans="1:8" ht="21" customHeight="1">
      <c r="A240" s="14">
        <f>IF(AND('Current Loan'!$B$13,234&lt;=MAX('Current Loan'!B7,'Proposed Loan'!B6)*12),234,"")</f>
        <v>234</v>
      </c>
      <c r="B240" s="15">
        <f>IF(A240&lt;&gt;"",IF(A240&lt;='Current Loan'!$B$7*12,'Current Loan'!$B$17,0),"")</f>
        <v>4388.8465487596777</v>
      </c>
      <c r="C240" s="15">
        <f>IF(A240&lt;&gt;"",IF(A240&lt;='Current Loan'!$B$7*12,'Current Loan'!$B$9/12,0),"")</f>
        <v>35</v>
      </c>
      <c r="D240" s="15">
        <f>IF(A240&lt;&gt;"",IF(A240&lt;='Proposed Loan'!$B$6*12,'Proposed Loan'!$B$17,0),"")</f>
        <v>4187.9591096558606</v>
      </c>
      <c r="E240" s="15">
        <f>IF(A240&lt;&gt;"",IF(A240&lt;='Proposed Loan'!$B$6*12,'Proposed Loan'!$B$13/12,0),"")</f>
        <v>25</v>
      </c>
      <c r="F240" s="15">
        <f t="shared" si="9"/>
        <v>210.88743910381709</v>
      </c>
      <c r="G240" s="15">
        <f t="shared" si="11"/>
        <v>47797.660750293464</v>
      </c>
      <c r="H240" s="14">
        <f t="shared" si="10"/>
        <v>1</v>
      </c>
    </row>
    <row r="241" spans="1:8" ht="21" customHeight="1">
      <c r="A241" s="14">
        <f>IF(AND('Current Loan'!$B$13,235&lt;=MAX('Current Loan'!B7,'Proposed Loan'!B6)*12),235,"")</f>
        <v>235</v>
      </c>
      <c r="B241" s="15">
        <f>IF(A241&lt;&gt;"",IF(A241&lt;='Current Loan'!$B$7*12,'Current Loan'!$B$17,0),"")</f>
        <v>4388.8465487596777</v>
      </c>
      <c r="C241" s="15">
        <f>IF(A241&lt;&gt;"",IF(A241&lt;='Current Loan'!$B$7*12,'Current Loan'!$B$9/12,0),"")</f>
        <v>35</v>
      </c>
      <c r="D241" s="15">
        <f>IF(A241&lt;&gt;"",IF(A241&lt;='Proposed Loan'!$B$6*12,'Proposed Loan'!$B$17,0),"")</f>
        <v>4187.9591096558606</v>
      </c>
      <c r="E241" s="15">
        <f>IF(A241&lt;&gt;"",IF(A241&lt;='Proposed Loan'!$B$6*12,'Proposed Loan'!$B$13/12,0),"")</f>
        <v>25</v>
      </c>
      <c r="F241" s="15">
        <f t="shared" si="9"/>
        <v>210.88743910381709</v>
      </c>
      <c r="G241" s="15">
        <f t="shared" si="11"/>
        <v>48008.548189397283</v>
      </c>
      <c r="H241" s="14">
        <f t="shared" si="10"/>
        <v>1</v>
      </c>
    </row>
    <row r="242" spans="1:8" ht="21" customHeight="1">
      <c r="A242" s="14">
        <f>IF(AND('Current Loan'!$B$13,236&lt;=MAX('Current Loan'!B7,'Proposed Loan'!B6)*12),236,"")</f>
        <v>236</v>
      </c>
      <c r="B242" s="15">
        <f>IF(A242&lt;&gt;"",IF(A242&lt;='Current Loan'!$B$7*12,'Current Loan'!$B$17,0),"")</f>
        <v>4388.8465487596777</v>
      </c>
      <c r="C242" s="15">
        <f>IF(A242&lt;&gt;"",IF(A242&lt;='Current Loan'!$B$7*12,'Current Loan'!$B$9/12,0),"")</f>
        <v>35</v>
      </c>
      <c r="D242" s="15">
        <f>IF(A242&lt;&gt;"",IF(A242&lt;='Proposed Loan'!$B$6*12,'Proposed Loan'!$B$17,0),"")</f>
        <v>4187.9591096558606</v>
      </c>
      <c r="E242" s="15">
        <f>IF(A242&lt;&gt;"",IF(A242&lt;='Proposed Loan'!$B$6*12,'Proposed Loan'!$B$13/12,0),"")</f>
        <v>25</v>
      </c>
      <c r="F242" s="15">
        <f t="shared" si="9"/>
        <v>210.88743910381709</v>
      </c>
      <c r="G242" s="15">
        <f t="shared" si="11"/>
        <v>48219.435628501102</v>
      </c>
      <c r="H242" s="14">
        <f t="shared" si="10"/>
        <v>1</v>
      </c>
    </row>
    <row r="243" spans="1:8" ht="21" customHeight="1">
      <c r="A243" s="14">
        <f>IF(AND('Current Loan'!$B$13,237&lt;=MAX('Current Loan'!B7,'Proposed Loan'!B6)*12),237,"")</f>
        <v>237</v>
      </c>
      <c r="B243" s="15">
        <f>IF(A243&lt;&gt;"",IF(A243&lt;='Current Loan'!$B$7*12,'Current Loan'!$B$17,0),"")</f>
        <v>4388.8465487596777</v>
      </c>
      <c r="C243" s="15">
        <f>IF(A243&lt;&gt;"",IF(A243&lt;='Current Loan'!$B$7*12,'Current Loan'!$B$9/12,0),"")</f>
        <v>35</v>
      </c>
      <c r="D243" s="15">
        <f>IF(A243&lt;&gt;"",IF(A243&lt;='Proposed Loan'!$B$6*12,'Proposed Loan'!$B$17,0),"")</f>
        <v>4187.9591096558606</v>
      </c>
      <c r="E243" s="15">
        <f>IF(A243&lt;&gt;"",IF(A243&lt;='Proposed Loan'!$B$6*12,'Proposed Loan'!$B$13/12,0),"")</f>
        <v>25</v>
      </c>
      <c r="F243" s="15">
        <f t="shared" si="9"/>
        <v>210.88743910381709</v>
      </c>
      <c r="G243" s="15">
        <f t="shared" si="11"/>
        <v>48430.323067604921</v>
      </c>
      <c r="H243" s="14">
        <f t="shared" si="10"/>
        <v>1</v>
      </c>
    </row>
    <row r="244" spans="1:8" ht="21" customHeight="1">
      <c r="A244" s="14">
        <f>IF(AND('Current Loan'!$B$13,238&lt;=MAX('Current Loan'!B7,'Proposed Loan'!B6)*12),238,"")</f>
        <v>238</v>
      </c>
      <c r="B244" s="15">
        <f>IF(A244&lt;&gt;"",IF(A244&lt;='Current Loan'!$B$7*12,'Current Loan'!$B$17,0),"")</f>
        <v>4388.8465487596777</v>
      </c>
      <c r="C244" s="15">
        <f>IF(A244&lt;&gt;"",IF(A244&lt;='Current Loan'!$B$7*12,'Current Loan'!$B$9/12,0),"")</f>
        <v>35</v>
      </c>
      <c r="D244" s="15">
        <f>IF(A244&lt;&gt;"",IF(A244&lt;='Proposed Loan'!$B$6*12,'Proposed Loan'!$B$17,0),"")</f>
        <v>4187.9591096558606</v>
      </c>
      <c r="E244" s="15">
        <f>IF(A244&lt;&gt;"",IF(A244&lt;='Proposed Loan'!$B$6*12,'Proposed Loan'!$B$13/12,0),"")</f>
        <v>25</v>
      </c>
      <c r="F244" s="15">
        <f t="shared" si="9"/>
        <v>210.88743910381709</v>
      </c>
      <c r="G244" s="15">
        <f t="shared" si="11"/>
        <v>48641.21050670874</v>
      </c>
      <c r="H244" s="14">
        <f t="shared" si="10"/>
        <v>1</v>
      </c>
    </row>
    <row r="245" spans="1:8" ht="21" customHeight="1">
      <c r="A245" s="14">
        <f>IF(AND('Current Loan'!$B$13,239&lt;=MAX('Current Loan'!B7,'Proposed Loan'!B6)*12),239,"")</f>
        <v>239</v>
      </c>
      <c r="B245" s="15">
        <f>IF(A245&lt;&gt;"",IF(A245&lt;='Current Loan'!$B$7*12,'Current Loan'!$B$17,0),"")</f>
        <v>4388.8465487596777</v>
      </c>
      <c r="C245" s="15">
        <f>IF(A245&lt;&gt;"",IF(A245&lt;='Current Loan'!$B$7*12,'Current Loan'!$B$9/12,0),"")</f>
        <v>35</v>
      </c>
      <c r="D245" s="15">
        <f>IF(A245&lt;&gt;"",IF(A245&lt;='Proposed Loan'!$B$6*12,'Proposed Loan'!$B$17,0),"")</f>
        <v>4187.9591096558606</v>
      </c>
      <c r="E245" s="15">
        <f>IF(A245&lt;&gt;"",IF(A245&lt;='Proposed Loan'!$B$6*12,'Proposed Loan'!$B$13/12,0),"")</f>
        <v>25</v>
      </c>
      <c r="F245" s="15">
        <f t="shared" si="9"/>
        <v>210.88743910381709</v>
      </c>
      <c r="G245" s="15">
        <f t="shared" si="11"/>
        <v>48852.097945812558</v>
      </c>
      <c r="H245" s="14">
        <f t="shared" si="10"/>
        <v>1</v>
      </c>
    </row>
    <row r="246" spans="1:8" ht="21" customHeight="1">
      <c r="A246" s="14">
        <f>IF(AND('Current Loan'!$B$13,240&lt;=MAX('Current Loan'!B7,'Proposed Loan'!B6)*12),240,"")</f>
        <v>240</v>
      </c>
      <c r="B246" s="15">
        <f>IF(A246&lt;&gt;"",IF(A246&lt;='Current Loan'!$B$7*12,'Current Loan'!$B$17,0),"")</f>
        <v>4388.8465487596777</v>
      </c>
      <c r="C246" s="15">
        <f>IF(A246&lt;&gt;"",IF(A246&lt;='Current Loan'!$B$7*12,'Current Loan'!$B$9/12,0),"")</f>
        <v>35</v>
      </c>
      <c r="D246" s="15">
        <f>IF(A246&lt;&gt;"",IF(A246&lt;='Proposed Loan'!$B$6*12,'Proposed Loan'!$B$17,0),"")</f>
        <v>4187.9591096558606</v>
      </c>
      <c r="E246" s="15">
        <f>IF(A246&lt;&gt;"",IF(A246&lt;='Proposed Loan'!$B$6*12,'Proposed Loan'!$B$13/12,0),"")</f>
        <v>25</v>
      </c>
      <c r="F246" s="15">
        <f t="shared" si="9"/>
        <v>210.88743910381709</v>
      </c>
      <c r="G246" s="15">
        <f t="shared" si="11"/>
        <v>49062.985384916377</v>
      </c>
      <c r="H246" s="14">
        <f t="shared" si="10"/>
        <v>1</v>
      </c>
    </row>
    <row r="247" spans="1:8" ht="21" customHeight="1">
      <c r="A247" s="14">
        <f>IF(AND('Current Loan'!$B$13,241&lt;=MAX('Current Loan'!B7,'Proposed Loan'!B6)*12),241,"")</f>
        <v>241</v>
      </c>
      <c r="B247" s="15">
        <f>IF(A247&lt;&gt;"",IF(A247&lt;='Current Loan'!$B$7*12,'Current Loan'!$B$17,0),"")</f>
        <v>4388.8465487596777</v>
      </c>
      <c r="C247" s="15">
        <f>IF(A247&lt;&gt;"",IF(A247&lt;='Current Loan'!$B$7*12,'Current Loan'!$B$9/12,0),"")</f>
        <v>35</v>
      </c>
      <c r="D247" s="15">
        <f>IF(A247&lt;&gt;"",IF(A247&lt;='Proposed Loan'!$B$6*12,'Proposed Loan'!$B$17,0),"")</f>
        <v>4187.9591096558606</v>
      </c>
      <c r="E247" s="15">
        <f>IF(A247&lt;&gt;"",IF(A247&lt;='Proposed Loan'!$B$6*12,'Proposed Loan'!$B$13/12,0),"")</f>
        <v>25</v>
      </c>
      <c r="F247" s="15">
        <f t="shared" si="9"/>
        <v>210.88743910381709</v>
      </c>
      <c r="G247" s="15">
        <f t="shared" si="11"/>
        <v>49273.872824020196</v>
      </c>
      <c r="H247" s="14">
        <f t="shared" si="10"/>
        <v>1</v>
      </c>
    </row>
    <row r="248" spans="1:8" ht="21" customHeight="1">
      <c r="A248" s="14">
        <f>IF(AND('Current Loan'!$B$13,242&lt;=MAX('Current Loan'!B7,'Proposed Loan'!B6)*12),242,"")</f>
        <v>242</v>
      </c>
      <c r="B248" s="15">
        <f>IF(A248&lt;&gt;"",IF(A248&lt;='Current Loan'!$B$7*12,'Current Loan'!$B$17,0),"")</f>
        <v>4388.8465487596777</v>
      </c>
      <c r="C248" s="15">
        <f>IF(A248&lt;&gt;"",IF(A248&lt;='Current Loan'!$B$7*12,'Current Loan'!$B$9/12,0),"")</f>
        <v>35</v>
      </c>
      <c r="D248" s="15">
        <f>IF(A248&lt;&gt;"",IF(A248&lt;='Proposed Loan'!$B$6*12,'Proposed Loan'!$B$17,0),"")</f>
        <v>4187.9591096558606</v>
      </c>
      <c r="E248" s="15">
        <f>IF(A248&lt;&gt;"",IF(A248&lt;='Proposed Loan'!$B$6*12,'Proposed Loan'!$B$13/12,0),"")</f>
        <v>25</v>
      </c>
      <c r="F248" s="15">
        <f t="shared" si="9"/>
        <v>210.88743910381709</v>
      </c>
      <c r="G248" s="15">
        <f t="shared" si="11"/>
        <v>49484.760263124015</v>
      </c>
      <c r="H248" s="14">
        <f t="shared" si="10"/>
        <v>1</v>
      </c>
    </row>
    <row r="249" spans="1:8" ht="21" customHeight="1">
      <c r="A249" s="14">
        <f>IF(AND('Current Loan'!$B$13,243&lt;=MAX('Current Loan'!B7,'Proposed Loan'!B6)*12),243,"")</f>
        <v>243</v>
      </c>
      <c r="B249" s="15">
        <f>IF(A249&lt;&gt;"",IF(A249&lt;='Current Loan'!$B$7*12,'Current Loan'!$B$17,0),"")</f>
        <v>4388.8465487596777</v>
      </c>
      <c r="C249" s="15">
        <f>IF(A249&lt;&gt;"",IF(A249&lt;='Current Loan'!$B$7*12,'Current Loan'!$B$9/12,0),"")</f>
        <v>35</v>
      </c>
      <c r="D249" s="15">
        <f>IF(A249&lt;&gt;"",IF(A249&lt;='Proposed Loan'!$B$6*12,'Proposed Loan'!$B$17,0),"")</f>
        <v>4187.9591096558606</v>
      </c>
      <c r="E249" s="15">
        <f>IF(A249&lt;&gt;"",IF(A249&lt;='Proposed Loan'!$B$6*12,'Proposed Loan'!$B$13/12,0),"")</f>
        <v>25</v>
      </c>
      <c r="F249" s="15">
        <f t="shared" si="9"/>
        <v>210.88743910381709</v>
      </c>
      <c r="G249" s="15">
        <f t="shared" si="11"/>
        <v>49695.647702227834</v>
      </c>
      <c r="H249" s="14">
        <f t="shared" si="10"/>
        <v>1</v>
      </c>
    </row>
    <row r="250" spans="1:8" ht="21" customHeight="1">
      <c r="A250" s="14">
        <f>IF(AND('Current Loan'!$B$13,244&lt;=MAX('Current Loan'!B7,'Proposed Loan'!B6)*12),244,"")</f>
        <v>244</v>
      </c>
      <c r="B250" s="15">
        <f>IF(A250&lt;&gt;"",IF(A250&lt;='Current Loan'!$B$7*12,'Current Loan'!$B$17,0),"")</f>
        <v>4388.8465487596777</v>
      </c>
      <c r="C250" s="15">
        <f>IF(A250&lt;&gt;"",IF(A250&lt;='Current Loan'!$B$7*12,'Current Loan'!$B$9/12,0),"")</f>
        <v>35</v>
      </c>
      <c r="D250" s="15">
        <f>IF(A250&lt;&gt;"",IF(A250&lt;='Proposed Loan'!$B$6*12,'Proposed Loan'!$B$17,0),"")</f>
        <v>4187.9591096558606</v>
      </c>
      <c r="E250" s="15">
        <f>IF(A250&lt;&gt;"",IF(A250&lt;='Proposed Loan'!$B$6*12,'Proposed Loan'!$B$13/12,0),"")</f>
        <v>25</v>
      </c>
      <c r="F250" s="15">
        <f t="shared" si="9"/>
        <v>210.88743910381709</v>
      </c>
      <c r="G250" s="15">
        <f t="shared" si="11"/>
        <v>49906.535141331653</v>
      </c>
      <c r="H250" s="14">
        <f t="shared" si="10"/>
        <v>1</v>
      </c>
    </row>
    <row r="251" spans="1:8" ht="21" customHeight="1">
      <c r="A251" s="14">
        <f>IF(AND('Current Loan'!$B$13,245&lt;=MAX('Current Loan'!B7,'Proposed Loan'!B6)*12),245,"")</f>
        <v>245</v>
      </c>
      <c r="B251" s="15">
        <f>IF(A251&lt;&gt;"",IF(A251&lt;='Current Loan'!$B$7*12,'Current Loan'!$B$17,0),"")</f>
        <v>4388.8465487596777</v>
      </c>
      <c r="C251" s="15">
        <f>IF(A251&lt;&gt;"",IF(A251&lt;='Current Loan'!$B$7*12,'Current Loan'!$B$9/12,0),"")</f>
        <v>35</v>
      </c>
      <c r="D251" s="15">
        <f>IF(A251&lt;&gt;"",IF(A251&lt;='Proposed Loan'!$B$6*12,'Proposed Loan'!$B$17,0),"")</f>
        <v>4187.9591096558606</v>
      </c>
      <c r="E251" s="15">
        <f>IF(A251&lt;&gt;"",IF(A251&lt;='Proposed Loan'!$B$6*12,'Proposed Loan'!$B$13/12,0),"")</f>
        <v>25</v>
      </c>
      <c r="F251" s="15">
        <f t="shared" si="9"/>
        <v>210.88743910381709</v>
      </c>
      <c r="G251" s="15">
        <f t="shared" si="11"/>
        <v>50117.422580435472</v>
      </c>
      <c r="H251" s="14">
        <f t="shared" si="10"/>
        <v>1</v>
      </c>
    </row>
    <row r="252" spans="1:8" ht="21" customHeight="1">
      <c r="A252" s="14">
        <f>IF(AND('Current Loan'!$B$13,246&lt;=MAX('Current Loan'!B7,'Proposed Loan'!B6)*12),246,"")</f>
        <v>246</v>
      </c>
      <c r="B252" s="15">
        <f>IF(A252&lt;&gt;"",IF(A252&lt;='Current Loan'!$B$7*12,'Current Loan'!$B$17,0),"")</f>
        <v>4388.8465487596777</v>
      </c>
      <c r="C252" s="15">
        <f>IF(A252&lt;&gt;"",IF(A252&lt;='Current Loan'!$B$7*12,'Current Loan'!$B$9/12,0),"")</f>
        <v>35</v>
      </c>
      <c r="D252" s="15">
        <f>IF(A252&lt;&gt;"",IF(A252&lt;='Proposed Loan'!$B$6*12,'Proposed Loan'!$B$17,0),"")</f>
        <v>4187.9591096558606</v>
      </c>
      <c r="E252" s="15">
        <f>IF(A252&lt;&gt;"",IF(A252&lt;='Proposed Loan'!$B$6*12,'Proposed Loan'!$B$13/12,0),"")</f>
        <v>25</v>
      </c>
      <c r="F252" s="15">
        <f t="shared" si="9"/>
        <v>210.88743910381709</v>
      </c>
      <c r="G252" s="15">
        <f t="shared" si="11"/>
        <v>50328.310019539291</v>
      </c>
      <c r="H252" s="14">
        <f t="shared" si="10"/>
        <v>1</v>
      </c>
    </row>
    <row r="253" spans="1:8" ht="21" customHeight="1">
      <c r="A253" s="14">
        <f>IF(AND('Current Loan'!$B$13,247&lt;=MAX('Current Loan'!B7,'Proposed Loan'!B6)*12),247,"")</f>
        <v>247</v>
      </c>
      <c r="B253" s="15">
        <f>IF(A253&lt;&gt;"",IF(A253&lt;='Current Loan'!$B$7*12,'Current Loan'!$B$17,0),"")</f>
        <v>4388.8465487596777</v>
      </c>
      <c r="C253" s="15">
        <f>IF(A253&lt;&gt;"",IF(A253&lt;='Current Loan'!$B$7*12,'Current Loan'!$B$9/12,0),"")</f>
        <v>35</v>
      </c>
      <c r="D253" s="15">
        <f>IF(A253&lt;&gt;"",IF(A253&lt;='Proposed Loan'!$B$6*12,'Proposed Loan'!$B$17,0),"")</f>
        <v>4187.9591096558606</v>
      </c>
      <c r="E253" s="15">
        <f>IF(A253&lt;&gt;"",IF(A253&lt;='Proposed Loan'!$B$6*12,'Proposed Loan'!$B$13/12,0),"")</f>
        <v>25</v>
      </c>
      <c r="F253" s="15">
        <f t="shared" si="9"/>
        <v>210.88743910381709</v>
      </c>
      <c r="G253" s="15">
        <f t="shared" si="11"/>
        <v>50539.19745864311</v>
      </c>
      <c r="H253" s="14">
        <f t="shared" si="10"/>
        <v>1</v>
      </c>
    </row>
    <row r="254" spans="1:8" ht="21" customHeight="1">
      <c r="A254" s="14">
        <f>IF(AND('Current Loan'!$B$13,248&lt;=MAX('Current Loan'!B7,'Proposed Loan'!B6)*12),248,"")</f>
        <v>248</v>
      </c>
      <c r="B254" s="15">
        <f>IF(A254&lt;&gt;"",IF(A254&lt;='Current Loan'!$B$7*12,'Current Loan'!$B$17,0),"")</f>
        <v>4388.8465487596777</v>
      </c>
      <c r="C254" s="15">
        <f>IF(A254&lt;&gt;"",IF(A254&lt;='Current Loan'!$B$7*12,'Current Loan'!$B$9/12,0),"")</f>
        <v>35</v>
      </c>
      <c r="D254" s="15">
        <f>IF(A254&lt;&gt;"",IF(A254&lt;='Proposed Loan'!$B$6*12,'Proposed Loan'!$B$17,0),"")</f>
        <v>4187.9591096558606</v>
      </c>
      <c r="E254" s="15">
        <f>IF(A254&lt;&gt;"",IF(A254&lt;='Proposed Loan'!$B$6*12,'Proposed Loan'!$B$13/12,0),"")</f>
        <v>25</v>
      </c>
      <c r="F254" s="15">
        <f t="shared" si="9"/>
        <v>210.88743910381709</v>
      </c>
      <c r="G254" s="15">
        <f t="shared" si="11"/>
        <v>50750.084897746929</v>
      </c>
      <c r="H254" s="14">
        <f t="shared" si="10"/>
        <v>1</v>
      </c>
    </row>
    <row r="255" spans="1:8" ht="21" customHeight="1">
      <c r="A255" s="14">
        <f>IF(AND('Current Loan'!$B$13,249&lt;=MAX('Current Loan'!B7,'Proposed Loan'!B6)*12),249,"")</f>
        <v>249</v>
      </c>
      <c r="B255" s="15">
        <f>IF(A255&lt;&gt;"",IF(A255&lt;='Current Loan'!$B$7*12,'Current Loan'!$B$17,0),"")</f>
        <v>4388.8465487596777</v>
      </c>
      <c r="C255" s="15">
        <f>IF(A255&lt;&gt;"",IF(A255&lt;='Current Loan'!$B$7*12,'Current Loan'!$B$9/12,0),"")</f>
        <v>35</v>
      </c>
      <c r="D255" s="15">
        <f>IF(A255&lt;&gt;"",IF(A255&lt;='Proposed Loan'!$B$6*12,'Proposed Loan'!$B$17,0),"")</f>
        <v>4187.9591096558606</v>
      </c>
      <c r="E255" s="15">
        <f>IF(A255&lt;&gt;"",IF(A255&lt;='Proposed Loan'!$B$6*12,'Proposed Loan'!$B$13/12,0),"")</f>
        <v>25</v>
      </c>
      <c r="F255" s="15">
        <f t="shared" si="9"/>
        <v>210.88743910381709</v>
      </c>
      <c r="G255" s="15">
        <f t="shared" si="11"/>
        <v>50960.972336850748</v>
      </c>
      <c r="H255" s="14">
        <f t="shared" si="10"/>
        <v>1</v>
      </c>
    </row>
    <row r="256" spans="1:8" ht="21" customHeight="1">
      <c r="A256" s="14">
        <f>IF(AND('Current Loan'!$B$13,250&lt;=MAX('Current Loan'!B7,'Proposed Loan'!B6)*12),250,"")</f>
        <v>250</v>
      </c>
      <c r="B256" s="15">
        <f>IF(A256&lt;&gt;"",IF(A256&lt;='Current Loan'!$B$7*12,'Current Loan'!$B$17,0),"")</f>
        <v>4388.8465487596777</v>
      </c>
      <c r="C256" s="15">
        <f>IF(A256&lt;&gt;"",IF(A256&lt;='Current Loan'!$B$7*12,'Current Loan'!$B$9/12,0),"")</f>
        <v>35</v>
      </c>
      <c r="D256" s="15">
        <f>IF(A256&lt;&gt;"",IF(A256&lt;='Proposed Loan'!$B$6*12,'Proposed Loan'!$B$17,0),"")</f>
        <v>4187.9591096558606</v>
      </c>
      <c r="E256" s="15">
        <f>IF(A256&lt;&gt;"",IF(A256&lt;='Proposed Loan'!$B$6*12,'Proposed Loan'!$B$13/12,0),"")</f>
        <v>25</v>
      </c>
      <c r="F256" s="15">
        <f t="shared" si="9"/>
        <v>210.88743910381709</v>
      </c>
      <c r="G256" s="15">
        <f t="shared" si="11"/>
        <v>51171.859775954566</v>
      </c>
      <c r="H256" s="14">
        <f t="shared" si="10"/>
        <v>1</v>
      </c>
    </row>
    <row r="257" spans="1:8" ht="21" customHeight="1">
      <c r="A257" s="14">
        <f>IF(AND('Current Loan'!$B$13,251&lt;=MAX('Current Loan'!B7,'Proposed Loan'!B6)*12),251,"")</f>
        <v>251</v>
      </c>
      <c r="B257" s="15">
        <f>IF(A257&lt;&gt;"",IF(A257&lt;='Current Loan'!$B$7*12,'Current Loan'!$B$17,0),"")</f>
        <v>4388.8465487596777</v>
      </c>
      <c r="C257" s="15">
        <f>IF(A257&lt;&gt;"",IF(A257&lt;='Current Loan'!$B$7*12,'Current Loan'!$B$9/12,0),"")</f>
        <v>35</v>
      </c>
      <c r="D257" s="15">
        <f>IF(A257&lt;&gt;"",IF(A257&lt;='Proposed Loan'!$B$6*12,'Proposed Loan'!$B$17,0),"")</f>
        <v>4187.9591096558606</v>
      </c>
      <c r="E257" s="15">
        <f>IF(A257&lt;&gt;"",IF(A257&lt;='Proposed Loan'!$B$6*12,'Proposed Loan'!$B$13/12,0),"")</f>
        <v>25</v>
      </c>
      <c r="F257" s="15">
        <f t="shared" si="9"/>
        <v>210.88743910381709</v>
      </c>
      <c r="G257" s="15">
        <f t="shared" si="11"/>
        <v>51382.747215058385</v>
      </c>
      <c r="H257" s="14">
        <f t="shared" si="10"/>
        <v>1</v>
      </c>
    </row>
    <row r="258" spans="1:8" ht="21" customHeight="1">
      <c r="A258" s="14">
        <f>IF(AND('Current Loan'!$B$13,252&lt;=MAX('Current Loan'!B7,'Proposed Loan'!B6)*12),252,"")</f>
        <v>252</v>
      </c>
      <c r="B258" s="15">
        <f>IF(A258&lt;&gt;"",IF(A258&lt;='Current Loan'!$B$7*12,'Current Loan'!$B$17,0),"")</f>
        <v>4388.8465487596777</v>
      </c>
      <c r="C258" s="15">
        <f>IF(A258&lt;&gt;"",IF(A258&lt;='Current Loan'!$B$7*12,'Current Loan'!$B$9/12,0),"")</f>
        <v>35</v>
      </c>
      <c r="D258" s="15">
        <f>IF(A258&lt;&gt;"",IF(A258&lt;='Proposed Loan'!$B$6*12,'Proposed Loan'!$B$17,0),"")</f>
        <v>4187.9591096558606</v>
      </c>
      <c r="E258" s="15">
        <f>IF(A258&lt;&gt;"",IF(A258&lt;='Proposed Loan'!$B$6*12,'Proposed Loan'!$B$13/12,0),"")</f>
        <v>25</v>
      </c>
      <c r="F258" s="15">
        <f t="shared" si="9"/>
        <v>210.88743910381709</v>
      </c>
      <c r="G258" s="15">
        <f t="shared" si="11"/>
        <v>51593.634654162204</v>
      </c>
      <c r="H258" s="14">
        <f t="shared" si="10"/>
        <v>1</v>
      </c>
    </row>
    <row r="259" spans="1:8" ht="21" customHeight="1">
      <c r="A259" s="14">
        <f>IF(AND('Current Loan'!$B$13,253&lt;=MAX('Current Loan'!B7,'Proposed Loan'!B6)*12),253,"")</f>
        <v>253</v>
      </c>
      <c r="B259" s="15">
        <f>IF(A259&lt;&gt;"",IF(A259&lt;='Current Loan'!$B$7*12,'Current Loan'!$B$17,0),"")</f>
        <v>4388.8465487596777</v>
      </c>
      <c r="C259" s="15">
        <f>IF(A259&lt;&gt;"",IF(A259&lt;='Current Loan'!$B$7*12,'Current Loan'!$B$9/12,0),"")</f>
        <v>35</v>
      </c>
      <c r="D259" s="15">
        <f>IF(A259&lt;&gt;"",IF(A259&lt;='Proposed Loan'!$B$6*12,'Proposed Loan'!$B$17,0),"")</f>
        <v>4187.9591096558606</v>
      </c>
      <c r="E259" s="15">
        <f>IF(A259&lt;&gt;"",IF(A259&lt;='Proposed Loan'!$B$6*12,'Proposed Loan'!$B$13/12,0),"")</f>
        <v>25</v>
      </c>
      <c r="F259" s="15">
        <f t="shared" si="9"/>
        <v>210.88743910381709</v>
      </c>
      <c r="G259" s="15">
        <f t="shared" si="11"/>
        <v>51804.522093266023</v>
      </c>
      <c r="H259" s="14">
        <f t="shared" si="10"/>
        <v>1</v>
      </c>
    </row>
    <row r="260" spans="1:8" ht="21" customHeight="1">
      <c r="A260" s="14">
        <f>IF(AND('Current Loan'!$B$13,254&lt;=MAX('Current Loan'!B7,'Proposed Loan'!B6)*12),254,"")</f>
        <v>254</v>
      </c>
      <c r="B260" s="15">
        <f>IF(A260&lt;&gt;"",IF(A260&lt;='Current Loan'!$B$7*12,'Current Loan'!$B$17,0),"")</f>
        <v>4388.8465487596777</v>
      </c>
      <c r="C260" s="15">
        <f>IF(A260&lt;&gt;"",IF(A260&lt;='Current Loan'!$B$7*12,'Current Loan'!$B$9/12,0),"")</f>
        <v>35</v>
      </c>
      <c r="D260" s="15">
        <f>IF(A260&lt;&gt;"",IF(A260&lt;='Proposed Loan'!$B$6*12,'Proposed Loan'!$B$17,0),"")</f>
        <v>4187.9591096558606</v>
      </c>
      <c r="E260" s="15">
        <f>IF(A260&lt;&gt;"",IF(A260&lt;='Proposed Loan'!$B$6*12,'Proposed Loan'!$B$13/12,0),"")</f>
        <v>25</v>
      </c>
      <c r="F260" s="15">
        <f t="shared" si="9"/>
        <v>210.88743910381709</v>
      </c>
      <c r="G260" s="15">
        <f t="shared" si="11"/>
        <v>52015.409532369842</v>
      </c>
      <c r="H260" s="14">
        <f t="shared" si="10"/>
        <v>1</v>
      </c>
    </row>
    <row r="261" spans="1:8" ht="21" customHeight="1">
      <c r="A261" s="14">
        <f>IF(AND('Current Loan'!$B$13,255&lt;=MAX('Current Loan'!B7,'Proposed Loan'!B6)*12),255,"")</f>
        <v>255</v>
      </c>
      <c r="B261" s="15">
        <f>IF(A261&lt;&gt;"",IF(A261&lt;='Current Loan'!$B$7*12,'Current Loan'!$B$17,0),"")</f>
        <v>4388.8465487596777</v>
      </c>
      <c r="C261" s="15">
        <f>IF(A261&lt;&gt;"",IF(A261&lt;='Current Loan'!$B$7*12,'Current Loan'!$B$9/12,0),"")</f>
        <v>35</v>
      </c>
      <c r="D261" s="15">
        <f>IF(A261&lt;&gt;"",IF(A261&lt;='Proposed Loan'!$B$6*12,'Proposed Loan'!$B$17,0),"")</f>
        <v>4187.9591096558606</v>
      </c>
      <c r="E261" s="15">
        <f>IF(A261&lt;&gt;"",IF(A261&lt;='Proposed Loan'!$B$6*12,'Proposed Loan'!$B$13/12,0),"")</f>
        <v>25</v>
      </c>
      <c r="F261" s="15">
        <f t="shared" si="9"/>
        <v>210.88743910381709</v>
      </c>
      <c r="G261" s="15">
        <f t="shared" si="11"/>
        <v>52226.296971473661</v>
      </c>
      <c r="H261" s="14">
        <f t="shared" si="10"/>
        <v>1</v>
      </c>
    </row>
    <row r="262" spans="1:8" ht="21" customHeight="1">
      <c r="A262" s="14">
        <f>IF(AND('Current Loan'!$B$13,256&lt;=MAX('Current Loan'!B7,'Proposed Loan'!B6)*12),256,"")</f>
        <v>256</v>
      </c>
      <c r="B262" s="15">
        <f>IF(A262&lt;&gt;"",IF(A262&lt;='Current Loan'!$B$7*12,'Current Loan'!$B$17,0),"")</f>
        <v>4388.8465487596777</v>
      </c>
      <c r="C262" s="15">
        <f>IF(A262&lt;&gt;"",IF(A262&lt;='Current Loan'!$B$7*12,'Current Loan'!$B$9/12,0),"")</f>
        <v>35</v>
      </c>
      <c r="D262" s="15">
        <f>IF(A262&lt;&gt;"",IF(A262&lt;='Proposed Loan'!$B$6*12,'Proposed Loan'!$B$17,0),"")</f>
        <v>4187.9591096558606</v>
      </c>
      <c r="E262" s="15">
        <f>IF(A262&lt;&gt;"",IF(A262&lt;='Proposed Loan'!$B$6*12,'Proposed Loan'!$B$13/12,0),"")</f>
        <v>25</v>
      </c>
      <c r="F262" s="15">
        <f t="shared" si="9"/>
        <v>210.88743910381709</v>
      </c>
      <c r="G262" s="15">
        <f t="shared" si="11"/>
        <v>52437.18441057748</v>
      </c>
      <c r="H262" s="14">
        <f t="shared" si="10"/>
        <v>1</v>
      </c>
    </row>
    <row r="263" spans="1:8" ht="21" customHeight="1">
      <c r="A263" s="14">
        <f>IF(AND('Current Loan'!$B$13,257&lt;=MAX('Current Loan'!B7,'Proposed Loan'!B6)*12),257,"")</f>
        <v>257</v>
      </c>
      <c r="B263" s="15">
        <f>IF(A263&lt;&gt;"",IF(A263&lt;='Current Loan'!$B$7*12,'Current Loan'!$B$17,0),"")</f>
        <v>4388.8465487596777</v>
      </c>
      <c r="C263" s="15">
        <f>IF(A263&lt;&gt;"",IF(A263&lt;='Current Loan'!$B$7*12,'Current Loan'!$B$9/12,0),"")</f>
        <v>35</v>
      </c>
      <c r="D263" s="15">
        <f>IF(A263&lt;&gt;"",IF(A263&lt;='Proposed Loan'!$B$6*12,'Proposed Loan'!$B$17,0),"")</f>
        <v>4187.9591096558606</v>
      </c>
      <c r="E263" s="15">
        <f>IF(A263&lt;&gt;"",IF(A263&lt;='Proposed Loan'!$B$6*12,'Proposed Loan'!$B$13/12,0),"")</f>
        <v>25</v>
      </c>
      <c r="F263" s="15">
        <f t="shared" ref="F263:F326" si="12">IF(A263&lt;&gt;"",SUM(B263:C263)-SUM(D263:E263),"")</f>
        <v>210.88743910381709</v>
      </c>
      <c r="G263" s="15">
        <f t="shared" si="11"/>
        <v>52648.071849681299</v>
      </c>
      <c r="H263" s="14">
        <f t="shared" ref="H263:H326" si="13">IF(A263&lt;&gt;"",IF(G263&gt;=0,1,0),"")</f>
        <v>1</v>
      </c>
    </row>
    <row r="264" spans="1:8" ht="21" customHeight="1">
      <c r="A264" s="14">
        <f>IF(AND('Current Loan'!$B$13,258&lt;=MAX('Current Loan'!B7,'Proposed Loan'!B6)*12),258,"")</f>
        <v>258</v>
      </c>
      <c r="B264" s="15">
        <f>IF(A264&lt;&gt;"",IF(A264&lt;='Current Loan'!$B$7*12,'Current Loan'!$B$17,0),"")</f>
        <v>4388.8465487596777</v>
      </c>
      <c r="C264" s="15">
        <f>IF(A264&lt;&gt;"",IF(A264&lt;='Current Loan'!$B$7*12,'Current Loan'!$B$9/12,0),"")</f>
        <v>35</v>
      </c>
      <c r="D264" s="15">
        <f>IF(A264&lt;&gt;"",IF(A264&lt;='Proposed Loan'!$B$6*12,'Proposed Loan'!$B$17,0),"")</f>
        <v>4187.9591096558606</v>
      </c>
      <c r="E264" s="15">
        <f>IF(A264&lt;&gt;"",IF(A264&lt;='Proposed Loan'!$B$6*12,'Proposed Loan'!$B$13/12,0),"")</f>
        <v>25</v>
      </c>
      <c r="F264" s="15">
        <f t="shared" si="12"/>
        <v>210.88743910381709</v>
      </c>
      <c r="G264" s="15">
        <f t="shared" ref="G264:G327" si="14">IF(A264&lt;&gt;"",G263+F264,"")</f>
        <v>52858.959288785118</v>
      </c>
      <c r="H264" s="14">
        <f t="shared" si="13"/>
        <v>1</v>
      </c>
    </row>
    <row r="265" spans="1:8" ht="21" customHeight="1">
      <c r="A265" s="14">
        <f>IF(AND('Current Loan'!$B$13,259&lt;=MAX('Current Loan'!B7,'Proposed Loan'!B6)*12),259,"")</f>
        <v>259</v>
      </c>
      <c r="B265" s="15">
        <f>IF(A265&lt;&gt;"",IF(A265&lt;='Current Loan'!$B$7*12,'Current Loan'!$B$17,0),"")</f>
        <v>4388.8465487596777</v>
      </c>
      <c r="C265" s="15">
        <f>IF(A265&lt;&gt;"",IF(A265&lt;='Current Loan'!$B$7*12,'Current Loan'!$B$9/12,0),"")</f>
        <v>35</v>
      </c>
      <c r="D265" s="15">
        <f>IF(A265&lt;&gt;"",IF(A265&lt;='Proposed Loan'!$B$6*12,'Proposed Loan'!$B$17,0),"")</f>
        <v>4187.9591096558606</v>
      </c>
      <c r="E265" s="15">
        <f>IF(A265&lt;&gt;"",IF(A265&lt;='Proposed Loan'!$B$6*12,'Proposed Loan'!$B$13/12,0),"")</f>
        <v>25</v>
      </c>
      <c r="F265" s="15">
        <f t="shared" si="12"/>
        <v>210.88743910381709</v>
      </c>
      <c r="G265" s="15">
        <f t="shared" si="14"/>
        <v>53069.846727888937</v>
      </c>
      <c r="H265" s="14">
        <f t="shared" si="13"/>
        <v>1</v>
      </c>
    </row>
    <row r="266" spans="1:8" ht="21" customHeight="1">
      <c r="A266" s="14">
        <f>IF(AND('Current Loan'!$B$13,260&lt;=MAX('Current Loan'!B7,'Proposed Loan'!B6)*12),260,"")</f>
        <v>260</v>
      </c>
      <c r="B266" s="15">
        <f>IF(A266&lt;&gt;"",IF(A266&lt;='Current Loan'!$B$7*12,'Current Loan'!$B$17,0),"")</f>
        <v>4388.8465487596777</v>
      </c>
      <c r="C266" s="15">
        <f>IF(A266&lt;&gt;"",IF(A266&lt;='Current Loan'!$B$7*12,'Current Loan'!$B$9/12,0),"")</f>
        <v>35</v>
      </c>
      <c r="D266" s="15">
        <f>IF(A266&lt;&gt;"",IF(A266&lt;='Proposed Loan'!$B$6*12,'Proposed Loan'!$B$17,0),"")</f>
        <v>4187.9591096558606</v>
      </c>
      <c r="E266" s="15">
        <f>IF(A266&lt;&gt;"",IF(A266&lt;='Proposed Loan'!$B$6*12,'Proposed Loan'!$B$13/12,0),"")</f>
        <v>25</v>
      </c>
      <c r="F266" s="15">
        <f t="shared" si="12"/>
        <v>210.88743910381709</v>
      </c>
      <c r="G266" s="15">
        <f t="shared" si="14"/>
        <v>53280.734166992755</v>
      </c>
      <c r="H266" s="14">
        <f t="shared" si="13"/>
        <v>1</v>
      </c>
    </row>
    <row r="267" spans="1:8" ht="21" customHeight="1">
      <c r="A267" s="14">
        <f>IF(AND('Current Loan'!$B$13,261&lt;=MAX('Current Loan'!B7,'Proposed Loan'!B6)*12),261,"")</f>
        <v>261</v>
      </c>
      <c r="B267" s="15">
        <f>IF(A267&lt;&gt;"",IF(A267&lt;='Current Loan'!$B$7*12,'Current Loan'!$B$17,0),"")</f>
        <v>4388.8465487596777</v>
      </c>
      <c r="C267" s="15">
        <f>IF(A267&lt;&gt;"",IF(A267&lt;='Current Loan'!$B$7*12,'Current Loan'!$B$9/12,0),"")</f>
        <v>35</v>
      </c>
      <c r="D267" s="15">
        <f>IF(A267&lt;&gt;"",IF(A267&lt;='Proposed Loan'!$B$6*12,'Proposed Loan'!$B$17,0),"")</f>
        <v>4187.9591096558606</v>
      </c>
      <c r="E267" s="15">
        <f>IF(A267&lt;&gt;"",IF(A267&lt;='Proposed Loan'!$B$6*12,'Proposed Loan'!$B$13/12,0),"")</f>
        <v>25</v>
      </c>
      <c r="F267" s="15">
        <f t="shared" si="12"/>
        <v>210.88743910381709</v>
      </c>
      <c r="G267" s="15">
        <f t="shared" si="14"/>
        <v>53491.621606096574</v>
      </c>
      <c r="H267" s="14">
        <f t="shared" si="13"/>
        <v>1</v>
      </c>
    </row>
    <row r="268" spans="1:8" ht="21" customHeight="1">
      <c r="A268" s="14">
        <f>IF(AND('Current Loan'!$B$13,262&lt;=MAX('Current Loan'!B7,'Proposed Loan'!B6)*12),262,"")</f>
        <v>262</v>
      </c>
      <c r="B268" s="15">
        <f>IF(A268&lt;&gt;"",IF(A268&lt;='Current Loan'!$B$7*12,'Current Loan'!$B$17,0),"")</f>
        <v>4388.8465487596777</v>
      </c>
      <c r="C268" s="15">
        <f>IF(A268&lt;&gt;"",IF(A268&lt;='Current Loan'!$B$7*12,'Current Loan'!$B$9/12,0),"")</f>
        <v>35</v>
      </c>
      <c r="D268" s="15">
        <f>IF(A268&lt;&gt;"",IF(A268&lt;='Proposed Loan'!$B$6*12,'Proposed Loan'!$B$17,0),"")</f>
        <v>4187.9591096558606</v>
      </c>
      <c r="E268" s="15">
        <f>IF(A268&lt;&gt;"",IF(A268&lt;='Proposed Loan'!$B$6*12,'Proposed Loan'!$B$13/12,0),"")</f>
        <v>25</v>
      </c>
      <c r="F268" s="15">
        <f t="shared" si="12"/>
        <v>210.88743910381709</v>
      </c>
      <c r="G268" s="15">
        <f t="shared" si="14"/>
        <v>53702.509045200393</v>
      </c>
      <c r="H268" s="14">
        <f t="shared" si="13"/>
        <v>1</v>
      </c>
    </row>
    <row r="269" spans="1:8" ht="21" customHeight="1">
      <c r="A269" s="14">
        <f>IF(AND('Current Loan'!$B$13,263&lt;=MAX('Current Loan'!B7,'Proposed Loan'!B6)*12),263,"")</f>
        <v>263</v>
      </c>
      <c r="B269" s="15">
        <f>IF(A269&lt;&gt;"",IF(A269&lt;='Current Loan'!$B$7*12,'Current Loan'!$B$17,0),"")</f>
        <v>4388.8465487596777</v>
      </c>
      <c r="C269" s="15">
        <f>IF(A269&lt;&gt;"",IF(A269&lt;='Current Loan'!$B$7*12,'Current Loan'!$B$9/12,0),"")</f>
        <v>35</v>
      </c>
      <c r="D269" s="15">
        <f>IF(A269&lt;&gt;"",IF(A269&lt;='Proposed Loan'!$B$6*12,'Proposed Loan'!$B$17,0),"")</f>
        <v>4187.9591096558606</v>
      </c>
      <c r="E269" s="15">
        <f>IF(A269&lt;&gt;"",IF(A269&lt;='Proposed Loan'!$B$6*12,'Proposed Loan'!$B$13/12,0),"")</f>
        <v>25</v>
      </c>
      <c r="F269" s="15">
        <f t="shared" si="12"/>
        <v>210.88743910381709</v>
      </c>
      <c r="G269" s="15">
        <f t="shared" si="14"/>
        <v>53913.396484304212</v>
      </c>
      <c r="H269" s="14">
        <f t="shared" si="13"/>
        <v>1</v>
      </c>
    </row>
    <row r="270" spans="1:8" ht="21" customHeight="1">
      <c r="A270" s="14">
        <f>IF(AND('Current Loan'!$B$13,264&lt;=MAX('Current Loan'!B7,'Proposed Loan'!B6)*12),264,"")</f>
        <v>264</v>
      </c>
      <c r="B270" s="15">
        <f>IF(A270&lt;&gt;"",IF(A270&lt;='Current Loan'!$B$7*12,'Current Loan'!$B$17,0),"")</f>
        <v>4388.8465487596777</v>
      </c>
      <c r="C270" s="15">
        <f>IF(A270&lt;&gt;"",IF(A270&lt;='Current Loan'!$B$7*12,'Current Loan'!$B$9/12,0),"")</f>
        <v>35</v>
      </c>
      <c r="D270" s="15">
        <f>IF(A270&lt;&gt;"",IF(A270&lt;='Proposed Loan'!$B$6*12,'Proposed Loan'!$B$17,0),"")</f>
        <v>4187.9591096558606</v>
      </c>
      <c r="E270" s="15">
        <f>IF(A270&lt;&gt;"",IF(A270&lt;='Proposed Loan'!$B$6*12,'Proposed Loan'!$B$13/12,0),"")</f>
        <v>25</v>
      </c>
      <c r="F270" s="15">
        <f t="shared" si="12"/>
        <v>210.88743910381709</v>
      </c>
      <c r="G270" s="15">
        <f t="shared" si="14"/>
        <v>54124.283923408031</v>
      </c>
      <c r="H270" s="14">
        <f t="shared" si="13"/>
        <v>1</v>
      </c>
    </row>
    <row r="271" spans="1:8" ht="21" customHeight="1">
      <c r="A271" s="14">
        <f>IF(AND('Current Loan'!$B$13,265&lt;=MAX('Current Loan'!B7,'Proposed Loan'!B6)*12),265,"")</f>
        <v>265</v>
      </c>
      <c r="B271" s="15">
        <f>IF(A271&lt;&gt;"",IF(A271&lt;='Current Loan'!$B$7*12,'Current Loan'!$B$17,0),"")</f>
        <v>4388.8465487596777</v>
      </c>
      <c r="C271" s="15">
        <f>IF(A271&lt;&gt;"",IF(A271&lt;='Current Loan'!$B$7*12,'Current Loan'!$B$9/12,0),"")</f>
        <v>35</v>
      </c>
      <c r="D271" s="15">
        <f>IF(A271&lt;&gt;"",IF(A271&lt;='Proposed Loan'!$B$6*12,'Proposed Loan'!$B$17,0),"")</f>
        <v>4187.9591096558606</v>
      </c>
      <c r="E271" s="15">
        <f>IF(A271&lt;&gt;"",IF(A271&lt;='Proposed Loan'!$B$6*12,'Proposed Loan'!$B$13/12,0),"")</f>
        <v>25</v>
      </c>
      <c r="F271" s="15">
        <f t="shared" si="12"/>
        <v>210.88743910381709</v>
      </c>
      <c r="G271" s="15">
        <f t="shared" si="14"/>
        <v>54335.17136251185</v>
      </c>
      <c r="H271" s="14">
        <f t="shared" si="13"/>
        <v>1</v>
      </c>
    </row>
    <row r="272" spans="1:8" ht="21" customHeight="1">
      <c r="A272" s="14">
        <f>IF(AND('Current Loan'!$B$13,266&lt;=MAX('Current Loan'!B7,'Proposed Loan'!B6)*12),266,"")</f>
        <v>266</v>
      </c>
      <c r="B272" s="15">
        <f>IF(A272&lt;&gt;"",IF(A272&lt;='Current Loan'!$B$7*12,'Current Loan'!$B$17,0),"")</f>
        <v>4388.8465487596777</v>
      </c>
      <c r="C272" s="15">
        <f>IF(A272&lt;&gt;"",IF(A272&lt;='Current Loan'!$B$7*12,'Current Loan'!$B$9/12,0),"")</f>
        <v>35</v>
      </c>
      <c r="D272" s="15">
        <f>IF(A272&lt;&gt;"",IF(A272&lt;='Proposed Loan'!$B$6*12,'Proposed Loan'!$B$17,0),"")</f>
        <v>4187.9591096558606</v>
      </c>
      <c r="E272" s="15">
        <f>IF(A272&lt;&gt;"",IF(A272&lt;='Proposed Loan'!$B$6*12,'Proposed Loan'!$B$13/12,0),"")</f>
        <v>25</v>
      </c>
      <c r="F272" s="15">
        <f t="shared" si="12"/>
        <v>210.88743910381709</v>
      </c>
      <c r="G272" s="15">
        <f t="shared" si="14"/>
        <v>54546.058801615669</v>
      </c>
      <c r="H272" s="14">
        <f t="shared" si="13"/>
        <v>1</v>
      </c>
    </row>
    <row r="273" spans="1:8" ht="21" customHeight="1">
      <c r="A273" s="14">
        <f>IF(AND('Current Loan'!$B$13,267&lt;=MAX('Current Loan'!B7,'Proposed Loan'!B6)*12),267,"")</f>
        <v>267</v>
      </c>
      <c r="B273" s="15">
        <f>IF(A273&lt;&gt;"",IF(A273&lt;='Current Loan'!$B$7*12,'Current Loan'!$B$17,0),"")</f>
        <v>4388.8465487596777</v>
      </c>
      <c r="C273" s="15">
        <f>IF(A273&lt;&gt;"",IF(A273&lt;='Current Loan'!$B$7*12,'Current Loan'!$B$9/12,0),"")</f>
        <v>35</v>
      </c>
      <c r="D273" s="15">
        <f>IF(A273&lt;&gt;"",IF(A273&lt;='Proposed Loan'!$B$6*12,'Proposed Loan'!$B$17,0),"")</f>
        <v>4187.9591096558606</v>
      </c>
      <c r="E273" s="15">
        <f>IF(A273&lt;&gt;"",IF(A273&lt;='Proposed Loan'!$B$6*12,'Proposed Loan'!$B$13/12,0),"")</f>
        <v>25</v>
      </c>
      <c r="F273" s="15">
        <f t="shared" si="12"/>
        <v>210.88743910381709</v>
      </c>
      <c r="G273" s="15">
        <f t="shared" si="14"/>
        <v>54756.946240719488</v>
      </c>
      <c r="H273" s="14">
        <f t="shared" si="13"/>
        <v>1</v>
      </c>
    </row>
    <row r="274" spans="1:8" ht="21" customHeight="1">
      <c r="A274" s="14">
        <f>IF(AND('Current Loan'!$B$13,268&lt;=MAX('Current Loan'!B7,'Proposed Loan'!B6)*12),268,"")</f>
        <v>268</v>
      </c>
      <c r="B274" s="15">
        <f>IF(A274&lt;&gt;"",IF(A274&lt;='Current Loan'!$B$7*12,'Current Loan'!$B$17,0),"")</f>
        <v>4388.8465487596777</v>
      </c>
      <c r="C274" s="15">
        <f>IF(A274&lt;&gt;"",IF(A274&lt;='Current Loan'!$B$7*12,'Current Loan'!$B$9/12,0),"")</f>
        <v>35</v>
      </c>
      <c r="D274" s="15">
        <f>IF(A274&lt;&gt;"",IF(A274&lt;='Proposed Loan'!$B$6*12,'Proposed Loan'!$B$17,0),"")</f>
        <v>4187.9591096558606</v>
      </c>
      <c r="E274" s="15">
        <f>IF(A274&lt;&gt;"",IF(A274&lt;='Proposed Loan'!$B$6*12,'Proposed Loan'!$B$13/12,0),"")</f>
        <v>25</v>
      </c>
      <c r="F274" s="15">
        <f t="shared" si="12"/>
        <v>210.88743910381709</v>
      </c>
      <c r="G274" s="15">
        <f t="shared" si="14"/>
        <v>54967.833679823307</v>
      </c>
      <c r="H274" s="14">
        <f t="shared" si="13"/>
        <v>1</v>
      </c>
    </row>
    <row r="275" spans="1:8" ht="21" customHeight="1">
      <c r="A275" s="14">
        <f>IF(AND('Current Loan'!$B$13,269&lt;=MAX('Current Loan'!B7,'Proposed Loan'!B6)*12),269,"")</f>
        <v>269</v>
      </c>
      <c r="B275" s="15">
        <f>IF(A275&lt;&gt;"",IF(A275&lt;='Current Loan'!$B$7*12,'Current Loan'!$B$17,0),"")</f>
        <v>4388.8465487596777</v>
      </c>
      <c r="C275" s="15">
        <f>IF(A275&lt;&gt;"",IF(A275&lt;='Current Loan'!$B$7*12,'Current Loan'!$B$9/12,0),"")</f>
        <v>35</v>
      </c>
      <c r="D275" s="15">
        <f>IF(A275&lt;&gt;"",IF(A275&lt;='Proposed Loan'!$B$6*12,'Proposed Loan'!$B$17,0),"")</f>
        <v>4187.9591096558606</v>
      </c>
      <c r="E275" s="15">
        <f>IF(A275&lt;&gt;"",IF(A275&lt;='Proposed Loan'!$B$6*12,'Proposed Loan'!$B$13/12,0),"")</f>
        <v>25</v>
      </c>
      <c r="F275" s="15">
        <f t="shared" si="12"/>
        <v>210.88743910381709</v>
      </c>
      <c r="G275" s="15">
        <f t="shared" si="14"/>
        <v>55178.721118927126</v>
      </c>
      <c r="H275" s="14">
        <f t="shared" si="13"/>
        <v>1</v>
      </c>
    </row>
    <row r="276" spans="1:8" ht="21" customHeight="1">
      <c r="A276" s="14">
        <f>IF(AND('Current Loan'!$B$13,270&lt;=MAX('Current Loan'!B7,'Proposed Loan'!B6)*12),270,"")</f>
        <v>270</v>
      </c>
      <c r="B276" s="15">
        <f>IF(A276&lt;&gt;"",IF(A276&lt;='Current Loan'!$B$7*12,'Current Loan'!$B$17,0),"")</f>
        <v>4388.8465487596777</v>
      </c>
      <c r="C276" s="15">
        <f>IF(A276&lt;&gt;"",IF(A276&lt;='Current Loan'!$B$7*12,'Current Loan'!$B$9/12,0),"")</f>
        <v>35</v>
      </c>
      <c r="D276" s="15">
        <f>IF(A276&lt;&gt;"",IF(A276&lt;='Proposed Loan'!$B$6*12,'Proposed Loan'!$B$17,0),"")</f>
        <v>4187.9591096558606</v>
      </c>
      <c r="E276" s="15">
        <f>IF(A276&lt;&gt;"",IF(A276&lt;='Proposed Loan'!$B$6*12,'Proposed Loan'!$B$13/12,0),"")</f>
        <v>25</v>
      </c>
      <c r="F276" s="15">
        <f t="shared" si="12"/>
        <v>210.88743910381709</v>
      </c>
      <c r="G276" s="15">
        <f t="shared" si="14"/>
        <v>55389.608558030945</v>
      </c>
      <c r="H276" s="14">
        <f t="shared" si="13"/>
        <v>1</v>
      </c>
    </row>
    <row r="277" spans="1:8" ht="21" customHeight="1">
      <c r="A277" s="14">
        <f>IF(AND('Current Loan'!$B$13,271&lt;=MAX('Current Loan'!B7,'Proposed Loan'!B6)*12),271,"")</f>
        <v>271</v>
      </c>
      <c r="B277" s="15">
        <f>IF(A277&lt;&gt;"",IF(A277&lt;='Current Loan'!$B$7*12,'Current Loan'!$B$17,0),"")</f>
        <v>4388.8465487596777</v>
      </c>
      <c r="C277" s="15">
        <f>IF(A277&lt;&gt;"",IF(A277&lt;='Current Loan'!$B$7*12,'Current Loan'!$B$9/12,0),"")</f>
        <v>35</v>
      </c>
      <c r="D277" s="15">
        <f>IF(A277&lt;&gt;"",IF(A277&lt;='Proposed Loan'!$B$6*12,'Proposed Loan'!$B$17,0),"")</f>
        <v>4187.9591096558606</v>
      </c>
      <c r="E277" s="15">
        <f>IF(A277&lt;&gt;"",IF(A277&lt;='Proposed Loan'!$B$6*12,'Proposed Loan'!$B$13/12,0),"")</f>
        <v>25</v>
      </c>
      <c r="F277" s="15">
        <f t="shared" si="12"/>
        <v>210.88743910381709</v>
      </c>
      <c r="G277" s="15">
        <f t="shared" si="14"/>
        <v>55600.495997134763</v>
      </c>
      <c r="H277" s="14">
        <f t="shared" si="13"/>
        <v>1</v>
      </c>
    </row>
    <row r="278" spans="1:8" ht="21" customHeight="1">
      <c r="A278" s="14">
        <f>IF(AND('Current Loan'!$B$13,272&lt;=MAX('Current Loan'!B7,'Proposed Loan'!B6)*12),272,"")</f>
        <v>272</v>
      </c>
      <c r="B278" s="15">
        <f>IF(A278&lt;&gt;"",IF(A278&lt;='Current Loan'!$B$7*12,'Current Loan'!$B$17,0),"")</f>
        <v>4388.8465487596777</v>
      </c>
      <c r="C278" s="15">
        <f>IF(A278&lt;&gt;"",IF(A278&lt;='Current Loan'!$B$7*12,'Current Loan'!$B$9/12,0),"")</f>
        <v>35</v>
      </c>
      <c r="D278" s="15">
        <f>IF(A278&lt;&gt;"",IF(A278&lt;='Proposed Loan'!$B$6*12,'Proposed Loan'!$B$17,0),"")</f>
        <v>4187.9591096558606</v>
      </c>
      <c r="E278" s="15">
        <f>IF(A278&lt;&gt;"",IF(A278&lt;='Proposed Loan'!$B$6*12,'Proposed Loan'!$B$13/12,0),"")</f>
        <v>25</v>
      </c>
      <c r="F278" s="15">
        <f t="shared" si="12"/>
        <v>210.88743910381709</v>
      </c>
      <c r="G278" s="15">
        <f t="shared" si="14"/>
        <v>55811.383436238582</v>
      </c>
      <c r="H278" s="14">
        <f t="shared" si="13"/>
        <v>1</v>
      </c>
    </row>
    <row r="279" spans="1:8" ht="21" customHeight="1">
      <c r="A279" s="14">
        <f>IF(AND('Current Loan'!$B$13,273&lt;=MAX('Current Loan'!B7,'Proposed Loan'!B6)*12),273,"")</f>
        <v>273</v>
      </c>
      <c r="B279" s="15">
        <f>IF(A279&lt;&gt;"",IF(A279&lt;='Current Loan'!$B$7*12,'Current Loan'!$B$17,0),"")</f>
        <v>4388.8465487596777</v>
      </c>
      <c r="C279" s="15">
        <f>IF(A279&lt;&gt;"",IF(A279&lt;='Current Loan'!$B$7*12,'Current Loan'!$B$9/12,0),"")</f>
        <v>35</v>
      </c>
      <c r="D279" s="15">
        <f>IF(A279&lt;&gt;"",IF(A279&lt;='Proposed Loan'!$B$6*12,'Proposed Loan'!$B$17,0),"")</f>
        <v>4187.9591096558606</v>
      </c>
      <c r="E279" s="15">
        <f>IF(A279&lt;&gt;"",IF(A279&lt;='Proposed Loan'!$B$6*12,'Proposed Loan'!$B$13/12,0),"")</f>
        <v>25</v>
      </c>
      <c r="F279" s="15">
        <f t="shared" si="12"/>
        <v>210.88743910381709</v>
      </c>
      <c r="G279" s="15">
        <f t="shared" si="14"/>
        <v>56022.270875342401</v>
      </c>
      <c r="H279" s="14">
        <f t="shared" si="13"/>
        <v>1</v>
      </c>
    </row>
    <row r="280" spans="1:8" ht="21" customHeight="1">
      <c r="A280" s="14">
        <f>IF(AND('Current Loan'!$B$13,274&lt;=MAX('Current Loan'!B7,'Proposed Loan'!B6)*12),274,"")</f>
        <v>274</v>
      </c>
      <c r="B280" s="15">
        <f>IF(A280&lt;&gt;"",IF(A280&lt;='Current Loan'!$B$7*12,'Current Loan'!$B$17,0),"")</f>
        <v>4388.8465487596777</v>
      </c>
      <c r="C280" s="15">
        <f>IF(A280&lt;&gt;"",IF(A280&lt;='Current Loan'!$B$7*12,'Current Loan'!$B$9/12,0),"")</f>
        <v>35</v>
      </c>
      <c r="D280" s="15">
        <f>IF(A280&lt;&gt;"",IF(A280&lt;='Proposed Loan'!$B$6*12,'Proposed Loan'!$B$17,0),"")</f>
        <v>4187.9591096558606</v>
      </c>
      <c r="E280" s="15">
        <f>IF(A280&lt;&gt;"",IF(A280&lt;='Proposed Loan'!$B$6*12,'Proposed Loan'!$B$13/12,0),"")</f>
        <v>25</v>
      </c>
      <c r="F280" s="15">
        <f t="shared" si="12"/>
        <v>210.88743910381709</v>
      </c>
      <c r="G280" s="15">
        <f t="shared" si="14"/>
        <v>56233.15831444622</v>
      </c>
      <c r="H280" s="14">
        <f t="shared" si="13"/>
        <v>1</v>
      </c>
    </row>
    <row r="281" spans="1:8" ht="21" customHeight="1">
      <c r="A281" s="14">
        <f>IF(AND('Current Loan'!$B$13,275&lt;=MAX('Current Loan'!B7,'Proposed Loan'!B6)*12),275,"")</f>
        <v>275</v>
      </c>
      <c r="B281" s="15">
        <f>IF(A281&lt;&gt;"",IF(A281&lt;='Current Loan'!$B$7*12,'Current Loan'!$B$17,0),"")</f>
        <v>4388.8465487596777</v>
      </c>
      <c r="C281" s="15">
        <f>IF(A281&lt;&gt;"",IF(A281&lt;='Current Loan'!$B$7*12,'Current Loan'!$B$9/12,0),"")</f>
        <v>35</v>
      </c>
      <c r="D281" s="15">
        <f>IF(A281&lt;&gt;"",IF(A281&lt;='Proposed Loan'!$B$6*12,'Proposed Loan'!$B$17,0),"")</f>
        <v>4187.9591096558606</v>
      </c>
      <c r="E281" s="15">
        <f>IF(A281&lt;&gt;"",IF(A281&lt;='Proposed Loan'!$B$6*12,'Proposed Loan'!$B$13/12,0),"")</f>
        <v>25</v>
      </c>
      <c r="F281" s="15">
        <f t="shared" si="12"/>
        <v>210.88743910381709</v>
      </c>
      <c r="G281" s="15">
        <f t="shared" si="14"/>
        <v>56444.045753550039</v>
      </c>
      <c r="H281" s="14">
        <f t="shared" si="13"/>
        <v>1</v>
      </c>
    </row>
    <row r="282" spans="1:8" ht="21" customHeight="1">
      <c r="A282" s="14">
        <f>IF(AND('Current Loan'!$B$13,276&lt;=MAX('Current Loan'!B7,'Proposed Loan'!B6)*12),276,"")</f>
        <v>276</v>
      </c>
      <c r="B282" s="15">
        <f>IF(A282&lt;&gt;"",IF(A282&lt;='Current Loan'!$B$7*12,'Current Loan'!$B$17,0),"")</f>
        <v>4388.8465487596777</v>
      </c>
      <c r="C282" s="15">
        <f>IF(A282&lt;&gt;"",IF(A282&lt;='Current Loan'!$B$7*12,'Current Loan'!$B$9/12,0),"")</f>
        <v>35</v>
      </c>
      <c r="D282" s="15">
        <f>IF(A282&lt;&gt;"",IF(A282&lt;='Proposed Loan'!$B$6*12,'Proposed Loan'!$B$17,0),"")</f>
        <v>4187.9591096558606</v>
      </c>
      <c r="E282" s="15">
        <f>IF(A282&lt;&gt;"",IF(A282&lt;='Proposed Loan'!$B$6*12,'Proposed Loan'!$B$13/12,0),"")</f>
        <v>25</v>
      </c>
      <c r="F282" s="15">
        <f t="shared" si="12"/>
        <v>210.88743910381709</v>
      </c>
      <c r="G282" s="15">
        <f t="shared" si="14"/>
        <v>56654.933192653858</v>
      </c>
      <c r="H282" s="14">
        <f t="shared" si="13"/>
        <v>1</v>
      </c>
    </row>
    <row r="283" spans="1:8" ht="21" customHeight="1">
      <c r="A283" s="14">
        <f>IF(AND('Current Loan'!$B$13,277&lt;=MAX('Current Loan'!B7,'Proposed Loan'!B6)*12),277,"")</f>
        <v>277</v>
      </c>
      <c r="B283" s="15">
        <f>IF(A283&lt;&gt;"",IF(A283&lt;='Current Loan'!$B$7*12,'Current Loan'!$B$17,0),"")</f>
        <v>4388.8465487596777</v>
      </c>
      <c r="C283" s="15">
        <f>IF(A283&lt;&gt;"",IF(A283&lt;='Current Loan'!$B$7*12,'Current Loan'!$B$9/12,0),"")</f>
        <v>35</v>
      </c>
      <c r="D283" s="15">
        <f>IF(A283&lt;&gt;"",IF(A283&lt;='Proposed Loan'!$B$6*12,'Proposed Loan'!$B$17,0),"")</f>
        <v>4187.9591096558606</v>
      </c>
      <c r="E283" s="15">
        <f>IF(A283&lt;&gt;"",IF(A283&lt;='Proposed Loan'!$B$6*12,'Proposed Loan'!$B$13/12,0),"")</f>
        <v>25</v>
      </c>
      <c r="F283" s="15">
        <f t="shared" si="12"/>
        <v>210.88743910381709</v>
      </c>
      <c r="G283" s="15">
        <f t="shared" si="14"/>
        <v>56865.820631757677</v>
      </c>
      <c r="H283" s="14">
        <f t="shared" si="13"/>
        <v>1</v>
      </c>
    </row>
    <row r="284" spans="1:8" ht="21" customHeight="1">
      <c r="A284" s="14">
        <f>IF(AND('Current Loan'!$B$13,278&lt;=MAX('Current Loan'!B7,'Proposed Loan'!B6)*12),278,"")</f>
        <v>278</v>
      </c>
      <c r="B284" s="15">
        <f>IF(A284&lt;&gt;"",IF(A284&lt;='Current Loan'!$B$7*12,'Current Loan'!$B$17,0),"")</f>
        <v>4388.8465487596777</v>
      </c>
      <c r="C284" s="15">
        <f>IF(A284&lt;&gt;"",IF(A284&lt;='Current Loan'!$B$7*12,'Current Loan'!$B$9/12,0),"")</f>
        <v>35</v>
      </c>
      <c r="D284" s="15">
        <f>IF(A284&lt;&gt;"",IF(A284&lt;='Proposed Loan'!$B$6*12,'Proposed Loan'!$B$17,0),"")</f>
        <v>4187.9591096558606</v>
      </c>
      <c r="E284" s="15">
        <f>IF(A284&lt;&gt;"",IF(A284&lt;='Proposed Loan'!$B$6*12,'Proposed Loan'!$B$13/12,0),"")</f>
        <v>25</v>
      </c>
      <c r="F284" s="15">
        <f t="shared" si="12"/>
        <v>210.88743910381709</v>
      </c>
      <c r="G284" s="15">
        <f t="shared" si="14"/>
        <v>57076.708070861496</v>
      </c>
      <c r="H284" s="14">
        <f t="shared" si="13"/>
        <v>1</v>
      </c>
    </row>
    <row r="285" spans="1:8" ht="21" customHeight="1">
      <c r="A285" s="14">
        <f>IF(AND('Current Loan'!$B$13,279&lt;=MAX('Current Loan'!B7,'Proposed Loan'!B6)*12),279,"")</f>
        <v>279</v>
      </c>
      <c r="B285" s="15">
        <f>IF(A285&lt;&gt;"",IF(A285&lt;='Current Loan'!$B$7*12,'Current Loan'!$B$17,0),"")</f>
        <v>4388.8465487596777</v>
      </c>
      <c r="C285" s="15">
        <f>IF(A285&lt;&gt;"",IF(A285&lt;='Current Loan'!$B$7*12,'Current Loan'!$B$9/12,0),"")</f>
        <v>35</v>
      </c>
      <c r="D285" s="15">
        <f>IF(A285&lt;&gt;"",IF(A285&lt;='Proposed Loan'!$B$6*12,'Proposed Loan'!$B$17,0),"")</f>
        <v>4187.9591096558606</v>
      </c>
      <c r="E285" s="15">
        <f>IF(A285&lt;&gt;"",IF(A285&lt;='Proposed Loan'!$B$6*12,'Proposed Loan'!$B$13/12,0),"")</f>
        <v>25</v>
      </c>
      <c r="F285" s="15">
        <f t="shared" si="12"/>
        <v>210.88743910381709</v>
      </c>
      <c r="G285" s="15">
        <f t="shared" si="14"/>
        <v>57287.595509965315</v>
      </c>
      <c r="H285" s="14">
        <f t="shared" si="13"/>
        <v>1</v>
      </c>
    </row>
    <row r="286" spans="1:8" ht="21" customHeight="1">
      <c r="A286" s="14">
        <f>IF(AND('Current Loan'!$B$13,280&lt;=MAX('Current Loan'!B7,'Proposed Loan'!B6)*12),280,"")</f>
        <v>280</v>
      </c>
      <c r="B286" s="15">
        <f>IF(A286&lt;&gt;"",IF(A286&lt;='Current Loan'!$B$7*12,'Current Loan'!$B$17,0),"")</f>
        <v>4388.8465487596777</v>
      </c>
      <c r="C286" s="15">
        <f>IF(A286&lt;&gt;"",IF(A286&lt;='Current Loan'!$B$7*12,'Current Loan'!$B$9/12,0),"")</f>
        <v>35</v>
      </c>
      <c r="D286" s="15">
        <f>IF(A286&lt;&gt;"",IF(A286&lt;='Proposed Loan'!$B$6*12,'Proposed Loan'!$B$17,0),"")</f>
        <v>4187.9591096558606</v>
      </c>
      <c r="E286" s="15">
        <f>IF(A286&lt;&gt;"",IF(A286&lt;='Proposed Loan'!$B$6*12,'Proposed Loan'!$B$13/12,0),"")</f>
        <v>25</v>
      </c>
      <c r="F286" s="15">
        <f t="shared" si="12"/>
        <v>210.88743910381709</v>
      </c>
      <c r="G286" s="15">
        <f t="shared" si="14"/>
        <v>57498.482949069134</v>
      </c>
      <c r="H286" s="14">
        <f t="shared" si="13"/>
        <v>1</v>
      </c>
    </row>
    <row r="287" spans="1:8" ht="21" customHeight="1">
      <c r="A287" s="14">
        <f>IF(AND('Current Loan'!$B$13,281&lt;=MAX('Current Loan'!B7,'Proposed Loan'!B6)*12),281,"")</f>
        <v>281</v>
      </c>
      <c r="B287" s="15">
        <f>IF(A287&lt;&gt;"",IF(A287&lt;='Current Loan'!$B$7*12,'Current Loan'!$B$17,0),"")</f>
        <v>4388.8465487596777</v>
      </c>
      <c r="C287" s="15">
        <f>IF(A287&lt;&gt;"",IF(A287&lt;='Current Loan'!$B$7*12,'Current Loan'!$B$9/12,0),"")</f>
        <v>35</v>
      </c>
      <c r="D287" s="15">
        <f>IF(A287&lt;&gt;"",IF(A287&lt;='Proposed Loan'!$B$6*12,'Proposed Loan'!$B$17,0),"")</f>
        <v>4187.9591096558606</v>
      </c>
      <c r="E287" s="15">
        <f>IF(A287&lt;&gt;"",IF(A287&lt;='Proposed Loan'!$B$6*12,'Proposed Loan'!$B$13/12,0),"")</f>
        <v>25</v>
      </c>
      <c r="F287" s="15">
        <f t="shared" si="12"/>
        <v>210.88743910381709</v>
      </c>
      <c r="G287" s="15">
        <f t="shared" si="14"/>
        <v>57709.370388172953</v>
      </c>
      <c r="H287" s="14">
        <f t="shared" si="13"/>
        <v>1</v>
      </c>
    </row>
    <row r="288" spans="1:8" ht="21" customHeight="1">
      <c r="A288" s="14">
        <f>IF(AND('Current Loan'!$B$13,282&lt;=MAX('Current Loan'!B7,'Proposed Loan'!B6)*12),282,"")</f>
        <v>282</v>
      </c>
      <c r="B288" s="15">
        <f>IF(A288&lt;&gt;"",IF(A288&lt;='Current Loan'!$B$7*12,'Current Loan'!$B$17,0),"")</f>
        <v>4388.8465487596777</v>
      </c>
      <c r="C288" s="15">
        <f>IF(A288&lt;&gt;"",IF(A288&lt;='Current Loan'!$B$7*12,'Current Loan'!$B$9/12,0),"")</f>
        <v>35</v>
      </c>
      <c r="D288" s="15">
        <f>IF(A288&lt;&gt;"",IF(A288&lt;='Proposed Loan'!$B$6*12,'Proposed Loan'!$B$17,0),"")</f>
        <v>4187.9591096558606</v>
      </c>
      <c r="E288" s="15">
        <f>IF(A288&lt;&gt;"",IF(A288&lt;='Proposed Loan'!$B$6*12,'Proposed Loan'!$B$13/12,0),"")</f>
        <v>25</v>
      </c>
      <c r="F288" s="15">
        <f t="shared" si="12"/>
        <v>210.88743910381709</v>
      </c>
      <c r="G288" s="15">
        <f t="shared" si="14"/>
        <v>57920.257827276771</v>
      </c>
      <c r="H288" s="14">
        <f t="shared" si="13"/>
        <v>1</v>
      </c>
    </row>
    <row r="289" spans="1:8" ht="21" customHeight="1">
      <c r="A289" s="14">
        <f>IF(AND('Current Loan'!$B$13,283&lt;=MAX('Current Loan'!B7,'Proposed Loan'!B6)*12),283,"")</f>
        <v>283</v>
      </c>
      <c r="B289" s="15">
        <f>IF(A289&lt;&gt;"",IF(A289&lt;='Current Loan'!$B$7*12,'Current Loan'!$B$17,0),"")</f>
        <v>4388.8465487596777</v>
      </c>
      <c r="C289" s="15">
        <f>IF(A289&lt;&gt;"",IF(A289&lt;='Current Loan'!$B$7*12,'Current Loan'!$B$9/12,0),"")</f>
        <v>35</v>
      </c>
      <c r="D289" s="15">
        <f>IF(A289&lt;&gt;"",IF(A289&lt;='Proposed Loan'!$B$6*12,'Proposed Loan'!$B$17,0),"")</f>
        <v>4187.9591096558606</v>
      </c>
      <c r="E289" s="15">
        <f>IF(A289&lt;&gt;"",IF(A289&lt;='Proposed Loan'!$B$6*12,'Proposed Loan'!$B$13/12,0),"")</f>
        <v>25</v>
      </c>
      <c r="F289" s="15">
        <f t="shared" si="12"/>
        <v>210.88743910381709</v>
      </c>
      <c r="G289" s="15">
        <f t="shared" si="14"/>
        <v>58131.14526638059</v>
      </c>
      <c r="H289" s="14">
        <f t="shared" si="13"/>
        <v>1</v>
      </c>
    </row>
    <row r="290" spans="1:8" ht="21" customHeight="1">
      <c r="A290" s="14">
        <f>IF(AND('Current Loan'!$B$13,284&lt;=MAX('Current Loan'!B7,'Proposed Loan'!B6)*12),284,"")</f>
        <v>284</v>
      </c>
      <c r="B290" s="15">
        <f>IF(A290&lt;&gt;"",IF(A290&lt;='Current Loan'!$B$7*12,'Current Loan'!$B$17,0),"")</f>
        <v>4388.8465487596777</v>
      </c>
      <c r="C290" s="15">
        <f>IF(A290&lt;&gt;"",IF(A290&lt;='Current Loan'!$B$7*12,'Current Loan'!$B$9/12,0),"")</f>
        <v>35</v>
      </c>
      <c r="D290" s="15">
        <f>IF(A290&lt;&gt;"",IF(A290&lt;='Proposed Loan'!$B$6*12,'Proposed Loan'!$B$17,0),"")</f>
        <v>4187.9591096558606</v>
      </c>
      <c r="E290" s="15">
        <f>IF(A290&lt;&gt;"",IF(A290&lt;='Proposed Loan'!$B$6*12,'Proposed Loan'!$B$13/12,0),"")</f>
        <v>25</v>
      </c>
      <c r="F290" s="15">
        <f t="shared" si="12"/>
        <v>210.88743910381709</v>
      </c>
      <c r="G290" s="15">
        <f t="shared" si="14"/>
        <v>58342.032705484409</v>
      </c>
      <c r="H290" s="14">
        <f t="shared" si="13"/>
        <v>1</v>
      </c>
    </row>
    <row r="291" spans="1:8" ht="21" customHeight="1">
      <c r="A291" s="14">
        <f>IF(AND('Current Loan'!$B$13,285&lt;=MAX('Current Loan'!B7,'Proposed Loan'!B6)*12),285,"")</f>
        <v>285</v>
      </c>
      <c r="B291" s="15">
        <f>IF(A291&lt;&gt;"",IF(A291&lt;='Current Loan'!$B$7*12,'Current Loan'!$B$17,0),"")</f>
        <v>4388.8465487596777</v>
      </c>
      <c r="C291" s="15">
        <f>IF(A291&lt;&gt;"",IF(A291&lt;='Current Loan'!$B$7*12,'Current Loan'!$B$9/12,0),"")</f>
        <v>35</v>
      </c>
      <c r="D291" s="15">
        <f>IF(A291&lt;&gt;"",IF(A291&lt;='Proposed Loan'!$B$6*12,'Proposed Loan'!$B$17,0),"")</f>
        <v>4187.9591096558606</v>
      </c>
      <c r="E291" s="15">
        <f>IF(A291&lt;&gt;"",IF(A291&lt;='Proposed Loan'!$B$6*12,'Proposed Loan'!$B$13/12,0),"")</f>
        <v>25</v>
      </c>
      <c r="F291" s="15">
        <f t="shared" si="12"/>
        <v>210.88743910381709</v>
      </c>
      <c r="G291" s="15">
        <f t="shared" si="14"/>
        <v>58552.920144588228</v>
      </c>
      <c r="H291" s="14">
        <f t="shared" si="13"/>
        <v>1</v>
      </c>
    </row>
    <row r="292" spans="1:8" ht="21" customHeight="1">
      <c r="A292" s="14">
        <f>IF(AND('Current Loan'!$B$13,286&lt;=MAX('Current Loan'!B7,'Proposed Loan'!B6)*12),286,"")</f>
        <v>286</v>
      </c>
      <c r="B292" s="15">
        <f>IF(A292&lt;&gt;"",IF(A292&lt;='Current Loan'!$B$7*12,'Current Loan'!$B$17,0),"")</f>
        <v>4388.8465487596777</v>
      </c>
      <c r="C292" s="15">
        <f>IF(A292&lt;&gt;"",IF(A292&lt;='Current Loan'!$B$7*12,'Current Loan'!$B$9/12,0),"")</f>
        <v>35</v>
      </c>
      <c r="D292" s="15">
        <f>IF(A292&lt;&gt;"",IF(A292&lt;='Proposed Loan'!$B$6*12,'Proposed Loan'!$B$17,0),"")</f>
        <v>4187.9591096558606</v>
      </c>
      <c r="E292" s="15">
        <f>IF(A292&lt;&gt;"",IF(A292&lt;='Proposed Loan'!$B$6*12,'Proposed Loan'!$B$13/12,0),"")</f>
        <v>25</v>
      </c>
      <c r="F292" s="15">
        <f t="shared" si="12"/>
        <v>210.88743910381709</v>
      </c>
      <c r="G292" s="15">
        <f t="shared" si="14"/>
        <v>58763.807583692047</v>
      </c>
      <c r="H292" s="14">
        <f t="shared" si="13"/>
        <v>1</v>
      </c>
    </row>
    <row r="293" spans="1:8" ht="21" customHeight="1">
      <c r="A293" s="14">
        <f>IF(AND('Current Loan'!$B$13,287&lt;=MAX('Current Loan'!B7,'Proposed Loan'!B6)*12),287,"")</f>
        <v>287</v>
      </c>
      <c r="B293" s="15">
        <f>IF(A293&lt;&gt;"",IF(A293&lt;='Current Loan'!$B$7*12,'Current Loan'!$B$17,0),"")</f>
        <v>4388.8465487596777</v>
      </c>
      <c r="C293" s="15">
        <f>IF(A293&lt;&gt;"",IF(A293&lt;='Current Loan'!$B$7*12,'Current Loan'!$B$9/12,0),"")</f>
        <v>35</v>
      </c>
      <c r="D293" s="15">
        <f>IF(A293&lt;&gt;"",IF(A293&lt;='Proposed Loan'!$B$6*12,'Proposed Loan'!$B$17,0),"")</f>
        <v>4187.9591096558606</v>
      </c>
      <c r="E293" s="15">
        <f>IF(A293&lt;&gt;"",IF(A293&lt;='Proposed Loan'!$B$6*12,'Proposed Loan'!$B$13/12,0),"")</f>
        <v>25</v>
      </c>
      <c r="F293" s="15">
        <f t="shared" si="12"/>
        <v>210.88743910381709</v>
      </c>
      <c r="G293" s="15">
        <f t="shared" si="14"/>
        <v>58974.695022795866</v>
      </c>
      <c r="H293" s="14">
        <f t="shared" si="13"/>
        <v>1</v>
      </c>
    </row>
    <row r="294" spans="1:8" ht="21" customHeight="1">
      <c r="A294" s="14">
        <f>IF(AND('Current Loan'!$B$13,288&lt;=MAX('Current Loan'!B7,'Proposed Loan'!B6)*12),288,"")</f>
        <v>288</v>
      </c>
      <c r="B294" s="15">
        <f>IF(A294&lt;&gt;"",IF(A294&lt;='Current Loan'!$B$7*12,'Current Loan'!$B$17,0),"")</f>
        <v>4388.8465487596777</v>
      </c>
      <c r="C294" s="15">
        <f>IF(A294&lt;&gt;"",IF(A294&lt;='Current Loan'!$B$7*12,'Current Loan'!$B$9/12,0),"")</f>
        <v>35</v>
      </c>
      <c r="D294" s="15">
        <f>IF(A294&lt;&gt;"",IF(A294&lt;='Proposed Loan'!$B$6*12,'Proposed Loan'!$B$17,0),"")</f>
        <v>4187.9591096558606</v>
      </c>
      <c r="E294" s="15">
        <f>IF(A294&lt;&gt;"",IF(A294&lt;='Proposed Loan'!$B$6*12,'Proposed Loan'!$B$13/12,0),"")</f>
        <v>25</v>
      </c>
      <c r="F294" s="15">
        <f t="shared" si="12"/>
        <v>210.88743910381709</v>
      </c>
      <c r="G294" s="15">
        <f t="shared" si="14"/>
        <v>59185.582461899685</v>
      </c>
      <c r="H294" s="14">
        <f t="shared" si="13"/>
        <v>1</v>
      </c>
    </row>
    <row r="295" spans="1:8" ht="21" customHeight="1">
      <c r="A295" s="14">
        <f>IF(AND('Current Loan'!$B$13,289&lt;=MAX('Current Loan'!B7,'Proposed Loan'!B6)*12),289,"")</f>
        <v>289</v>
      </c>
      <c r="B295" s="15">
        <f>IF(A295&lt;&gt;"",IF(A295&lt;='Current Loan'!$B$7*12,'Current Loan'!$B$17,0),"")</f>
        <v>4388.8465487596777</v>
      </c>
      <c r="C295" s="15">
        <f>IF(A295&lt;&gt;"",IF(A295&lt;='Current Loan'!$B$7*12,'Current Loan'!$B$9/12,0),"")</f>
        <v>35</v>
      </c>
      <c r="D295" s="15">
        <f>IF(A295&lt;&gt;"",IF(A295&lt;='Proposed Loan'!$B$6*12,'Proposed Loan'!$B$17,0),"")</f>
        <v>4187.9591096558606</v>
      </c>
      <c r="E295" s="15">
        <f>IF(A295&lt;&gt;"",IF(A295&lt;='Proposed Loan'!$B$6*12,'Proposed Loan'!$B$13/12,0),"")</f>
        <v>25</v>
      </c>
      <c r="F295" s="15">
        <f t="shared" si="12"/>
        <v>210.88743910381709</v>
      </c>
      <c r="G295" s="15">
        <f t="shared" si="14"/>
        <v>59396.469901003504</v>
      </c>
      <c r="H295" s="14">
        <f t="shared" si="13"/>
        <v>1</v>
      </c>
    </row>
    <row r="296" spans="1:8" ht="21" customHeight="1">
      <c r="A296" s="14">
        <f>IF(AND('Current Loan'!$B$13,290&lt;=MAX('Current Loan'!B7,'Proposed Loan'!B6)*12),290,"")</f>
        <v>290</v>
      </c>
      <c r="B296" s="15">
        <f>IF(A296&lt;&gt;"",IF(A296&lt;='Current Loan'!$B$7*12,'Current Loan'!$B$17,0),"")</f>
        <v>4388.8465487596777</v>
      </c>
      <c r="C296" s="15">
        <f>IF(A296&lt;&gt;"",IF(A296&lt;='Current Loan'!$B$7*12,'Current Loan'!$B$9/12,0),"")</f>
        <v>35</v>
      </c>
      <c r="D296" s="15">
        <f>IF(A296&lt;&gt;"",IF(A296&lt;='Proposed Loan'!$B$6*12,'Proposed Loan'!$B$17,0),"")</f>
        <v>4187.9591096558606</v>
      </c>
      <c r="E296" s="15">
        <f>IF(A296&lt;&gt;"",IF(A296&lt;='Proposed Loan'!$B$6*12,'Proposed Loan'!$B$13/12,0),"")</f>
        <v>25</v>
      </c>
      <c r="F296" s="15">
        <f t="shared" si="12"/>
        <v>210.88743910381709</v>
      </c>
      <c r="G296" s="15">
        <f t="shared" si="14"/>
        <v>59607.357340107323</v>
      </c>
      <c r="H296" s="14">
        <f t="shared" si="13"/>
        <v>1</v>
      </c>
    </row>
    <row r="297" spans="1:8" ht="21" customHeight="1">
      <c r="A297" s="14">
        <f>IF(AND('Current Loan'!$B$13,291&lt;=MAX('Current Loan'!B7,'Proposed Loan'!B6)*12),291,"")</f>
        <v>291</v>
      </c>
      <c r="B297" s="15">
        <f>IF(A297&lt;&gt;"",IF(A297&lt;='Current Loan'!$B$7*12,'Current Loan'!$B$17,0),"")</f>
        <v>4388.8465487596777</v>
      </c>
      <c r="C297" s="15">
        <f>IF(A297&lt;&gt;"",IF(A297&lt;='Current Loan'!$B$7*12,'Current Loan'!$B$9/12,0),"")</f>
        <v>35</v>
      </c>
      <c r="D297" s="15">
        <f>IF(A297&lt;&gt;"",IF(A297&lt;='Proposed Loan'!$B$6*12,'Proposed Loan'!$B$17,0),"")</f>
        <v>4187.9591096558606</v>
      </c>
      <c r="E297" s="15">
        <f>IF(A297&lt;&gt;"",IF(A297&lt;='Proposed Loan'!$B$6*12,'Proposed Loan'!$B$13/12,0),"")</f>
        <v>25</v>
      </c>
      <c r="F297" s="15">
        <f t="shared" si="12"/>
        <v>210.88743910381709</v>
      </c>
      <c r="G297" s="15">
        <f t="shared" si="14"/>
        <v>59818.244779211142</v>
      </c>
      <c r="H297" s="14">
        <f t="shared" si="13"/>
        <v>1</v>
      </c>
    </row>
    <row r="298" spans="1:8" ht="21" customHeight="1">
      <c r="A298" s="14">
        <f>IF(AND('Current Loan'!$B$13,292&lt;=MAX('Current Loan'!B7,'Proposed Loan'!B6)*12),292,"")</f>
        <v>292</v>
      </c>
      <c r="B298" s="15">
        <f>IF(A298&lt;&gt;"",IF(A298&lt;='Current Loan'!$B$7*12,'Current Loan'!$B$17,0),"")</f>
        <v>4388.8465487596777</v>
      </c>
      <c r="C298" s="15">
        <f>IF(A298&lt;&gt;"",IF(A298&lt;='Current Loan'!$B$7*12,'Current Loan'!$B$9/12,0),"")</f>
        <v>35</v>
      </c>
      <c r="D298" s="15">
        <f>IF(A298&lt;&gt;"",IF(A298&lt;='Proposed Loan'!$B$6*12,'Proposed Loan'!$B$17,0),"")</f>
        <v>4187.9591096558606</v>
      </c>
      <c r="E298" s="15">
        <f>IF(A298&lt;&gt;"",IF(A298&lt;='Proposed Loan'!$B$6*12,'Proposed Loan'!$B$13/12,0),"")</f>
        <v>25</v>
      </c>
      <c r="F298" s="15">
        <f t="shared" si="12"/>
        <v>210.88743910381709</v>
      </c>
      <c r="G298" s="15">
        <f t="shared" si="14"/>
        <v>60029.13221831496</v>
      </c>
      <c r="H298" s="14">
        <f t="shared" si="13"/>
        <v>1</v>
      </c>
    </row>
    <row r="299" spans="1:8" ht="21" customHeight="1">
      <c r="A299" s="14">
        <f>IF(AND('Current Loan'!$B$13,293&lt;=MAX('Current Loan'!B7,'Proposed Loan'!B6)*12),293,"")</f>
        <v>293</v>
      </c>
      <c r="B299" s="15">
        <f>IF(A299&lt;&gt;"",IF(A299&lt;='Current Loan'!$B$7*12,'Current Loan'!$B$17,0),"")</f>
        <v>4388.8465487596777</v>
      </c>
      <c r="C299" s="15">
        <f>IF(A299&lt;&gt;"",IF(A299&lt;='Current Loan'!$B$7*12,'Current Loan'!$B$9/12,0),"")</f>
        <v>35</v>
      </c>
      <c r="D299" s="15">
        <f>IF(A299&lt;&gt;"",IF(A299&lt;='Proposed Loan'!$B$6*12,'Proposed Loan'!$B$17,0),"")</f>
        <v>4187.9591096558606</v>
      </c>
      <c r="E299" s="15">
        <f>IF(A299&lt;&gt;"",IF(A299&lt;='Proposed Loan'!$B$6*12,'Proposed Loan'!$B$13/12,0),"")</f>
        <v>25</v>
      </c>
      <c r="F299" s="15">
        <f t="shared" si="12"/>
        <v>210.88743910381709</v>
      </c>
      <c r="G299" s="15">
        <f t="shared" si="14"/>
        <v>60240.019657418779</v>
      </c>
      <c r="H299" s="14">
        <f t="shared" si="13"/>
        <v>1</v>
      </c>
    </row>
    <row r="300" spans="1:8" ht="21" customHeight="1">
      <c r="A300" s="14">
        <f>IF(AND('Current Loan'!$B$13,294&lt;=MAX('Current Loan'!B7,'Proposed Loan'!B6)*12),294,"")</f>
        <v>294</v>
      </c>
      <c r="B300" s="15">
        <f>IF(A300&lt;&gt;"",IF(A300&lt;='Current Loan'!$B$7*12,'Current Loan'!$B$17,0),"")</f>
        <v>4388.8465487596777</v>
      </c>
      <c r="C300" s="15">
        <f>IF(A300&lt;&gt;"",IF(A300&lt;='Current Loan'!$B$7*12,'Current Loan'!$B$9/12,0),"")</f>
        <v>35</v>
      </c>
      <c r="D300" s="15">
        <f>IF(A300&lt;&gt;"",IF(A300&lt;='Proposed Loan'!$B$6*12,'Proposed Loan'!$B$17,0),"")</f>
        <v>4187.9591096558606</v>
      </c>
      <c r="E300" s="15">
        <f>IF(A300&lt;&gt;"",IF(A300&lt;='Proposed Loan'!$B$6*12,'Proposed Loan'!$B$13/12,0),"")</f>
        <v>25</v>
      </c>
      <c r="F300" s="15">
        <f t="shared" si="12"/>
        <v>210.88743910381709</v>
      </c>
      <c r="G300" s="15">
        <f t="shared" si="14"/>
        <v>60450.907096522598</v>
      </c>
      <c r="H300" s="14">
        <f t="shared" si="13"/>
        <v>1</v>
      </c>
    </row>
    <row r="301" spans="1:8" ht="21" customHeight="1">
      <c r="A301" s="14">
        <f>IF(AND('Current Loan'!$B$13,295&lt;=MAX('Current Loan'!B7,'Proposed Loan'!B6)*12),295,"")</f>
        <v>295</v>
      </c>
      <c r="B301" s="15">
        <f>IF(A301&lt;&gt;"",IF(A301&lt;='Current Loan'!$B$7*12,'Current Loan'!$B$17,0),"")</f>
        <v>4388.8465487596777</v>
      </c>
      <c r="C301" s="15">
        <f>IF(A301&lt;&gt;"",IF(A301&lt;='Current Loan'!$B$7*12,'Current Loan'!$B$9/12,0),"")</f>
        <v>35</v>
      </c>
      <c r="D301" s="15">
        <f>IF(A301&lt;&gt;"",IF(A301&lt;='Proposed Loan'!$B$6*12,'Proposed Loan'!$B$17,0),"")</f>
        <v>4187.9591096558606</v>
      </c>
      <c r="E301" s="15">
        <f>IF(A301&lt;&gt;"",IF(A301&lt;='Proposed Loan'!$B$6*12,'Proposed Loan'!$B$13/12,0),"")</f>
        <v>25</v>
      </c>
      <c r="F301" s="15">
        <f t="shared" si="12"/>
        <v>210.88743910381709</v>
      </c>
      <c r="G301" s="15">
        <f t="shared" si="14"/>
        <v>60661.794535626417</v>
      </c>
      <c r="H301" s="14">
        <f t="shared" si="13"/>
        <v>1</v>
      </c>
    </row>
    <row r="302" spans="1:8" ht="21" customHeight="1">
      <c r="A302" s="14">
        <f>IF(AND('Current Loan'!$B$13,296&lt;=MAX('Current Loan'!B7,'Proposed Loan'!B6)*12),296,"")</f>
        <v>296</v>
      </c>
      <c r="B302" s="15">
        <f>IF(A302&lt;&gt;"",IF(A302&lt;='Current Loan'!$B$7*12,'Current Loan'!$B$17,0),"")</f>
        <v>4388.8465487596777</v>
      </c>
      <c r="C302" s="15">
        <f>IF(A302&lt;&gt;"",IF(A302&lt;='Current Loan'!$B$7*12,'Current Loan'!$B$9/12,0),"")</f>
        <v>35</v>
      </c>
      <c r="D302" s="15">
        <f>IF(A302&lt;&gt;"",IF(A302&lt;='Proposed Loan'!$B$6*12,'Proposed Loan'!$B$17,0),"")</f>
        <v>4187.9591096558606</v>
      </c>
      <c r="E302" s="15">
        <f>IF(A302&lt;&gt;"",IF(A302&lt;='Proposed Loan'!$B$6*12,'Proposed Loan'!$B$13/12,0),"")</f>
        <v>25</v>
      </c>
      <c r="F302" s="15">
        <f t="shared" si="12"/>
        <v>210.88743910381709</v>
      </c>
      <c r="G302" s="15">
        <f t="shared" si="14"/>
        <v>60872.681974730236</v>
      </c>
      <c r="H302" s="14">
        <f t="shared" si="13"/>
        <v>1</v>
      </c>
    </row>
    <row r="303" spans="1:8" ht="21" customHeight="1">
      <c r="A303" s="14">
        <f>IF(AND('Current Loan'!$B$13,297&lt;=MAX('Current Loan'!B7,'Proposed Loan'!B6)*12),297,"")</f>
        <v>297</v>
      </c>
      <c r="B303" s="15">
        <f>IF(A303&lt;&gt;"",IF(A303&lt;='Current Loan'!$B$7*12,'Current Loan'!$B$17,0),"")</f>
        <v>4388.8465487596777</v>
      </c>
      <c r="C303" s="15">
        <f>IF(A303&lt;&gt;"",IF(A303&lt;='Current Loan'!$B$7*12,'Current Loan'!$B$9/12,0),"")</f>
        <v>35</v>
      </c>
      <c r="D303" s="15">
        <f>IF(A303&lt;&gt;"",IF(A303&lt;='Proposed Loan'!$B$6*12,'Proposed Loan'!$B$17,0),"")</f>
        <v>4187.9591096558606</v>
      </c>
      <c r="E303" s="15">
        <f>IF(A303&lt;&gt;"",IF(A303&lt;='Proposed Loan'!$B$6*12,'Proposed Loan'!$B$13/12,0),"")</f>
        <v>25</v>
      </c>
      <c r="F303" s="15">
        <f t="shared" si="12"/>
        <v>210.88743910381709</v>
      </c>
      <c r="G303" s="15">
        <f t="shared" si="14"/>
        <v>61083.569413834055</v>
      </c>
      <c r="H303" s="14">
        <f t="shared" si="13"/>
        <v>1</v>
      </c>
    </row>
    <row r="304" spans="1:8" ht="21" customHeight="1">
      <c r="A304" s="14">
        <f>IF(AND('Current Loan'!$B$13,298&lt;=MAX('Current Loan'!B7,'Proposed Loan'!B6)*12),298,"")</f>
        <v>298</v>
      </c>
      <c r="B304" s="15">
        <f>IF(A304&lt;&gt;"",IF(A304&lt;='Current Loan'!$B$7*12,'Current Loan'!$B$17,0),"")</f>
        <v>4388.8465487596777</v>
      </c>
      <c r="C304" s="15">
        <f>IF(A304&lt;&gt;"",IF(A304&lt;='Current Loan'!$B$7*12,'Current Loan'!$B$9/12,0),"")</f>
        <v>35</v>
      </c>
      <c r="D304" s="15">
        <f>IF(A304&lt;&gt;"",IF(A304&lt;='Proposed Loan'!$B$6*12,'Proposed Loan'!$B$17,0),"")</f>
        <v>4187.9591096558606</v>
      </c>
      <c r="E304" s="15">
        <f>IF(A304&lt;&gt;"",IF(A304&lt;='Proposed Loan'!$B$6*12,'Proposed Loan'!$B$13/12,0),"")</f>
        <v>25</v>
      </c>
      <c r="F304" s="15">
        <f t="shared" si="12"/>
        <v>210.88743910381709</v>
      </c>
      <c r="G304" s="15">
        <f t="shared" si="14"/>
        <v>61294.456852937874</v>
      </c>
      <c r="H304" s="14">
        <f t="shared" si="13"/>
        <v>1</v>
      </c>
    </row>
    <row r="305" spans="1:8" ht="21" customHeight="1">
      <c r="A305" s="14">
        <f>IF(AND('Current Loan'!$B$13,299&lt;=MAX('Current Loan'!B7,'Proposed Loan'!B6)*12),299,"")</f>
        <v>299</v>
      </c>
      <c r="B305" s="15">
        <f>IF(A305&lt;&gt;"",IF(A305&lt;='Current Loan'!$B$7*12,'Current Loan'!$B$17,0),"")</f>
        <v>4388.8465487596777</v>
      </c>
      <c r="C305" s="15">
        <f>IF(A305&lt;&gt;"",IF(A305&lt;='Current Loan'!$B$7*12,'Current Loan'!$B$9/12,0),"")</f>
        <v>35</v>
      </c>
      <c r="D305" s="15">
        <f>IF(A305&lt;&gt;"",IF(A305&lt;='Proposed Loan'!$B$6*12,'Proposed Loan'!$B$17,0),"")</f>
        <v>4187.9591096558606</v>
      </c>
      <c r="E305" s="15">
        <f>IF(A305&lt;&gt;"",IF(A305&lt;='Proposed Loan'!$B$6*12,'Proposed Loan'!$B$13/12,0),"")</f>
        <v>25</v>
      </c>
      <c r="F305" s="15">
        <f t="shared" si="12"/>
        <v>210.88743910381709</v>
      </c>
      <c r="G305" s="15">
        <f t="shared" si="14"/>
        <v>61505.344292041693</v>
      </c>
      <c r="H305" s="14">
        <f t="shared" si="13"/>
        <v>1</v>
      </c>
    </row>
    <row r="306" spans="1:8" ht="21" customHeight="1">
      <c r="A306" s="14">
        <f>IF(AND('Current Loan'!$B$13,300&lt;=MAX('Current Loan'!B7,'Proposed Loan'!B6)*12),300,"")</f>
        <v>300</v>
      </c>
      <c r="B306" s="15">
        <f>IF(A306&lt;&gt;"",IF(A306&lt;='Current Loan'!$B$7*12,'Current Loan'!$B$17,0),"")</f>
        <v>4388.8465487596777</v>
      </c>
      <c r="C306" s="15">
        <f>IF(A306&lt;&gt;"",IF(A306&lt;='Current Loan'!$B$7*12,'Current Loan'!$B$9/12,0),"")</f>
        <v>35</v>
      </c>
      <c r="D306" s="15">
        <f>IF(A306&lt;&gt;"",IF(A306&lt;='Proposed Loan'!$B$6*12,'Proposed Loan'!$B$17,0),"")</f>
        <v>4187.9591096558606</v>
      </c>
      <c r="E306" s="15">
        <f>IF(A306&lt;&gt;"",IF(A306&lt;='Proposed Loan'!$B$6*12,'Proposed Loan'!$B$13/12,0),"")</f>
        <v>25</v>
      </c>
      <c r="F306" s="15">
        <f t="shared" si="12"/>
        <v>210.88743910381709</v>
      </c>
      <c r="G306" s="15">
        <f t="shared" si="14"/>
        <v>61716.231731145512</v>
      </c>
      <c r="H306" s="14">
        <f t="shared" si="13"/>
        <v>1</v>
      </c>
    </row>
    <row r="307" spans="1:8" ht="21" customHeight="1">
      <c r="A307" s="14" t="str">
        <f>IF(AND('Current Loan'!$B$13,301&lt;=MAX('Current Loan'!B7,'Proposed Loan'!B6)*12),301,"")</f>
        <v/>
      </c>
      <c r="B307" s="15" t="str">
        <f>IF(A307&lt;&gt;"",IF(A307&lt;='Current Loan'!$B$7*12,'Current Loan'!$B$17,0),"")</f>
        <v/>
      </c>
      <c r="C307" s="15" t="str">
        <f>IF(A307&lt;&gt;"",IF(A307&lt;='Current Loan'!$B$7*12,'Current Loan'!$B$9/12,0),"")</f>
        <v/>
      </c>
      <c r="D307" s="15" t="str">
        <f>IF(A307&lt;&gt;"",IF(A307&lt;='Proposed Loan'!$B$6*12,'Proposed Loan'!$B$17,0),"")</f>
        <v/>
      </c>
      <c r="E307" s="15" t="str">
        <f>IF(A307&lt;&gt;"",IF(A307&lt;='Proposed Loan'!$B$6*12,'Proposed Loan'!$B$13/12,0),"")</f>
        <v/>
      </c>
      <c r="F307" s="15" t="str">
        <f t="shared" si="12"/>
        <v/>
      </c>
      <c r="G307" s="15" t="str">
        <f t="shared" si="14"/>
        <v/>
      </c>
      <c r="H307" s="14" t="str">
        <f t="shared" si="13"/>
        <v/>
      </c>
    </row>
    <row r="308" spans="1:8" ht="21" customHeight="1">
      <c r="A308" s="14" t="str">
        <f>IF(AND('Current Loan'!$B$13,302&lt;=MAX('Current Loan'!B7,'Proposed Loan'!B6)*12),302,"")</f>
        <v/>
      </c>
      <c r="B308" s="15" t="str">
        <f>IF(A308&lt;&gt;"",IF(A308&lt;='Current Loan'!$B$7*12,'Current Loan'!$B$17,0),"")</f>
        <v/>
      </c>
      <c r="C308" s="15" t="str">
        <f>IF(A308&lt;&gt;"",IF(A308&lt;='Current Loan'!$B$7*12,'Current Loan'!$B$9/12,0),"")</f>
        <v/>
      </c>
      <c r="D308" s="15" t="str">
        <f>IF(A308&lt;&gt;"",IF(A308&lt;='Proposed Loan'!$B$6*12,'Proposed Loan'!$B$17,0),"")</f>
        <v/>
      </c>
      <c r="E308" s="15" t="str">
        <f>IF(A308&lt;&gt;"",IF(A308&lt;='Proposed Loan'!$B$6*12,'Proposed Loan'!$B$13/12,0),"")</f>
        <v/>
      </c>
      <c r="F308" s="15" t="str">
        <f t="shared" si="12"/>
        <v/>
      </c>
      <c r="G308" s="15" t="str">
        <f t="shared" si="14"/>
        <v/>
      </c>
      <c r="H308" s="14" t="str">
        <f t="shared" si="13"/>
        <v/>
      </c>
    </row>
    <row r="309" spans="1:8" ht="21" customHeight="1">
      <c r="A309" s="14" t="str">
        <f>IF(AND('Current Loan'!$B$13,303&lt;=MAX('Current Loan'!B7,'Proposed Loan'!B6)*12),303,"")</f>
        <v/>
      </c>
      <c r="B309" s="15" t="str">
        <f>IF(A309&lt;&gt;"",IF(A309&lt;='Current Loan'!$B$7*12,'Current Loan'!$B$17,0),"")</f>
        <v/>
      </c>
      <c r="C309" s="15" t="str">
        <f>IF(A309&lt;&gt;"",IF(A309&lt;='Current Loan'!$B$7*12,'Current Loan'!$B$9/12,0),"")</f>
        <v/>
      </c>
      <c r="D309" s="15" t="str">
        <f>IF(A309&lt;&gt;"",IF(A309&lt;='Proposed Loan'!$B$6*12,'Proposed Loan'!$B$17,0),"")</f>
        <v/>
      </c>
      <c r="E309" s="15" t="str">
        <f>IF(A309&lt;&gt;"",IF(A309&lt;='Proposed Loan'!$B$6*12,'Proposed Loan'!$B$13/12,0),"")</f>
        <v/>
      </c>
      <c r="F309" s="15" t="str">
        <f t="shared" si="12"/>
        <v/>
      </c>
      <c r="G309" s="15" t="str">
        <f t="shared" si="14"/>
        <v/>
      </c>
      <c r="H309" s="14" t="str">
        <f t="shared" si="13"/>
        <v/>
      </c>
    </row>
    <row r="310" spans="1:8" ht="21" customHeight="1">
      <c r="A310" s="14" t="str">
        <f>IF(AND('Current Loan'!$B$13,304&lt;=MAX('Current Loan'!B7,'Proposed Loan'!B6)*12),304,"")</f>
        <v/>
      </c>
      <c r="B310" s="15" t="str">
        <f>IF(A310&lt;&gt;"",IF(A310&lt;='Current Loan'!$B$7*12,'Current Loan'!$B$17,0),"")</f>
        <v/>
      </c>
      <c r="C310" s="15" t="str">
        <f>IF(A310&lt;&gt;"",IF(A310&lt;='Current Loan'!$B$7*12,'Current Loan'!$B$9/12,0),"")</f>
        <v/>
      </c>
      <c r="D310" s="15" t="str">
        <f>IF(A310&lt;&gt;"",IF(A310&lt;='Proposed Loan'!$B$6*12,'Proposed Loan'!$B$17,0),"")</f>
        <v/>
      </c>
      <c r="E310" s="15" t="str">
        <f>IF(A310&lt;&gt;"",IF(A310&lt;='Proposed Loan'!$B$6*12,'Proposed Loan'!$B$13/12,0),"")</f>
        <v/>
      </c>
      <c r="F310" s="15" t="str">
        <f t="shared" si="12"/>
        <v/>
      </c>
      <c r="G310" s="15" t="str">
        <f t="shared" si="14"/>
        <v/>
      </c>
      <c r="H310" s="14" t="str">
        <f t="shared" si="13"/>
        <v/>
      </c>
    </row>
    <row r="311" spans="1:8" ht="21" customHeight="1">
      <c r="A311" s="14" t="str">
        <f>IF(AND('Current Loan'!$B$13,305&lt;=MAX('Current Loan'!B7,'Proposed Loan'!B6)*12),305,"")</f>
        <v/>
      </c>
      <c r="B311" s="15" t="str">
        <f>IF(A311&lt;&gt;"",IF(A311&lt;='Current Loan'!$B$7*12,'Current Loan'!$B$17,0),"")</f>
        <v/>
      </c>
      <c r="C311" s="15" t="str">
        <f>IF(A311&lt;&gt;"",IF(A311&lt;='Current Loan'!$B$7*12,'Current Loan'!$B$9/12,0),"")</f>
        <v/>
      </c>
      <c r="D311" s="15" t="str">
        <f>IF(A311&lt;&gt;"",IF(A311&lt;='Proposed Loan'!$B$6*12,'Proposed Loan'!$B$17,0),"")</f>
        <v/>
      </c>
      <c r="E311" s="15" t="str">
        <f>IF(A311&lt;&gt;"",IF(A311&lt;='Proposed Loan'!$B$6*12,'Proposed Loan'!$B$13/12,0),"")</f>
        <v/>
      </c>
      <c r="F311" s="15" t="str">
        <f t="shared" si="12"/>
        <v/>
      </c>
      <c r="G311" s="15" t="str">
        <f t="shared" si="14"/>
        <v/>
      </c>
      <c r="H311" s="14" t="str">
        <f t="shared" si="13"/>
        <v/>
      </c>
    </row>
    <row r="312" spans="1:8" ht="21" customHeight="1">
      <c r="A312" s="14" t="str">
        <f>IF(AND('Current Loan'!$B$13,306&lt;=MAX('Current Loan'!B7,'Proposed Loan'!B6)*12),306,"")</f>
        <v/>
      </c>
      <c r="B312" s="15" t="str">
        <f>IF(A312&lt;&gt;"",IF(A312&lt;='Current Loan'!$B$7*12,'Current Loan'!$B$17,0),"")</f>
        <v/>
      </c>
      <c r="C312" s="15" t="str">
        <f>IF(A312&lt;&gt;"",IF(A312&lt;='Current Loan'!$B$7*12,'Current Loan'!$B$9/12,0),"")</f>
        <v/>
      </c>
      <c r="D312" s="15" t="str">
        <f>IF(A312&lt;&gt;"",IF(A312&lt;='Proposed Loan'!$B$6*12,'Proposed Loan'!$B$17,0),"")</f>
        <v/>
      </c>
      <c r="E312" s="15" t="str">
        <f>IF(A312&lt;&gt;"",IF(A312&lt;='Proposed Loan'!$B$6*12,'Proposed Loan'!$B$13/12,0),"")</f>
        <v/>
      </c>
      <c r="F312" s="15" t="str">
        <f t="shared" si="12"/>
        <v/>
      </c>
      <c r="G312" s="15" t="str">
        <f t="shared" si="14"/>
        <v/>
      </c>
      <c r="H312" s="14" t="str">
        <f t="shared" si="13"/>
        <v/>
      </c>
    </row>
    <row r="313" spans="1:8" ht="21" customHeight="1">
      <c r="A313" s="14" t="str">
        <f>IF(AND('Current Loan'!$B$13,307&lt;=MAX('Current Loan'!B7,'Proposed Loan'!B6)*12),307,"")</f>
        <v/>
      </c>
      <c r="B313" s="15" t="str">
        <f>IF(A313&lt;&gt;"",IF(A313&lt;='Current Loan'!$B$7*12,'Current Loan'!$B$17,0),"")</f>
        <v/>
      </c>
      <c r="C313" s="15" t="str">
        <f>IF(A313&lt;&gt;"",IF(A313&lt;='Current Loan'!$B$7*12,'Current Loan'!$B$9/12,0),"")</f>
        <v/>
      </c>
      <c r="D313" s="15" t="str">
        <f>IF(A313&lt;&gt;"",IF(A313&lt;='Proposed Loan'!$B$6*12,'Proposed Loan'!$B$17,0),"")</f>
        <v/>
      </c>
      <c r="E313" s="15" t="str">
        <f>IF(A313&lt;&gt;"",IF(A313&lt;='Proposed Loan'!$B$6*12,'Proposed Loan'!$B$13/12,0),"")</f>
        <v/>
      </c>
      <c r="F313" s="15" t="str">
        <f t="shared" si="12"/>
        <v/>
      </c>
      <c r="G313" s="15" t="str">
        <f t="shared" si="14"/>
        <v/>
      </c>
      <c r="H313" s="14" t="str">
        <f t="shared" si="13"/>
        <v/>
      </c>
    </row>
    <row r="314" spans="1:8" ht="21" customHeight="1">
      <c r="A314" s="14" t="str">
        <f>IF(AND('Current Loan'!$B$13,308&lt;=MAX('Current Loan'!B7,'Proposed Loan'!B6)*12),308,"")</f>
        <v/>
      </c>
      <c r="B314" s="15" t="str">
        <f>IF(A314&lt;&gt;"",IF(A314&lt;='Current Loan'!$B$7*12,'Current Loan'!$B$17,0),"")</f>
        <v/>
      </c>
      <c r="C314" s="15" t="str">
        <f>IF(A314&lt;&gt;"",IF(A314&lt;='Current Loan'!$B$7*12,'Current Loan'!$B$9/12,0),"")</f>
        <v/>
      </c>
      <c r="D314" s="15" t="str">
        <f>IF(A314&lt;&gt;"",IF(A314&lt;='Proposed Loan'!$B$6*12,'Proposed Loan'!$B$17,0),"")</f>
        <v/>
      </c>
      <c r="E314" s="15" t="str">
        <f>IF(A314&lt;&gt;"",IF(A314&lt;='Proposed Loan'!$B$6*12,'Proposed Loan'!$B$13/12,0),"")</f>
        <v/>
      </c>
      <c r="F314" s="15" t="str">
        <f t="shared" si="12"/>
        <v/>
      </c>
      <c r="G314" s="15" t="str">
        <f t="shared" si="14"/>
        <v/>
      </c>
      <c r="H314" s="14" t="str">
        <f t="shared" si="13"/>
        <v/>
      </c>
    </row>
    <row r="315" spans="1:8" ht="21" customHeight="1">
      <c r="A315" s="14" t="str">
        <f>IF(AND('Current Loan'!$B$13,309&lt;=MAX('Current Loan'!B7,'Proposed Loan'!B6)*12),309,"")</f>
        <v/>
      </c>
      <c r="B315" s="15" t="str">
        <f>IF(A315&lt;&gt;"",IF(A315&lt;='Current Loan'!$B$7*12,'Current Loan'!$B$17,0),"")</f>
        <v/>
      </c>
      <c r="C315" s="15" t="str">
        <f>IF(A315&lt;&gt;"",IF(A315&lt;='Current Loan'!$B$7*12,'Current Loan'!$B$9/12,0),"")</f>
        <v/>
      </c>
      <c r="D315" s="15" t="str">
        <f>IF(A315&lt;&gt;"",IF(A315&lt;='Proposed Loan'!$B$6*12,'Proposed Loan'!$B$17,0),"")</f>
        <v/>
      </c>
      <c r="E315" s="15" t="str">
        <f>IF(A315&lt;&gt;"",IF(A315&lt;='Proposed Loan'!$B$6*12,'Proposed Loan'!$B$13/12,0),"")</f>
        <v/>
      </c>
      <c r="F315" s="15" t="str">
        <f t="shared" si="12"/>
        <v/>
      </c>
      <c r="G315" s="15" t="str">
        <f t="shared" si="14"/>
        <v/>
      </c>
      <c r="H315" s="14" t="str">
        <f t="shared" si="13"/>
        <v/>
      </c>
    </row>
    <row r="316" spans="1:8" ht="21" customHeight="1">
      <c r="A316" s="14" t="str">
        <f>IF(AND('Current Loan'!$B$13,310&lt;=MAX('Current Loan'!B7,'Proposed Loan'!B6)*12),310,"")</f>
        <v/>
      </c>
      <c r="B316" s="15" t="str">
        <f>IF(A316&lt;&gt;"",IF(A316&lt;='Current Loan'!$B$7*12,'Current Loan'!$B$17,0),"")</f>
        <v/>
      </c>
      <c r="C316" s="15" t="str">
        <f>IF(A316&lt;&gt;"",IF(A316&lt;='Current Loan'!$B$7*12,'Current Loan'!$B$9/12,0),"")</f>
        <v/>
      </c>
      <c r="D316" s="15" t="str">
        <f>IF(A316&lt;&gt;"",IF(A316&lt;='Proposed Loan'!$B$6*12,'Proposed Loan'!$B$17,0),"")</f>
        <v/>
      </c>
      <c r="E316" s="15" t="str">
        <f>IF(A316&lt;&gt;"",IF(A316&lt;='Proposed Loan'!$B$6*12,'Proposed Loan'!$B$13/12,0),"")</f>
        <v/>
      </c>
      <c r="F316" s="15" t="str">
        <f t="shared" si="12"/>
        <v/>
      </c>
      <c r="G316" s="15" t="str">
        <f t="shared" si="14"/>
        <v/>
      </c>
      <c r="H316" s="14" t="str">
        <f t="shared" si="13"/>
        <v/>
      </c>
    </row>
    <row r="317" spans="1:8" ht="21" customHeight="1">
      <c r="A317" s="14" t="str">
        <f>IF(AND('Current Loan'!$B$13,311&lt;=MAX('Current Loan'!B7,'Proposed Loan'!B6)*12),311,"")</f>
        <v/>
      </c>
      <c r="B317" s="15" t="str">
        <f>IF(A317&lt;&gt;"",IF(A317&lt;='Current Loan'!$B$7*12,'Current Loan'!$B$17,0),"")</f>
        <v/>
      </c>
      <c r="C317" s="15" t="str">
        <f>IF(A317&lt;&gt;"",IF(A317&lt;='Current Loan'!$B$7*12,'Current Loan'!$B$9/12,0),"")</f>
        <v/>
      </c>
      <c r="D317" s="15" t="str">
        <f>IF(A317&lt;&gt;"",IF(A317&lt;='Proposed Loan'!$B$6*12,'Proposed Loan'!$B$17,0),"")</f>
        <v/>
      </c>
      <c r="E317" s="15" t="str">
        <f>IF(A317&lt;&gt;"",IF(A317&lt;='Proposed Loan'!$B$6*12,'Proposed Loan'!$B$13/12,0),"")</f>
        <v/>
      </c>
      <c r="F317" s="15" t="str">
        <f t="shared" si="12"/>
        <v/>
      </c>
      <c r="G317" s="15" t="str">
        <f t="shared" si="14"/>
        <v/>
      </c>
      <c r="H317" s="14" t="str">
        <f t="shared" si="13"/>
        <v/>
      </c>
    </row>
    <row r="318" spans="1:8" ht="21" customHeight="1">
      <c r="A318" s="14" t="str">
        <f>IF(AND('Current Loan'!$B$13,312&lt;=MAX('Current Loan'!B7,'Proposed Loan'!B6)*12),312,"")</f>
        <v/>
      </c>
      <c r="B318" s="15" t="str">
        <f>IF(A318&lt;&gt;"",IF(A318&lt;='Current Loan'!$B$7*12,'Current Loan'!$B$17,0),"")</f>
        <v/>
      </c>
      <c r="C318" s="15" t="str">
        <f>IF(A318&lt;&gt;"",IF(A318&lt;='Current Loan'!$B$7*12,'Current Loan'!$B$9/12,0),"")</f>
        <v/>
      </c>
      <c r="D318" s="15" t="str">
        <f>IF(A318&lt;&gt;"",IF(A318&lt;='Proposed Loan'!$B$6*12,'Proposed Loan'!$B$17,0),"")</f>
        <v/>
      </c>
      <c r="E318" s="15" t="str">
        <f>IF(A318&lt;&gt;"",IF(A318&lt;='Proposed Loan'!$B$6*12,'Proposed Loan'!$B$13/12,0),"")</f>
        <v/>
      </c>
      <c r="F318" s="15" t="str">
        <f t="shared" si="12"/>
        <v/>
      </c>
      <c r="G318" s="15" t="str">
        <f t="shared" si="14"/>
        <v/>
      </c>
      <c r="H318" s="14" t="str">
        <f t="shared" si="13"/>
        <v/>
      </c>
    </row>
    <row r="319" spans="1:8" ht="21" customHeight="1">
      <c r="A319" s="14" t="str">
        <f>IF(AND('Current Loan'!$B$13,313&lt;=MAX('Current Loan'!B7,'Proposed Loan'!B6)*12),313,"")</f>
        <v/>
      </c>
      <c r="B319" s="15" t="str">
        <f>IF(A319&lt;&gt;"",IF(A319&lt;='Current Loan'!$B$7*12,'Current Loan'!$B$17,0),"")</f>
        <v/>
      </c>
      <c r="C319" s="15" t="str">
        <f>IF(A319&lt;&gt;"",IF(A319&lt;='Current Loan'!$B$7*12,'Current Loan'!$B$9/12,0),"")</f>
        <v/>
      </c>
      <c r="D319" s="15" t="str">
        <f>IF(A319&lt;&gt;"",IF(A319&lt;='Proposed Loan'!$B$6*12,'Proposed Loan'!$B$17,0),"")</f>
        <v/>
      </c>
      <c r="E319" s="15" t="str">
        <f>IF(A319&lt;&gt;"",IF(A319&lt;='Proposed Loan'!$B$6*12,'Proposed Loan'!$B$13/12,0),"")</f>
        <v/>
      </c>
      <c r="F319" s="15" t="str">
        <f t="shared" si="12"/>
        <v/>
      </c>
      <c r="G319" s="15" t="str">
        <f t="shared" si="14"/>
        <v/>
      </c>
      <c r="H319" s="14" t="str">
        <f t="shared" si="13"/>
        <v/>
      </c>
    </row>
    <row r="320" spans="1:8" ht="21" customHeight="1">
      <c r="A320" s="14" t="str">
        <f>IF(AND('Current Loan'!$B$13,314&lt;=MAX('Current Loan'!B7,'Proposed Loan'!B6)*12),314,"")</f>
        <v/>
      </c>
      <c r="B320" s="15" t="str">
        <f>IF(A320&lt;&gt;"",IF(A320&lt;='Current Loan'!$B$7*12,'Current Loan'!$B$17,0),"")</f>
        <v/>
      </c>
      <c r="C320" s="15" t="str">
        <f>IF(A320&lt;&gt;"",IF(A320&lt;='Current Loan'!$B$7*12,'Current Loan'!$B$9/12,0),"")</f>
        <v/>
      </c>
      <c r="D320" s="15" t="str">
        <f>IF(A320&lt;&gt;"",IF(A320&lt;='Proposed Loan'!$B$6*12,'Proposed Loan'!$B$17,0),"")</f>
        <v/>
      </c>
      <c r="E320" s="15" t="str">
        <f>IF(A320&lt;&gt;"",IF(A320&lt;='Proposed Loan'!$B$6*12,'Proposed Loan'!$B$13/12,0),"")</f>
        <v/>
      </c>
      <c r="F320" s="15" t="str">
        <f t="shared" si="12"/>
        <v/>
      </c>
      <c r="G320" s="15" t="str">
        <f t="shared" si="14"/>
        <v/>
      </c>
      <c r="H320" s="14" t="str">
        <f t="shared" si="13"/>
        <v/>
      </c>
    </row>
    <row r="321" spans="1:8" ht="21" customHeight="1">
      <c r="A321" s="14" t="str">
        <f>IF(AND('Current Loan'!$B$13,315&lt;=MAX('Current Loan'!B7,'Proposed Loan'!B6)*12),315,"")</f>
        <v/>
      </c>
      <c r="B321" s="15" t="str">
        <f>IF(A321&lt;&gt;"",IF(A321&lt;='Current Loan'!$B$7*12,'Current Loan'!$B$17,0),"")</f>
        <v/>
      </c>
      <c r="C321" s="15" t="str">
        <f>IF(A321&lt;&gt;"",IF(A321&lt;='Current Loan'!$B$7*12,'Current Loan'!$B$9/12,0),"")</f>
        <v/>
      </c>
      <c r="D321" s="15" t="str">
        <f>IF(A321&lt;&gt;"",IF(A321&lt;='Proposed Loan'!$B$6*12,'Proposed Loan'!$B$17,0),"")</f>
        <v/>
      </c>
      <c r="E321" s="15" t="str">
        <f>IF(A321&lt;&gt;"",IF(A321&lt;='Proposed Loan'!$B$6*12,'Proposed Loan'!$B$13/12,0),"")</f>
        <v/>
      </c>
      <c r="F321" s="15" t="str">
        <f t="shared" si="12"/>
        <v/>
      </c>
      <c r="G321" s="15" t="str">
        <f t="shared" si="14"/>
        <v/>
      </c>
      <c r="H321" s="14" t="str">
        <f t="shared" si="13"/>
        <v/>
      </c>
    </row>
    <row r="322" spans="1:8" ht="21" customHeight="1">
      <c r="A322" s="14" t="str">
        <f>IF(AND('Current Loan'!$B$13,316&lt;=MAX('Current Loan'!B7,'Proposed Loan'!B6)*12),316,"")</f>
        <v/>
      </c>
      <c r="B322" s="15" t="str">
        <f>IF(A322&lt;&gt;"",IF(A322&lt;='Current Loan'!$B$7*12,'Current Loan'!$B$17,0),"")</f>
        <v/>
      </c>
      <c r="C322" s="15" t="str">
        <f>IF(A322&lt;&gt;"",IF(A322&lt;='Current Loan'!$B$7*12,'Current Loan'!$B$9/12,0),"")</f>
        <v/>
      </c>
      <c r="D322" s="15" t="str">
        <f>IF(A322&lt;&gt;"",IF(A322&lt;='Proposed Loan'!$B$6*12,'Proposed Loan'!$B$17,0),"")</f>
        <v/>
      </c>
      <c r="E322" s="15" t="str">
        <f>IF(A322&lt;&gt;"",IF(A322&lt;='Proposed Loan'!$B$6*12,'Proposed Loan'!$B$13/12,0),"")</f>
        <v/>
      </c>
      <c r="F322" s="15" t="str">
        <f t="shared" si="12"/>
        <v/>
      </c>
      <c r="G322" s="15" t="str">
        <f t="shared" si="14"/>
        <v/>
      </c>
      <c r="H322" s="14" t="str">
        <f t="shared" si="13"/>
        <v/>
      </c>
    </row>
    <row r="323" spans="1:8" ht="21" customHeight="1">
      <c r="A323" s="14" t="str">
        <f>IF(AND('Current Loan'!$B$13,317&lt;=MAX('Current Loan'!B7,'Proposed Loan'!B6)*12),317,"")</f>
        <v/>
      </c>
      <c r="B323" s="15" t="str">
        <f>IF(A323&lt;&gt;"",IF(A323&lt;='Current Loan'!$B$7*12,'Current Loan'!$B$17,0),"")</f>
        <v/>
      </c>
      <c r="C323" s="15" t="str">
        <f>IF(A323&lt;&gt;"",IF(A323&lt;='Current Loan'!$B$7*12,'Current Loan'!$B$9/12,0),"")</f>
        <v/>
      </c>
      <c r="D323" s="15" t="str">
        <f>IF(A323&lt;&gt;"",IF(A323&lt;='Proposed Loan'!$B$6*12,'Proposed Loan'!$B$17,0),"")</f>
        <v/>
      </c>
      <c r="E323" s="15" t="str">
        <f>IF(A323&lt;&gt;"",IF(A323&lt;='Proposed Loan'!$B$6*12,'Proposed Loan'!$B$13/12,0),"")</f>
        <v/>
      </c>
      <c r="F323" s="15" t="str">
        <f t="shared" si="12"/>
        <v/>
      </c>
      <c r="G323" s="15" t="str">
        <f t="shared" si="14"/>
        <v/>
      </c>
      <c r="H323" s="14" t="str">
        <f t="shared" si="13"/>
        <v/>
      </c>
    </row>
    <row r="324" spans="1:8" ht="21" customHeight="1">
      <c r="A324" s="14" t="str">
        <f>IF(AND('Current Loan'!$B$13,318&lt;=MAX('Current Loan'!B7,'Proposed Loan'!B6)*12),318,"")</f>
        <v/>
      </c>
      <c r="B324" s="15" t="str">
        <f>IF(A324&lt;&gt;"",IF(A324&lt;='Current Loan'!$B$7*12,'Current Loan'!$B$17,0),"")</f>
        <v/>
      </c>
      <c r="C324" s="15" t="str">
        <f>IF(A324&lt;&gt;"",IF(A324&lt;='Current Loan'!$B$7*12,'Current Loan'!$B$9/12,0),"")</f>
        <v/>
      </c>
      <c r="D324" s="15" t="str">
        <f>IF(A324&lt;&gt;"",IF(A324&lt;='Proposed Loan'!$B$6*12,'Proposed Loan'!$B$17,0),"")</f>
        <v/>
      </c>
      <c r="E324" s="15" t="str">
        <f>IF(A324&lt;&gt;"",IF(A324&lt;='Proposed Loan'!$B$6*12,'Proposed Loan'!$B$13/12,0),"")</f>
        <v/>
      </c>
      <c r="F324" s="15" t="str">
        <f t="shared" si="12"/>
        <v/>
      </c>
      <c r="G324" s="15" t="str">
        <f t="shared" si="14"/>
        <v/>
      </c>
      <c r="H324" s="14" t="str">
        <f t="shared" si="13"/>
        <v/>
      </c>
    </row>
    <row r="325" spans="1:8" ht="21" customHeight="1">
      <c r="A325" s="14" t="str">
        <f>IF(AND('Current Loan'!$B$13,319&lt;=MAX('Current Loan'!B7,'Proposed Loan'!B6)*12),319,"")</f>
        <v/>
      </c>
      <c r="B325" s="15" t="str">
        <f>IF(A325&lt;&gt;"",IF(A325&lt;='Current Loan'!$B$7*12,'Current Loan'!$B$17,0),"")</f>
        <v/>
      </c>
      <c r="C325" s="15" t="str">
        <f>IF(A325&lt;&gt;"",IF(A325&lt;='Current Loan'!$B$7*12,'Current Loan'!$B$9/12,0),"")</f>
        <v/>
      </c>
      <c r="D325" s="15" t="str">
        <f>IF(A325&lt;&gt;"",IF(A325&lt;='Proposed Loan'!$B$6*12,'Proposed Loan'!$B$17,0),"")</f>
        <v/>
      </c>
      <c r="E325" s="15" t="str">
        <f>IF(A325&lt;&gt;"",IF(A325&lt;='Proposed Loan'!$B$6*12,'Proposed Loan'!$B$13/12,0),"")</f>
        <v/>
      </c>
      <c r="F325" s="15" t="str">
        <f t="shared" si="12"/>
        <v/>
      </c>
      <c r="G325" s="15" t="str">
        <f t="shared" si="14"/>
        <v/>
      </c>
      <c r="H325" s="14" t="str">
        <f t="shared" si="13"/>
        <v/>
      </c>
    </row>
    <row r="326" spans="1:8" ht="21" customHeight="1">
      <c r="A326" s="14" t="str">
        <f>IF(AND('Current Loan'!$B$13,320&lt;=MAX('Current Loan'!B7,'Proposed Loan'!B6)*12),320,"")</f>
        <v/>
      </c>
      <c r="B326" s="15" t="str">
        <f>IF(A326&lt;&gt;"",IF(A326&lt;='Current Loan'!$B$7*12,'Current Loan'!$B$17,0),"")</f>
        <v/>
      </c>
      <c r="C326" s="15" t="str">
        <f>IF(A326&lt;&gt;"",IF(A326&lt;='Current Loan'!$B$7*12,'Current Loan'!$B$9/12,0),"")</f>
        <v/>
      </c>
      <c r="D326" s="15" t="str">
        <f>IF(A326&lt;&gt;"",IF(A326&lt;='Proposed Loan'!$B$6*12,'Proposed Loan'!$B$17,0),"")</f>
        <v/>
      </c>
      <c r="E326" s="15" t="str">
        <f>IF(A326&lt;&gt;"",IF(A326&lt;='Proposed Loan'!$B$6*12,'Proposed Loan'!$B$13/12,0),"")</f>
        <v/>
      </c>
      <c r="F326" s="15" t="str">
        <f t="shared" si="12"/>
        <v/>
      </c>
      <c r="G326" s="15" t="str">
        <f t="shared" si="14"/>
        <v/>
      </c>
      <c r="H326" s="14" t="str">
        <f t="shared" si="13"/>
        <v/>
      </c>
    </row>
    <row r="327" spans="1:8" ht="21" customHeight="1">
      <c r="A327" s="14" t="str">
        <f>IF(AND('Current Loan'!$B$13,321&lt;=MAX('Current Loan'!B7,'Proposed Loan'!B6)*12),321,"")</f>
        <v/>
      </c>
      <c r="B327" s="15" t="str">
        <f>IF(A327&lt;&gt;"",IF(A327&lt;='Current Loan'!$B$7*12,'Current Loan'!$B$17,0),"")</f>
        <v/>
      </c>
      <c r="C327" s="15" t="str">
        <f>IF(A327&lt;&gt;"",IF(A327&lt;='Current Loan'!$B$7*12,'Current Loan'!$B$9/12,0),"")</f>
        <v/>
      </c>
      <c r="D327" s="15" t="str">
        <f>IF(A327&lt;&gt;"",IF(A327&lt;='Proposed Loan'!$B$6*12,'Proposed Loan'!$B$17,0),"")</f>
        <v/>
      </c>
      <c r="E327" s="15" t="str">
        <f>IF(A327&lt;&gt;"",IF(A327&lt;='Proposed Loan'!$B$6*12,'Proposed Loan'!$B$13/12,0),"")</f>
        <v/>
      </c>
      <c r="F327" s="15" t="str">
        <f t="shared" ref="F327:F390" si="15">IF(A327&lt;&gt;"",SUM(B327:C327)-SUM(D327:E327),"")</f>
        <v/>
      </c>
      <c r="G327" s="15" t="str">
        <f t="shared" si="14"/>
        <v/>
      </c>
      <c r="H327" s="14" t="str">
        <f t="shared" ref="H327:H390" si="16">IF(A327&lt;&gt;"",IF(G327&gt;=0,1,0),"")</f>
        <v/>
      </c>
    </row>
    <row r="328" spans="1:8" ht="21" customHeight="1">
      <c r="A328" s="14" t="str">
        <f>IF(AND('Current Loan'!$B$13,322&lt;=MAX('Current Loan'!B7,'Proposed Loan'!B6)*12),322,"")</f>
        <v/>
      </c>
      <c r="B328" s="15" t="str">
        <f>IF(A328&lt;&gt;"",IF(A328&lt;='Current Loan'!$B$7*12,'Current Loan'!$B$17,0),"")</f>
        <v/>
      </c>
      <c r="C328" s="15" t="str">
        <f>IF(A328&lt;&gt;"",IF(A328&lt;='Current Loan'!$B$7*12,'Current Loan'!$B$9/12,0),"")</f>
        <v/>
      </c>
      <c r="D328" s="15" t="str">
        <f>IF(A328&lt;&gt;"",IF(A328&lt;='Proposed Loan'!$B$6*12,'Proposed Loan'!$B$17,0),"")</f>
        <v/>
      </c>
      <c r="E328" s="15" t="str">
        <f>IF(A328&lt;&gt;"",IF(A328&lt;='Proposed Loan'!$B$6*12,'Proposed Loan'!$B$13/12,0),"")</f>
        <v/>
      </c>
      <c r="F328" s="15" t="str">
        <f t="shared" si="15"/>
        <v/>
      </c>
      <c r="G328" s="15" t="str">
        <f t="shared" ref="G328:G391" si="17">IF(A328&lt;&gt;"",G327+F328,"")</f>
        <v/>
      </c>
      <c r="H328" s="14" t="str">
        <f t="shared" si="16"/>
        <v/>
      </c>
    </row>
    <row r="329" spans="1:8" ht="21" customHeight="1">
      <c r="A329" s="14" t="str">
        <f>IF(AND('Current Loan'!$B$13,323&lt;=MAX('Current Loan'!B7,'Proposed Loan'!B6)*12),323,"")</f>
        <v/>
      </c>
      <c r="B329" s="15" t="str">
        <f>IF(A329&lt;&gt;"",IF(A329&lt;='Current Loan'!$B$7*12,'Current Loan'!$B$17,0),"")</f>
        <v/>
      </c>
      <c r="C329" s="15" t="str">
        <f>IF(A329&lt;&gt;"",IF(A329&lt;='Current Loan'!$B$7*12,'Current Loan'!$B$9/12,0),"")</f>
        <v/>
      </c>
      <c r="D329" s="15" t="str">
        <f>IF(A329&lt;&gt;"",IF(A329&lt;='Proposed Loan'!$B$6*12,'Proposed Loan'!$B$17,0),"")</f>
        <v/>
      </c>
      <c r="E329" s="15" t="str">
        <f>IF(A329&lt;&gt;"",IF(A329&lt;='Proposed Loan'!$B$6*12,'Proposed Loan'!$B$13/12,0),"")</f>
        <v/>
      </c>
      <c r="F329" s="15" t="str">
        <f t="shared" si="15"/>
        <v/>
      </c>
      <c r="G329" s="15" t="str">
        <f t="shared" si="17"/>
        <v/>
      </c>
      <c r="H329" s="14" t="str">
        <f t="shared" si="16"/>
        <v/>
      </c>
    </row>
    <row r="330" spans="1:8" ht="21" customHeight="1">
      <c r="A330" s="14" t="str">
        <f>IF(AND('Current Loan'!$B$13,324&lt;=MAX('Current Loan'!B7,'Proposed Loan'!B6)*12),324,"")</f>
        <v/>
      </c>
      <c r="B330" s="15" t="str">
        <f>IF(A330&lt;&gt;"",IF(A330&lt;='Current Loan'!$B$7*12,'Current Loan'!$B$17,0),"")</f>
        <v/>
      </c>
      <c r="C330" s="15" t="str">
        <f>IF(A330&lt;&gt;"",IF(A330&lt;='Current Loan'!$B$7*12,'Current Loan'!$B$9/12,0),"")</f>
        <v/>
      </c>
      <c r="D330" s="15" t="str">
        <f>IF(A330&lt;&gt;"",IF(A330&lt;='Proposed Loan'!$B$6*12,'Proposed Loan'!$B$17,0),"")</f>
        <v/>
      </c>
      <c r="E330" s="15" t="str">
        <f>IF(A330&lt;&gt;"",IF(A330&lt;='Proposed Loan'!$B$6*12,'Proposed Loan'!$B$13/12,0),"")</f>
        <v/>
      </c>
      <c r="F330" s="15" t="str">
        <f t="shared" si="15"/>
        <v/>
      </c>
      <c r="G330" s="15" t="str">
        <f t="shared" si="17"/>
        <v/>
      </c>
      <c r="H330" s="14" t="str">
        <f t="shared" si="16"/>
        <v/>
      </c>
    </row>
    <row r="331" spans="1:8" ht="21" customHeight="1">
      <c r="A331" s="14" t="str">
        <f>IF(AND('Current Loan'!$B$13,325&lt;=MAX('Current Loan'!B7,'Proposed Loan'!B6)*12),325,"")</f>
        <v/>
      </c>
      <c r="B331" s="15" t="str">
        <f>IF(A331&lt;&gt;"",IF(A331&lt;='Current Loan'!$B$7*12,'Current Loan'!$B$17,0),"")</f>
        <v/>
      </c>
      <c r="C331" s="15" t="str">
        <f>IF(A331&lt;&gt;"",IF(A331&lt;='Current Loan'!$B$7*12,'Current Loan'!$B$9/12,0),"")</f>
        <v/>
      </c>
      <c r="D331" s="15" t="str">
        <f>IF(A331&lt;&gt;"",IF(A331&lt;='Proposed Loan'!$B$6*12,'Proposed Loan'!$B$17,0),"")</f>
        <v/>
      </c>
      <c r="E331" s="15" t="str">
        <f>IF(A331&lt;&gt;"",IF(A331&lt;='Proposed Loan'!$B$6*12,'Proposed Loan'!$B$13/12,0),"")</f>
        <v/>
      </c>
      <c r="F331" s="15" t="str">
        <f t="shared" si="15"/>
        <v/>
      </c>
      <c r="G331" s="15" t="str">
        <f t="shared" si="17"/>
        <v/>
      </c>
      <c r="H331" s="14" t="str">
        <f t="shared" si="16"/>
        <v/>
      </c>
    </row>
    <row r="332" spans="1:8" ht="21" customHeight="1">
      <c r="A332" s="14" t="str">
        <f>IF(AND('Current Loan'!$B$13,326&lt;=MAX('Current Loan'!B7,'Proposed Loan'!B6)*12),326,"")</f>
        <v/>
      </c>
      <c r="B332" s="15" t="str">
        <f>IF(A332&lt;&gt;"",IF(A332&lt;='Current Loan'!$B$7*12,'Current Loan'!$B$17,0),"")</f>
        <v/>
      </c>
      <c r="C332" s="15" t="str">
        <f>IF(A332&lt;&gt;"",IF(A332&lt;='Current Loan'!$B$7*12,'Current Loan'!$B$9/12,0),"")</f>
        <v/>
      </c>
      <c r="D332" s="15" t="str">
        <f>IF(A332&lt;&gt;"",IF(A332&lt;='Proposed Loan'!$B$6*12,'Proposed Loan'!$B$17,0),"")</f>
        <v/>
      </c>
      <c r="E332" s="15" t="str">
        <f>IF(A332&lt;&gt;"",IF(A332&lt;='Proposed Loan'!$B$6*12,'Proposed Loan'!$B$13/12,0),"")</f>
        <v/>
      </c>
      <c r="F332" s="15" t="str">
        <f t="shared" si="15"/>
        <v/>
      </c>
      <c r="G332" s="15" t="str">
        <f t="shared" si="17"/>
        <v/>
      </c>
      <c r="H332" s="14" t="str">
        <f t="shared" si="16"/>
        <v/>
      </c>
    </row>
    <row r="333" spans="1:8" ht="21" customHeight="1">
      <c r="A333" s="14" t="str">
        <f>IF(AND('Current Loan'!$B$13,327&lt;=MAX('Current Loan'!B7,'Proposed Loan'!B6)*12),327,"")</f>
        <v/>
      </c>
      <c r="B333" s="15" t="str">
        <f>IF(A333&lt;&gt;"",IF(A333&lt;='Current Loan'!$B$7*12,'Current Loan'!$B$17,0),"")</f>
        <v/>
      </c>
      <c r="C333" s="15" t="str">
        <f>IF(A333&lt;&gt;"",IF(A333&lt;='Current Loan'!$B$7*12,'Current Loan'!$B$9/12,0),"")</f>
        <v/>
      </c>
      <c r="D333" s="15" t="str">
        <f>IF(A333&lt;&gt;"",IF(A333&lt;='Proposed Loan'!$B$6*12,'Proposed Loan'!$B$17,0),"")</f>
        <v/>
      </c>
      <c r="E333" s="15" t="str">
        <f>IF(A333&lt;&gt;"",IF(A333&lt;='Proposed Loan'!$B$6*12,'Proposed Loan'!$B$13/12,0),"")</f>
        <v/>
      </c>
      <c r="F333" s="15" t="str">
        <f t="shared" si="15"/>
        <v/>
      </c>
      <c r="G333" s="15" t="str">
        <f t="shared" si="17"/>
        <v/>
      </c>
      <c r="H333" s="14" t="str">
        <f t="shared" si="16"/>
        <v/>
      </c>
    </row>
    <row r="334" spans="1:8" ht="21" customHeight="1">
      <c r="A334" s="14" t="str">
        <f>IF(AND('Current Loan'!$B$13,328&lt;=MAX('Current Loan'!B7,'Proposed Loan'!B6)*12),328,"")</f>
        <v/>
      </c>
      <c r="B334" s="15" t="str">
        <f>IF(A334&lt;&gt;"",IF(A334&lt;='Current Loan'!$B$7*12,'Current Loan'!$B$17,0),"")</f>
        <v/>
      </c>
      <c r="C334" s="15" t="str">
        <f>IF(A334&lt;&gt;"",IF(A334&lt;='Current Loan'!$B$7*12,'Current Loan'!$B$9/12,0),"")</f>
        <v/>
      </c>
      <c r="D334" s="15" t="str">
        <f>IF(A334&lt;&gt;"",IF(A334&lt;='Proposed Loan'!$B$6*12,'Proposed Loan'!$B$17,0),"")</f>
        <v/>
      </c>
      <c r="E334" s="15" t="str">
        <f>IF(A334&lt;&gt;"",IF(A334&lt;='Proposed Loan'!$B$6*12,'Proposed Loan'!$B$13/12,0),"")</f>
        <v/>
      </c>
      <c r="F334" s="15" t="str">
        <f t="shared" si="15"/>
        <v/>
      </c>
      <c r="G334" s="15" t="str">
        <f t="shared" si="17"/>
        <v/>
      </c>
      <c r="H334" s="14" t="str">
        <f t="shared" si="16"/>
        <v/>
      </c>
    </row>
    <row r="335" spans="1:8" ht="21" customHeight="1">
      <c r="A335" s="14" t="str">
        <f>IF(AND('Current Loan'!$B$13,329&lt;=MAX('Current Loan'!B7,'Proposed Loan'!B6)*12),329,"")</f>
        <v/>
      </c>
      <c r="B335" s="15" t="str">
        <f>IF(A335&lt;&gt;"",IF(A335&lt;='Current Loan'!$B$7*12,'Current Loan'!$B$17,0),"")</f>
        <v/>
      </c>
      <c r="C335" s="15" t="str">
        <f>IF(A335&lt;&gt;"",IF(A335&lt;='Current Loan'!$B$7*12,'Current Loan'!$B$9/12,0),"")</f>
        <v/>
      </c>
      <c r="D335" s="15" t="str">
        <f>IF(A335&lt;&gt;"",IF(A335&lt;='Proposed Loan'!$B$6*12,'Proposed Loan'!$B$17,0),"")</f>
        <v/>
      </c>
      <c r="E335" s="15" t="str">
        <f>IF(A335&lt;&gt;"",IF(A335&lt;='Proposed Loan'!$B$6*12,'Proposed Loan'!$B$13/12,0),"")</f>
        <v/>
      </c>
      <c r="F335" s="15" t="str">
        <f t="shared" si="15"/>
        <v/>
      </c>
      <c r="G335" s="15" t="str">
        <f t="shared" si="17"/>
        <v/>
      </c>
      <c r="H335" s="14" t="str">
        <f t="shared" si="16"/>
        <v/>
      </c>
    </row>
    <row r="336" spans="1:8" ht="21" customHeight="1">
      <c r="A336" s="14" t="str">
        <f>IF(AND('Current Loan'!$B$13,330&lt;=MAX('Current Loan'!B7,'Proposed Loan'!B6)*12),330,"")</f>
        <v/>
      </c>
      <c r="B336" s="15" t="str">
        <f>IF(A336&lt;&gt;"",IF(A336&lt;='Current Loan'!$B$7*12,'Current Loan'!$B$17,0),"")</f>
        <v/>
      </c>
      <c r="C336" s="15" t="str">
        <f>IF(A336&lt;&gt;"",IF(A336&lt;='Current Loan'!$B$7*12,'Current Loan'!$B$9/12,0),"")</f>
        <v/>
      </c>
      <c r="D336" s="15" t="str">
        <f>IF(A336&lt;&gt;"",IF(A336&lt;='Proposed Loan'!$B$6*12,'Proposed Loan'!$B$17,0),"")</f>
        <v/>
      </c>
      <c r="E336" s="15" t="str">
        <f>IF(A336&lt;&gt;"",IF(A336&lt;='Proposed Loan'!$B$6*12,'Proposed Loan'!$B$13/12,0),"")</f>
        <v/>
      </c>
      <c r="F336" s="15" t="str">
        <f t="shared" si="15"/>
        <v/>
      </c>
      <c r="G336" s="15" t="str">
        <f t="shared" si="17"/>
        <v/>
      </c>
      <c r="H336" s="14" t="str">
        <f t="shared" si="16"/>
        <v/>
      </c>
    </row>
    <row r="337" spans="1:8" ht="21" customHeight="1">
      <c r="A337" s="14" t="str">
        <f>IF(AND('Current Loan'!$B$13,331&lt;=MAX('Current Loan'!B7,'Proposed Loan'!B6)*12),331,"")</f>
        <v/>
      </c>
      <c r="B337" s="15" t="str">
        <f>IF(A337&lt;&gt;"",IF(A337&lt;='Current Loan'!$B$7*12,'Current Loan'!$B$17,0),"")</f>
        <v/>
      </c>
      <c r="C337" s="15" t="str">
        <f>IF(A337&lt;&gt;"",IF(A337&lt;='Current Loan'!$B$7*12,'Current Loan'!$B$9/12,0),"")</f>
        <v/>
      </c>
      <c r="D337" s="15" t="str">
        <f>IF(A337&lt;&gt;"",IF(A337&lt;='Proposed Loan'!$B$6*12,'Proposed Loan'!$B$17,0),"")</f>
        <v/>
      </c>
      <c r="E337" s="15" t="str">
        <f>IF(A337&lt;&gt;"",IF(A337&lt;='Proposed Loan'!$B$6*12,'Proposed Loan'!$B$13/12,0),"")</f>
        <v/>
      </c>
      <c r="F337" s="15" t="str">
        <f t="shared" si="15"/>
        <v/>
      </c>
      <c r="G337" s="15" t="str">
        <f t="shared" si="17"/>
        <v/>
      </c>
      <c r="H337" s="14" t="str">
        <f t="shared" si="16"/>
        <v/>
      </c>
    </row>
    <row r="338" spans="1:8" ht="21" customHeight="1">
      <c r="A338" s="14" t="str">
        <f>IF(AND('Current Loan'!$B$13,332&lt;=MAX('Current Loan'!B7,'Proposed Loan'!B6)*12),332,"")</f>
        <v/>
      </c>
      <c r="B338" s="15" t="str">
        <f>IF(A338&lt;&gt;"",IF(A338&lt;='Current Loan'!$B$7*12,'Current Loan'!$B$17,0),"")</f>
        <v/>
      </c>
      <c r="C338" s="15" t="str">
        <f>IF(A338&lt;&gt;"",IF(A338&lt;='Current Loan'!$B$7*12,'Current Loan'!$B$9/12,0),"")</f>
        <v/>
      </c>
      <c r="D338" s="15" t="str">
        <f>IF(A338&lt;&gt;"",IF(A338&lt;='Proposed Loan'!$B$6*12,'Proposed Loan'!$B$17,0),"")</f>
        <v/>
      </c>
      <c r="E338" s="15" t="str">
        <f>IF(A338&lt;&gt;"",IF(A338&lt;='Proposed Loan'!$B$6*12,'Proposed Loan'!$B$13/12,0),"")</f>
        <v/>
      </c>
      <c r="F338" s="15" t="str">
        <f t="shared" si="15"/>
        <v/>
      </c>
      <c r="G338" s="15" t="str">
        <f t="shared" si="17"/>
        <v/>
      </c>
      <c r="H338" s="14" t="str">
        <f t="shared" si="16"/>
        <v/>
      </c>
    </row>
    <row r="339" spans="1:8" ht="21" customHeight="1">
      <c r="A339" s="14" t="str">
        <f>IF(AND('Current Loan'!$B$13,333&lt;=MAX('Current Loan'!B7,'Proposed Loan'!B6)*12),333,"")</f>
        <v/>
      </c>
      <c r="B339" s="15" t="str">
        <f>IF(A339&lt;&gt;"",IF(A339&lt;='Current Loan'!$B$7*12,'Current Loan'!$B$17,0),"")</f>
        <v/>
      </c>
      <c r="C339" s="15" t="str">
        <f>IF(A339&lt;&gt;"",IF(A339&lt;='Current Loan'!$B$7*12,'Current Loan'!$B$9/12,0),"")</f>
        <v/>
      </c>
      <c r="D339" s="15" t="str">
        <f>IF(A339&lt;&gt;"",IF(A339&lt;='Proposed Loan'!$B$6*12,'Proposed Loan'!$B$17,0),"")</f>
        <v/>
      </c>
      <c r="E339" s="15" t="str">
        <f>IF(A339&lt;&gt;"",IF(A339&lt;='Proposed Loan'!$B$6*12,'Proposed Loan'!$B$13/12,0),"")</f>
        <v/>
      </c>
      <c r="F339" s="15" t="str">
        <f t="shared" si="15"/>
        <v/>
      </c>
      <c r="G339" s="15" t="str">
        <f t="shared" si="17"/>
        <v/>
      </c>
      <c r="H339" s="14" t="str">
        <f t="shared" si="16"/>
        <v/>
      </c>
    </row>
    <row r="340" spans="1:8" ht="21" customHeight="1">
      <c r="A340" s="14" t="str">
        <f>IF(AND('Current Loan'!$B$13,334&lt;=MAX('Current Loan'!B7,'Proposed Loan'!B6)*12),334,"")</f>
        <v/>
      </c>
      <c r="B340" s="15" t="str">
        <f>IF(A340&lt;&gt;"",IF(A340&lt;='Current Loan'!$B$7*12,'Current Loan'!$B$17,0),"")</f>
        <v/>
      </c>
      <c r="C340" s="15" t="str">
        <f>IF(A340&lt;&gt;"",IF(A340&lt;='Current Loan'!$B$7*12,'Current Loan'!$B$9/12,0),"")</f>
        <v/>
      </c>
      <c r="D340" s="15" t="str">
        <f>IF(A340&lt;&gt;"",IF(A340&lt;='Proposed Loan'!$B$6*12,'Proposed Loan'!$B$17,0),"")</f>
        <v/>
      </c>
      <c r="E340" s="15" t="str">
        <f>IF(A340&lt;&gt;"",IF(A340&lt;='Proposed Loan'!$B$6*12,'Proposed Loan'!$B$13/12,0),"")</f>
        <v/>
      </c>
      <c r="F340" s="15" t="str">
        <f t="shared" si="15"/>
        <v/>
      </c>
      <c r="G340" s="15" t="str">
        <f t="shared" si="17"/>
        <v/>
      </c>
      <c r="H340" s="14" t="str">
        <f t="shared" si="16"/>
        <v/>
      </c>
    </row>
    <row r="341" spans="1:8" ht="21" customHeight="1">
      <c r="A341" s="14" t="str">
        <f>IF(AND('Current Loan'!$B$13,335&lt;=MAX('Current Loan'!B7,'Proposed Loan'!B6)*12),335,"")</f>
        <v/>
      </c>
      <c r="B341" s="15" t="str">
        <f>IF(A341&lt;&gt;"",IF(A341&lt;='Current Loan'!$B$7*12,'Current Loan'!$B$17,0),"")</f>
        <v/>
      </c>
      <c r="C341" s="15" t="str">
        <f>IF(A341&lt;&gt;"",IF(A341&lt;='Current Loan'!$B$7*12,'Current Loan'!$B$9/12,0),"")</f>
        <v/>
      </c>
      <c r="D341" s="15" t="str">
        <f>IF(A341&lt;&gt;"",IF(A341&lt;='Proposed Loan'!$B$6*12,'Proposed Loan'!$B$17,0),"")</f>
        <v/>
      </c>
      <c r="E341" s="15" t="str">
        <f>IF(A341&lt;&gt;"",IF(A341&lt;='Proposed Loan'!$B$6*12,'Proposed Loan'!$B$13/12,0),"")</f>
        <v/>
      </c>
      <c r="F341" s="15" t="str">
        <f t="shared" si="15"/>
        <v/>
      </c>
      <c r="G341" s="15" t="str">
        <f t="shared" si="17"/>
        <v/>
      </c>
      <c r="H341" s="14" t="str">
        <f t="shared" si="16"/>
        <v/>
      </c>
    </row>
    <row r="342" spans="1:8" ht="21" customHeight="1">
      <c r="A342" s="14" t="str">
        <f>IF(AND('Current Loan'!$B$13,336&lt;=MAX('Current Loan'!B7,'Proposed Loan'!B6)*12),336,"")</f>
        <v/>
      </c>
      <c r="B342" s="15" t="str">
        <f>IF(A342&lt;&gt;"",IF(A342&lt;='Current Loan'!$B$7*12,'Current Loan'!$B$17,0),"")</f>
        <v/>
      </c>
      <c r="C342" s="15" t="str">
        <f>IF(A342&lt;&gt;"",IF(A342&lt;='Current Loan'!$B$7*12,'Current Loan'!$B$9/12,0),"")</f>
        <v/>
      </c>
      <c r="D342" s="15" t="str">
        <f>IF(A342&lt;&gt;"",IF(A342&lt;='Proposed Loan'!$B$6*12,'Proposed Loan'!$B$17,0),"")</f>
        <v/>
      </c>
      <c r="E342" s="15" t="str">
        <f>IF(A342&lt;&gt;"",IF(A342&lt;='Proposed Loan'!$B$6*12,'Proposed Loan'!$B$13/12,0),"")</f>
        <v/>
      </c>
      <c r="F342" s="15" t="str">
        <f t="shared" si="15"/>
        <v/>
      </c>
      <c r="G342" s="15" t="str">
        <f t="shared" si="17"/>
        <v/>
      </c>
      <c r="H342" s="14" t="str">
        <f t="shared" si="16"/>
        <v/>
      </c>
    </row>
    <row r="343" spans="1:8" ht="21" customHeight="1">
      <c r="A343" s="14" t="str">
        <f>IF(AND('Current Loan'!$B$13,337&lt;=MAX('Current Loan'!B7,'Proposed Loan'!B6)*12),337,"")</f>
        <v/>
      </c>
      <c r="B343" s="15" t="str">
        <f>IF(A343&lt;&gt;"",IF(A343&lt;='Current Loan'!$B$7*12,'Current Loan'!$B$17,0),"")</f>
        <v/>
      </c>
      <c r="C343" s="15" t="str">
        <f>IF(A343&lt;&gt;"",IF(A343&lt;='Current Loan'!$B$7*12,'Current Loan'!$B$9/12,0),"")</f>
        <v/>
      </c>
      <c r="D343" s="15" t="str">
        <f>IF(A343&lt;&gt;"",IF(A343&lt;='Proposed Loan'!$B$6*12,'Proposed Loan'!$B$17,0),"")</f>
        <v/>
      </c>
      <c r="E343" s="15" t="str">
        <f>IF(A343&lt;&gt;"",IF(A343&lt;='Proposed Loan'!$B$6*12,'Proposed Loan'!$B$13/12,0),"")</f>
        <v/>
      </c>
      <c r="F343" s="15" t="str">
        <f t="shared" si="15"/>
        <v/>
      </c>
      <c r="G343" s="15" t="str">
        <f t="shared" si="17"/>
        <v/>
      </c>
      <c r="H343" s="14" t="str">
        <f t="shared" si="16"/>
        <v/>
      </c>
    </row>
    <row r="344" spans="1:8" ht="21" customHeight="1">
      <c r="A344" s="14" t="str">
        <f>IF(AND('Current Loan'!$B$13,338&lt;=MAX('Current Loan'!B7,'Proposed Loan'!B6)*12),338,"")</f>
        <v/>
      </c>
      <c r="B344" s="15" t="str">
        <f>IF(A344&lt;&gt;"",IF(A344&lt;='Current Loan'!$B$7*12,'Current Loan'!$B$17,0),"")</f>
        <v/>
      </c>
      <c r="C344" s="15" t="str">
        <f>IF(A344&lt;&gt;"",IF(A344&lt;='Current Loan'!$B$7*12,'Current Loan'!$B$9/12,0),"")</f>
        <v/>
      </c>
      <c r="D344" s="15" t="str">
        <f>IF(A344&lt;&gt;"",IF(A344&lt;='Proposed Loan'!$B$6*12,'Proposed Loan'!$B$17,0),"")</f>
        <v/>
      </c>
      <c r="E344" s="15" t="str">
        <f>IF(A344&lt;&gt;"",IF(A344&lt;='Proposed Loan'!$B$6*12,'Proposed Loan'!$B$13/12,0),"")</f>
        <v/>
      </c>
      <c r="F344" s="15" t="str">
        <f t="shared" si="15"/>
        <v/>
      </c>
      <c r="G344" s="15" t="str">
        <f t="shared" si="17"/>
        <v/>
      </c>
      <c r="H344" s="14" t="str">
        <f t="shared" si="16"/>
        <v/>
      </c>
    </row>
    <row r="345" spans="1:8" ht="21" customHeight="1">
      <c r="A345" s="14" t="str">
        <f>IF(AND('Current Loan'!$B$13,339&lt;=MAX('Current Loan'!B7,'Proposed Loan'!B6)*12),339,"")</f>
        <v/>
      </c>
      <c r="B345" s="15" t="str">
        <f>IF(A345&lt;&gt;"",IF(A345&lt;='Current Loan'!$B$7*12,'Current Loan'!$B$17,0),"")</f>
        <v/>
      </c>
      <c r="C345" s="15" t="str">
        <f>IF(A345&lt;&gt;"",IF(A345&lt;='Current Loan'!$B$7*12,'Current Loan'!$B$9/12,0),"")</f>
        <v/>
      </c>
      <c r="D345" s="15" t="str">
        <f>IF(A345&lt;&gt;"",IF(A345&lt;='Proposed Loan'!$B$6*12,'Proposed Loan'!$B$17,0),"")</f>
        <v/>
      </c>
      <c r="E345" s="15" t="str">
        <f>IF(A345&lt;&gt;"",IF(A345&lt;='Proposed Loan'!$B$6*12,'Proposed Loan'!$B$13/12,0),"")</f>
        <v/>
      </c>
      <c r="F345" s="15" t="str">
        <f t="shared" si="15"/>
        <v/>
      </c>
      <c r="G345" s="15" t="str">
        <f t="shared" si="17"/>
        <v/>
      </c>
      <c r="H345" s="14" t="str">
        <f t="shared" si="16"/>
        <v/>
      </c>
    </row>
    <row r="346" spans="1:8" ht="21" customHeight="1">
      <c r="A346" s="14" t="str">
        <f>IF(AND('Current Loan'!$B$13,340&lt;=MAX('Current Loan'!B7,'Proposed Loan'!B6)*12),340,"")</f>
        <v/>
      </c>
      <c r="B346" s="15" t="str">
        <f>IF(A346&lt;&gt;"",IF(A346&lt;='Current Loan'!$B$7*12,'Current Loan'!$B$17,0),"")</f>
        <v/>
      </c>
      <c r="C346" s="15" t="str">
        <f>IF(A346&lt;&gt;"",IF(A346&lt;='Current Loan'!$B$7*12,'Current Loan'!$B$9/12,0),"")</f>
        <v/>
      </c>
      <c r="D346" s="15" t="str">
        <f>IF(A346&lt;&gt;"",IF(A346&lt;='Proposed Loan'!$B$6*12,'Proposed Loan'!$B$17,0),"")</f>
        <v/>
      </c>
      <c r="E346" s="15" t="str">
        <f>IF(A346&lt;&gt;"",IF(A346&lt;='Proposed Loan'!$B$6*12,'Proposed Loan'!$B$13/12,0),"")</f>
        <v/>
      </c>
      <c r="F346" s="15" t="str">
        <f t="shared" si="15"/>
        <v/>
      </c>
      <c r="G346" s="15" t="str">
        <f t="shared" si="17"/>
        <v/>
      </c>
      <c r="H346" s="14" t="str">
        <f t="shared" si="16"/>
        <v/>
      </c>
    </row>
    <row r="347" spans="1:8" ht="21" customHeight="1">
      <c r="A347" s="14" t="str">
        <f>IF(AND('Current Loan'!$B$13,341&lt;=MAX('Current Loan'!B7,'Proposed Loan'!B6)*12),341,"")</f>
        <v/>
      </c>
      <c r="B347" s="15" t="str">
        <f>IF(A347&lt;&gt;"",IF(A347&lt;='Current Loan'!$B$7*12,'Current Loan'!$B$17,0),"")</f>
        <v/>
      </c>
      <c r="C347" s="15" t="str">
        <f>IF(A347&lt;&gt;"",IF(A347&lt;='Current Loan'!$B$7*12,'Current Loan'!$B$9/12,0),"")</f>
        <v/>
      </c>
      <c r="D347" s="15" t="str">
        <f>IF(A347&lt;&gt;"",IF(A347&lt;='Proposed Loan'!$B$6*12,'Proposed Loan'!$B$17,0),"")</f>
        <v/>
      </c>
      <c r="E347" s="15" t="str">
        <f>IF(A347&lt;&gt;"",IF(A347&lt;='Proposed Loan'!$B$6*12,'Proposed Loan'!$B$13/12,0),"")</f>
        <v/>
      </c>
      <c r="F347" s="15" t="str">
        <f t="shared" si="15"/>
        <v/>
      </c>
      <c r="G347" s="15" t="str">
        <f t="shared" si="17"/>
        <v/>
      </c>
      <c r="H347" s="14" t="str">
        <f t="shared" si="16"/>
        <v/>
      </c>
    </row>
    <row r="348" spans="1:8" ht="21" customHeight="1">
      <c r="A348" s="14" t="str">
        <f>IF(AND('Current Loan'!$B$13,342&lt;=MAX('Current Loan'!B7,'Proposed Loan'!B6)*12),342,"")</f>
        <v/>
      </c>
      <c r="B348" s="15" t="str">
        <f>IF(A348&lt;&gt;"",IF(A348&lt;='Current Loan'!$B$7*12,'Current Loan'!$B$17,0),"")</f>
        <v/>
      </c>
      <c r="C348" s="15" t="str">
        <f>IF(A348&lt;&gt;"",IF(A348&lt;='Current Loan'!$B$7*12,'Current Loan'!$B$9/12,0),"")</f>
        <v/>
      </c>
      <c r="D348" s="15" t="str">
        <f>IF(A348&lt;&gt;"",IF(A348&lt;='Proposed Loan'!$B$6*12,'Proposed Loan'!$B$17,0),"")</f>
        <v/>
      </c>
      <c r="E348" s="15" t="str">
        <f>IF(A348&lt;&gt;"",IF(A348&lt;='Proposed Loan'!$B$6*12,'Proposed Loan'!$B$13/12,0),"")</f>
        <v/>
      </c>
      <c r="F348" s="15" t="str">
        <f t="shared" si="15"/>
        <v/>
      </c>
      <c r="G348" s="15" t="str">
        <f t="shared" si="17"/>
        <v/>
      </c>
      <c r="H348" s="14" t="str">
        <f t="shared" si="16"/>
        <v/>
      </c>
    </row>
    <row r="349" spans="1:8" ht="21" customHeight="1">
      <c r="A349" s="14" t="str">
        <f>IF(AND('Current Loan'!$B$13,343&lt;=MAX('Current Loan'!B7,'Proposed Loan'!B6)*12),343,"")</f>
        <v/>
      </c>
      <c r="B349" s="15" t="str">
        <f>IF(A349&lt;&gt;"",IF(A349&lt;='Current Loan'!$B$7*12,'Current Loan'!$B$17,0),"")</f>
        <v/>
      </c>
      <c r="C349" s="15" t="str">
        <f>IF(A349&lt;&gt;"",IF(A349&lt;='Current Loan'!$B$7*12,'Current Loan'!$B$9/12,0),"")</f>
        <v/>
      </c>
      <c r="D349" s="15" t="str">
        <f>IF(A349&lt;&gt;"",IF(A349&lt;='Proposed Loan'!$B$6*12,'Proposed Loan'!$B$17,0),"")</f>
        <v/>
      </c>
      <c r="E349" s="15" t="str">
        <f>IF(A349&lt;&gt;"",IF(A349&lt;='Proposed Loan'!$B$6*12,'Proposed Loan'!$B$13/12,0),"")</f>
        <v/>
      </c>
      <c r="F349" s="15" t="str">
        <f t="shared" si="15"/>
        <v/>
      </c>
      <c r="G349" s="15" t="str">
        <f t="shared" si="17"/>
        <v/>
      </c>
      <c r="H349" s="14" t="str">
        <f t="shared" si="16"/>
        <v/>
      </c>
    </row>
    <row r="350" spans="1:8" ht="21" customHeight="1">
      <c r="A350" s="14" t="str">
        <f>IF(AND('Current Loan'!$B$13,344&lt;=MAX('Current Loan'!B7,'Proposed Loan'!B6)*12),344,"")</f>
        <v/>
      </c>
      <c r="B350" s="15" t="str">
        <f>IF(A350&lt;&gt;"",IF(A350&lt;='Current Loan'!$B$7*12,'Current Loan'!$B$17,0),"")</f>
        <v/>
      </c>
      <c r="C350" s="15" t="str">
        <f>IF(A350&lt;&gt;"",IF(A350&lt;='Current Loan'!$B$7*12,'Current Loan'!$B$9/12,0),"")</f>
        <v/>
      </c>
      <c r="D350" s="15" t="str">
        <f>IF(A350&lt;&gt;"",IF(A350&lt;='Proposed Loan'!$B$6*12,'Proposed Loan'!$B$17,0),"")</f>
        <v/>
      </c>
      <c r="E350" s="15" t="str">
        <f>IF(A350&lt;&gt;"",IF(A350&lt;='Proposed Loan'!$B$6*12,'Proposed Loan'!$B$13/12,0),"")</f>
        <v/>
      </c>
      <c r="F350" s="15" t="str">
        <f t="shared" si="15"/>
        <v/>
      </c>
      <c r="G350" s="15" t="str">
        <f t="shared" si="17"/>
        <v/>
      </c>
      <c r="H350" s="14" t="str">
        <f t="shared" si="16"/>
        <v/>
      </c>
    </row>
    <row r="351" spans="1:8" ht="21" customHeight="1">
      <c r="A351" s="14" t="str">
        <f>IF(AND('Current Loan'!$B$13,345&lt;=MAX('Current Loan'!B7,'Proposed Loan'!B6)*12),345,"")</f>
        <v/>
      </c>
      <c r="B351" s="15" t="str">
        <f>IF(A351&lt;&gt;"",IF(A351&lt;='Current Loan'!$B$7*12,'Current Loan'!$B$17,0),"")</f>
        <v/>
      </c>
      <c r="C351" s="15" t="str">
        <f>IF(A351&lt;&gt;"",IF(A351&lt;='Current Loan'!$B$7*12,'Current Loan'!$B$9/12,0),"")</f>
        <v/>
      </c>
      <c r="D351" s="15" t="str">
        <f>IF(A351&lt;&gt;"",IF(A351&lt;='Proposed Loan'!$B$6*12,'Proposed Loan'!$B$17,0),"")</f>
        <v/>
      </c>
      <c r="E351" s="15" t="str">
        <f>IF(A351&lt;&gt;"",IF(A351&lt;='Proposed Loan'!$B$6*12,'Proposed Loan'!$B$13/12,0),"")</f>
        <v/>
      </c>
      <c r="F351" s="15" t="str">
        <f t="shared" si="15"/>
        <v/>
      </c>
      <c r="G351" s="15" t="str">
        <f t="shared" si="17"/>
        <v/>
      </c>
      <c r="H351" s="14" t="str">
        <f t="shared" si="16"/>
        <v/>
      </c>
    </row>
    <row r="352" spans="1:8" ht="21" customHeight="1">
      <c r="A352" s="14" t="str">
        <f>IF(AND('Current Loan'!$B$13,346&lt;=MAX('Current Loan'!B7,'Proposed Loan'!B6)*12),346,"")</f>
        <v/>
      </c>
      <c r="B352" s="15" t="str">
        <f>IF(A352&lt;&gt;"",IF(A352&lt;='Current Loan'!$B$7*12,'Current Loan'!$B$17,0),"")</f>
        <v/>
      </c>
      <c r="C352" s="15" t="str">
        <f>IF(A352&lt;&gt;"",IF(A352&lt;='Current Loan'!$B$7*12,'Current Loan'!$B$9/12,0),"")</f>
        <v/>
      </c>
      <c r="D352" s="15" t="str">
        <f>IF(A352&lt;&gt;"",IF(A352&lt;='Proposed Loan'!$B$6*12,'Proposed Loan'!$B$17,0),"")</f>
        <v/>
      </c>
      <c r="E352" s="15" t="str">
        <f>IF(A352&lt;&gt;"",IF(A352&lt;='Proposed Loan'!$B$6*12,'Proposed Loan'!$B$13/12,0),"")</f>
        <v/>
      </c>
      <c r="F352" s="15" t="str">
        <f t="shared" si="15"/>
        <v/>
      </c>
      <c r="G352" s="15" t="str">
        <f t="shared" si="17"/>
        <v/>
      </c>
      <c r="H352" s="14" t="str">
        <f t="shared" si="16"/>
        <v/>
      </c>
    </row>
    <row r="353" spans="1:8" ht="21" customHeight="1">
      <c r="A353" s="14" t="str">
        <f>IF(AND('Current Loan'!$B$13,347&lt;=MAX('Current Loan'!B7,'Proposed Loan'!B6)*12),347,"")</f>
        <v/>
      </c>
      <c r="B353" s="15" t="str">
        <f>IF(A353&lt;&gt;"",IF(A353&lt;='Current Loan'!$B$7*12,'Current Loan'!$B$17,0),"")</f>
        <v/>
      </c>
      <c r="C353" s="15" t="str">
        <f>IF(A353&lt;&gt;"",IF(A353&lt;='Current Loan'!$B$7*12,'Current Loan'!$B$9/12,0),"")</f>
        <v/>
      </c>
      <c r="D353" s="15" t="str">
        <f>IF(A353&lt;&gt;"",IF(A353&lt;='Proposed Loan'!$B$6*12,'Proposed Loan'!$B$17,0),"")</f>
        <v/>
      </c>
      <c r="E353" s="15" t="str">
        <f>IF(A353&lt;&gt;"",IF(A353&lt;='Proposed Loan'!$B$6*12,'Proposed Loan'!$B$13/12,0),"")</f>
        <v/>
      </c>
      <c r="F353" s="15" t="str">
        <f t="shared" si="15"/>
        <v/>
      </c>
      <c r="G353" s="15" t="str">
        <f t="shared" si="17"/>
        <v/>
      </c>
      <c r="H353" s="14" t="str">
        <f t="shared" si="16"/>
        <v/>
      </c>
    </row>
    <row r="354" spans="1:8" ht="21" customHeight="1">
      <c r="A354" s="14" t="str">
        <f>IF(AND('Current Loan'!$B$13,348&lt;=MAX('Current Loan'!B7,'Proposed Loan'!B6)*12),348,"")</f>
        <v/>
      </c>
      <c r="B354" s="15" t="str">
        <f>IF(A354&lt;&gt;"",IF(A354&lt;='Current Loan'!$B$7*12,'Current Loan'!$B$17,0),"")</f>
        <v/>
      </c>
      <c r="C354" s="15" t="str">
        <f>IF(A354&lt;&gt;"",IF(A354&lt;='Current Loan'!$B$7*12,'Current Loan'!$B$9/12,0),"")</f>
        <v/>
      </c>
      <c r="D354" s="15" t="str">
        <f>IF(A354&lt;&gt;"",IF(A354&lt;='Proposed Loan'!$B$6*12,'Proposed Loan'!$B$17,0),"")</f>
        <v/>
      </c>
      <c r="E354" s="15" t="str">
        <f>IF(A354&lt;&gt;"",IF(A354&lt;='Proposed Loan'!$B$6*12,'Proposed Loan'!$B$13/12,0),"")</f>
        <v/>
      </c>
      <c r="F354" s="15" t="str">
        <f t="shared" si="15"/>
        <v/>
      </c>
      <c r="G354" s="15" t="str">
        <f t="shared" si="17"/>
        <v/>
      </c>
      <c r="H354" s="14" t="str">
        <f t="shared" si="16"/>
        <v/>
      </c>
    </row>
    <row r="355" spans="1:8" ht="21" customHeight="1">
      <c r="A355" s="14" t="str">
        <f>IF(AND('Current Loan'!$B$13,349&lt;=MAX('Current Loan'!B7,'Proposed Loan'!B6)*12),349,"")</f>
        <v/>
      </c>
      <c r="B355" s="15" t="str">
        <f>IF(A355&lt;&gt;"",IF(A355&lt;='Current Loan'!$B$7*12,'Current Loan'!$B$17,0),"")</f>
        <v/>
      </c>
      <c r="C355" s="15" t="str">
        <f>IF(A355&lt;&gt;"",IF(A355&lt;='Current Loan'!$B$7*12,'Current Loan'!$B$9/12,0),"")</f>
        <v/>
      </c>
      <c r="D355" s="15" t="str">
        <f>IF(A355&lt;&gt;"",IF(A355&lt;='Proposed Loan'!$B$6*12,'Proposed Loan'!$B$17,0),"")</f>
        <v/>
      </c>
      <c r="E355" s="15" t="str">
        <f>IF(A355&lt;&gt;"",IF(A355&lt;='Proposed Loan'!$B$6*12,'Proposed Loan'!$B$13/12,0),"")</f>
        <v/>
      </c>
      <c r="F355" s="15" t="str">
        <f t="shared" si="15"/>
        <v/>
      </c>
      <c r="G355" s="15" t="str">
        <f t="shared" si="17"/>
        <v/>
      </c>
      <c r="H355" s="14" t="str">
        <f t="shared" si="16"/>
        <v/>
      </c>
    </row>
    <row r="356" spans="1:8" ht="21" customHeight="1">
      <c r="A356" s="14" t="str">
        <f>IF(AND('Current Loan'!$B$13,350&lt;=MAX('Current Loan'!B7,'Proposed Loan'!B6)*12),350,"")</f>
        <v/>
      </c>
      <c r="B356" s="15" t="str">
        <f>IF(A356&lt;&gt;"",IF(A356&lt;='Current Loan'!$B$7*12,'Current Loan'!$B$17,0),"")</f>
        <v/>
      </c>
      <c r="C356" s="15" t="str">
        <f>IF(A356&lt;&gt;"",IF(A356&lt;='Current Loan'!$B$7*12,'Current Loan'!$B$9/12,0),"")</f>
        <v/>
      </c>
      <c r="D356" s="15" t="str">
        <f>IF(A356&lt;&gt;"",IF(A356&lt;='Proposed Loan'!$B$6*12,'Proposed Loan'!$B$17,0),"")</f>
        <v/>
      </c>
      <c r="E356" s="15" t="str">
        <f>IF(A356&lt;&gt;"",IF(A356&lt;='Proposed Loan'!$B$6*12,'Proposed Loan'!$B$13/12,0),"")</f>
        <v/>
      </c>
      <c r="F356" s="15" t="str">
        <f t="shared" si="15"/>
        <v/>
      </c>
      <c r="G356" s="15" t="str">
        <f t="shared" si="17"/>
        <v/>
      </c>
      <c r="H356" s="14" t="str">
        <f t="shared" si="16"/>
        <v/>
      </c>
    </row>
    <row r="357" spans="1:8" ht="21" customHeight="1">
      <c r="A357" s="14" t="str">
        <f>IF(AND('Current Loan'!$B$13,351&lt;=MAX('Current Loan'!B7,'Proposed Loan'!B6)*12),351,"")</f>
        <v/>
      </c>
      <c r="B357" s="15" t="str">
        <f>IF(A357&lt;&gt;"",IF(A357&lt;='Current Loan'!$B$7*12,'Current Loan'!$B$17,0),"")</f>
        <v/>
      </c>
      <c r="C357" s="15" t="str">
        <f>IF(A357&lt;&gt;"",IF(A357&lt;='Current Loan'!$B$7*12,'Current Loan'!$B$9/12,0),"")</f>
        <v/>
      </c>
      <c r="D357" s="15" t="str">
        <f>IF(A357&lt;&gt;"",IF(A357&lt;='Proposed Loan'!$B$6*12,'Proposed Loan'!$B$17,0),"")</f>
        <v/>
      </c>
      <c r="E357" s="15" t="str">
        <f>IF(A357&lt;&gt;"",IF(A357&lt;='Proposed Loan'!$B$6*12,'Proposed Loan'!$B$13/12,0),"")</f>
        <v/>
      </c>
      <c r="F357" s="15" t="str">
        <f t="shared" si="15"/>
        <v/>
      </c>
      <c r="G357" s="15" t="str">
        <f t="shared" si="17"/>
        <v/>
      </c>
      <c r="H357" s="14" t="str">
        <f t="shared" si="16"/>
        <v/>
      </c>
    </row>
    <row r="358" spans="1:8" ht="21" customHeight="1">
      <c r="A358" s="14" t="str">
        <f>IF(AND('Current Loan'!$B$13,352&lt;=MAX('Current Loan'!B7,'Proposed Loan'!B6)*12),352,"")</f>
        <v/>
      </c>
      <c r="B358" s="15" t="str">
        <f>IF(A358&lt;&gt;"",IF(A358&lt;='Current Loan'!$B$7*12,'Current Loan'!$B$17,0),"")</f>
        <v/>
      </c>
      <c r="C358" s="15" t="str">
        <f>IF(A358&lt;&gt;"",IF(A358&lt;='Current Loan'!$B$7*12,'Current Loan'!$B$9/12,0),"")</f>
        <v/>
      </c>
      <c r="D358" s="15" t="str">
        <f>IF(A358&lt;&gt;"",IF(A358&lt;='Proposed Loan'!$B$6*12,'Proposed Loan'!$B$17,0),"")</f>
        <v/>
      </c>
      <c r="E358" s="15" t="str">
        <f>IF(A358&lt;&gt;"",IF(A358&lt;='Proposed Loan'!$B$6*12,'Proposed Loan'!$B$13/12,0),"")</f>
        <v/>
      </c>
      <c r="F358" s="15" t="str">
        <f t="shared" si="15"/>
        <v/>
      </c>
      <c r="G358" s="15" t="str">
        <f t="shared" si="17"/>
        <v/>
      </c>
      <c r="H358" s="14" t="str">
        <f t="shared" si="16"/>
        <v/>
      </c>
    </row>
    <row r="359" spans="1:8" ht="21" customHeight="1">
      <c r="A359" s="14" t="str">
        <f>IF(AND('Current Loan'!$B$13,353&lt;=MAX('Current Loan'!B7,'Proposed Loan'!B6)*12),353,"")</f>
        <v/>
      </c>
      <c r="B359" s="15" t="str">
        <f>IF(A359&lt;&gt;"",IF(A359&lt;='Current Loan'!$B$7*12,'Current Loan'!$B$17,0),"")</f>
        <v/>
      </c>
      <c r="C359" s="15" t="str">
        <f>IF(A359&lt;&gt;"",IF(A359&lt;='Current Loan'!$B$7*12,'Current Loan'!$B$9/12,0),"")</f>
        <v/>
      </c>
      <c r="D359" s="15" t="str">
        <f>IF(A359&lt;&gt;"",IF(A359&lt;='Proposed Loan'!$B$6*12,'Proposed Loan'!$B$17,0),"")</f>
        <v/>
      </c>
      <c r="E359" s="15" t="str">
        <f>IF(A359&lt;&gt;"",IF(A359&lt;='Proposed Loan'!$B$6*12,'Proposed Loan'!$B$13/12,0),"")</f>
        <v/>
      </c>
      <c r="F359" s="15" t="str">
        <f t="shared" si="15"/>
        <v/>
      </c>
      <c r="G359" s="15" t="str">
        <f t="shared" si="17"/>
        <v/>
      </c>
      <c r="H359" s="14" t="str">
        <f t="shared" si="16"/>
        <v/>
      </c>
    </row>
    <row r="360" spans="1:8" ht="21" customHeight="1">
      <c r="A360" s="14" t="str">
        <f>IF(AND('Current Loan'!$B$13,354&lt;=MAX('Current Loan'!B7,'Proposed Loan'!B6)*12),354,"")</f>
        <v/>
      </c>
      <c r="B360" s="15" t="str">
        <f>IF(A360&lt;&gt;"",IF(A360&lt;='Current Loan'!$B$7*12,'Current Loan'!$B$17,0),"")</f>
        <v/>
      </c>
      <c r="C360" s="15" t="str">
        <f>IF(A360&lt;&gt;"",IF(A360&lt;='Current Loan'!$B$7*12,'Current Loan'!$B$9/12,0),"")</f>
        <v/>
      </c>
      <c r="D360" s="15" t="str">
        <f>IF(A360&lt;&gt;"",IF(A360&lt;='Proposed Loan'!$B$6*12,'Proposed Loan'!$B$17,0),"")</f>
        <v/>
      </c>
      <c r="E360" s="15" t="str">
        <f>IF(A360&lt;&gt;"",IF(A360&lt;='Proposed Loan'!$B$6*12,'Proposed Loan'!$B$13/12,0),"")</f>
        <v/>
      </c>
      <c r="F360" s="15" t="str">
        <f t="shared" si="15"/>
        <v/>
      </c>
      <c r="G360" s="15" t="str">
        <f t="shared" si="17"/>
        <v/>
      </c>
      <c r="H360" s="14" t="str">
        <f t="shared" si="16"/>
        <v/>
      </c>
    </row>
    <row r="361" spans="1:8" ht="21" customHeight="1">
      <c r="A361" s="14" t="str">
        <f>IF(AND('Current Loan'!$B$13,355&lt;=MAX('Current Loan'!B7,'Proposed Loan'!B6)*12),355,"")</f>
        <v/>
      </c>
      <c r="B361" s="15" t="str">
        <f>IF(A361&lt;&gt;"",IF(A361&lt;='Current Loan'!$B$7*12,'Current Loan'!$B$17,0),"")</f>
        <v/>
      </c>
      <c r="C361" s="15" t="str">
        <f>IF(A361&lt;&gt;"",IF(A361&lt;='Current Loan'!$B$7*12,'Current Loan'!$B$9/12,0),"")</f>
        <v/>
      </c>
      <c r="D361" s="15" t="str">
        <f>IF(A361&lt;&gt;"",IF(A361&lt;='Proposed Loan'!$B$6*12,'Proposed Loan'!$B$17,0),"")</f>
        <v/>
      </c>
      <c r="E361" s="15" t="str">
        <f>IF(A361&lt;&gt;"",IF(A361&lt;='Proposed Loan'!$B$6*12,'Proposed Loan'!$B$13/12,0),"")</f>
        <v/>
      </c>
      <c r="F361" s="15" t="str">
        <f t="shared" si="15"/>
        <v/>
      </c>
      <c r="G361" s="15" t="str">
        <f t="shared" si="17"/>
        <v/>
      </c>
      <c r="H361" s="14" t="str">
        <f t="shared" si="16"/>
        <v/>
      </c>
    </row>
    <row r="362" spans="1:8" ht="21" customHeight="1">
      <c r="A362" s="14" t="str">
        <f>IF(AND('Current Loan'!$B$13,356&lt;=MAX('Current Loan'!B7,'Proposed Loan'!B6)*12),356,"")</f>
        <v/>
      </c>
      <c r="B362" s="15" t="str">
        <f>IF(A362&lt;&gt;"",IF(A362&lt;='Current Loan'!$B$7*12,'Current Loan'!$B$17,0),"")</f>
        <v/>
      </c>
      <c r="C362" s="15" t="str">
        <f>IF(A362&lt;&gt;"",IF(A362&lt;='Current Loan'!$B$7*12,'Current Loan'!$B$9/12,0),"")</f>
        <v/>
      </c>
      <c r="D362" s="15" t="str">
        <f>IF(A362&lt;&gt;"",IF(A362&lt;='Proposed Loan'!$B$6*12,'Proposed Loan'!$B$17,0),"")</f>
        <v/>
      </c>
      <c r="E362" s="15" t="str">
        <f>IF(A362&lt;&gt;"",IF(A362&lt;='Proposed Loan'!$B$6*12,'Proposed Loan'!$B$13/12,0),"")</f>
        <v/>
      </c>
      <c r="F362" s="15" t="str">
        <f t="shared" si="15"/>
        <v/>
      </c>
      <c r="G362" s="15" t="str">
        <f t="shared" si="17"/>
        <v/>
      </c>
      <c r="H362" s="14" t="str">
        <f t="shared" si="16"/>
        <v/>
      </c>
    </row>
    <row r="363" spans="1:8" ht="21" customHeight="1">
      <c r="A363" s="14" t="str">
        <f>IF(AND('Current Loan'!$B$13,357&lt;=MAX('Current Loan'!B7,'Proposed Loan'!B6)*12),357,"")</f>
        <v/>
      </c>
      <c r="B363" s="15" t="str">
        <f>IF(A363&lt;&gt;"",IF(A363&lt;='Current Loan'!$B$7*12,'Current Loan'!$B$17,0),"")</f>
        <v/>
      </c>
      <c r="C363" s="15" t="str">
        <f>IF(A363&lt;&gt;"",IF(A363&lt;='Current Loan'!$B$7*12,'Current Loan'!$B$9/12,0),"")</f>
        <v/>
      </c>
      <c r="D363" s="15" t="str">
        <f>IF(A363&lt;&gt;"",IF(A363&lt;='Proposed Loan'!$B$6*12,'Proposed Loan'!$B$17,0),"")</f>
        <v/>
      </c>
      <c r="E363" s="15" t="str">
        <f>IF(A363&lt;&gt;"",IF(A363&lt;='Proposed Loan'!$B$6*12,'Proposed Loan'!$B$13/12,0),"")</f>
        <v/>
      </c>
      <c r="F363" s="15" t="str">
        <f t="shared" si="15"/>
        <v/>
      </c>
      <c r="G363" s="15" t="str">
        <f t="shared" si="17"/>
        <v/>
      </c>
      <c r="H363" s="14" t="str">
        <f t="shared" si="16"/>
        <v/>
      </c>
    </row>
    <row r="364" spans="1:8" ht="21" customHeight="1">
      <c r="A364" s="14" t="str">
        <f>IF(AND('Current Loan'!$B$13,358&lt;=MAX('Current Loan'!B7,'Proposed Loan'!B6)*12),358,"")</f>
        <v/>
      </c>
      <c r="B364" s="15" t="str">
        <f>IF(A364&lt;&gt;"",IF(A364&lt;='Current Loan'!$B$7*12,'Current Loan'!$B$17,0),"")</f>
        <v/>
      </c>
      <c r="C364" s="15" t="str">
        <f>IF(A364&lt;&gt;"",IF(A364&lt;='Current Loan'!$B$7*12,'Current Loan'!$B$9/12,0),"")</f>
        <v/>
      </c>
      <c r="D364" s="15" t="str">
        <f>IF(A364&lt;&gt;"",IF(A364&lt;='Proposed Loan'!$B$6*12,'Proposed Loan'!$B$17,0),"")</f>
        <v/>
      </c>
      <c r="E364" s="15" t="str">
        <f>IF(A364&lt;&gt;"",IF(A364&lt;='Proposed Loan'!$B$6*12,'Proposed Loan'!$B$13/12,0),"")</f>
        <v/>
      </c>
      <c r="F364" s="15" t="str">
        <f t="shared" si="15"/>
        <v/>
      </c>
      <c r="G364" s="15" t="str">
        <f t="shared" si="17"/>
        <v/>
      </c>
      <c r="H364" s="14" t="str">
        <f t="shared" si="16"/>
        <v/>
      </c>
    </row>
    <row r="365" spans="1:8" ht="21" customHeight="1">
      <c r="A365" s="14" t="str">
        <f>IF(AND('Current Loan'!$B$13,359&lt;=MAX('Current Loan'!B7,'Proposed Loan'!B6)*12),359,"")</f>
        <v/>
      </c>
      <c r="B365" s="15" t="str">
        <f>IF(A365&lt;&gt;"",IF(A365&lt;='Current Loan'!$B$7*12,'Current Loan'!$B$17,0),"")</f>
        <v/>
      </c>
      <c r="C365" s="15" t="str">
        <f>IF(A365&lt;&gt;"",IF(A365&lt;='Current Loan'!$B$7*12,'Current Loan'!$B$9/12,0),"")</f>
        <v/>
      </c>
      <c r="D365" s="15" t="str">
        <f>IF(A365&lt;&gt;"",IF(A365&lt;='Proposed Loan'!$B$6*12,'Proposed Loan'!$B$17,0),"")</f>
        <v/>
      </c>
      <c r="E365" s="15" t="str">
        <f>IF(A365&lt;&gt;"",IF(A365&lt;='Proposed Loan'!$B$6*12,'Proposed Loan'!$B$13/12,0),"")</f>
        <v/>
      </c>
      <c r="F365" s="15" t="str">
        <f t="shared" si="15"/>
        <v/>
      </c>
      <c r="G365" s="15" t="str">
        <f t="shared" si="17"/>
        <v/>
      </c>
      <c r="H365" s="14" t="str">
        <f t="shared" si="16"/>
        <v/>
      </c>
    </row>
    <row r="366" spans="1:8" ht="21" customHeight="1">
      <c r="A366" s="14" t="str">
        <f>IF(AND('Current Loan'!$B$13,360&lt;=MAX('Current Loan'!B7,'Proposed Loan'!B6)*12),360,"")</f>
        <v/>
      </c>
      <c r="B366" s="15" t="str">
        <f>IF(A366&lt;&gt;"",IF(A366&lt;='Current Loan'!$B$7*12,'Current Loan'!$B$17,0),"")</f>
        <v/>
      </c>
      <c r="C366" s="15" t="str">
        <f>IF(A366&lt;&gt;"",IF(A366&lt;='Current Loan'!$B$7*12,'Current Loan'!$B$9/12,0),"")</f>
        <v/>
      </c>
      <c r="D366" s="15" t="str">
        <f>IF(A366&lt;&gt;"",IF(A366&lt;='Proposed Loan'!$B$6*12,'Proposed Loan'!$B$17,0),"")</f>
        <v/>
      </c>
      <c r="E366" s="15" t="str">
        <f>IF(A366&lt;&gt;"",IF(A366&lt;='Proposed Loan'!$B$6*12,'Proposed Loan'!$B$13/12,0),"")</f>
        <v/>
      </c>
      <c r="F366" s="15" t="str">
        <f t="shared" si="15"/>
        <v/>
      </c>
      <c r="G366" s="15" t="str">
        <f t="shared" si="17"/>
        <v/>
      </c>
      <c r="H366" s="14" t="str">
        <f t="shared" si="16"/>
        <v/>
      </c>
    </row>
    <row r="367" spans="1:8" ht="21" customHeight="1">
      <c r="A367" s="14" t="str">
        <f>IF(AND('Current Loan'!$B$13,361&lt;=MAX('Current Loan'!B7,'Proposed Loan'!B6)*12),361,"")</f>
        <v/>
      </c>
      <c r="B367" s="15" t="str">
        <f>IF(A367&lt;&gt;"",IF(A367&lt;='Current Loan'!$B$7*12,'Current Loan'!$B$17,0),"")</f>
        <v/>
      </c>
      <c r="C367" s="15" t="str">
        <f>IF(A367&lt;&gt;"",IF(A367&lt;='Current Loan'!$B$7*12,'Current Loan'!$B$9/12,0),"")</f>
        <v/>
      </c>
      <c r="D367" s="15" t="str">
        <f>IF(A367&lt;&gt;"",IF(A367&lt;='Proposed Loan'!$B$6*12,'Proposed Loan'!$B$17,0),"")</f>
        <v/>
      </c>
      <c r="E367" s="15" t="str">
        <f>IF(A367&lt;&gt;"",IF(A367&lt;='Proposed Loan'!$B$6*12,'Proposed Loan'!$B$13/12,0),"")</f>
        <v/>
      </c>
      <c r="F367" s="15" t="str">
        <f t="shared" si="15"/>
        <v/>
      </c>
      <c r="G367" s="15" t="str">
        <f t="shared" si="17"/>
        <v/>
      </c>
      <c r="H367" s="14" t="str">
        <f t="shared" si="16"/>
        <v/>
      </c>
    </row>
    <row r="368" spans="1:8" ht="21" customHeight="1">
      <c r="A368" s="14" t="str">
        <f>IF(AND('Current Loan'!$B$13,362&lt;=MAX('Current Loan'!B7,'Proposed Loan'!B6)*12),362,"")</f>
        <v/>
      </c>
      <c r="B368" s="15" t="str">
        <f>IF(A368&lt;&gt;"",IF(A368&lt;='Current Loan'!$B$7*12,'Current Loan'!$B$17,0),"")</f>
        <v/>
      </c>
      <c r="C368" s="15" t="str">
        <f>IF(A368&lt;&gt;"",IF(A368&lt;='Current Loan'!$B$7*12,'Current Loan'!$B$9/12,0),"")</f>
        <v/>
      </c>
      <c r="D368" s="15" t="str">
        <f>IF(A368&lt;&gt;"",IF(A368&lt;='Proposed Loan'!$B$6*12,'Proposed Loan'!$B$17,0),"")</f>
        <v/>
      </c>
      <c r="E368" s="15" t="str">
        <f>IF(A368&lt;&gt;"",IF(A368&lt;='Proposed Loan'!$B$6*12,'Proposed Loan'!$B$13/12,0),"")</f>
        <v/>
      </c>
      <c r="F368" s="15" t="str">
        <f t="shared" si="15"/>
        <v/>
      </c>
      <c r="G368" s="15" t="str">
        <f t="shared" si="17"/>
        <v/>
      </c>
      <c r="H368" s="14" t="str">
        <f t="shared" si="16"/>
        <v/>
      </c>
    </row>
    <row r="369" spans="1:8" ht="21" customHeight="1">
      <c r="A369" s="14" t="str">
        <f>IF(AND('Current Loan'!$B$13,363&lt;=MAX('Current Loan'!B7,'Proposed Loan'!B6)*12),363,"")</f>
        <v/>
      </c>
      <c r="B369" s="15" t="str">
        <f>IF(A369&lt;&gt;"",IF(A369&lt;='Current Loan'!$B$7*12,'Current Loan'!$B$17,0),"")</f>
        <v/>
      </c>
      <c r="C369" s="15" t="str">
        <f>IF(A369&lt;&gt;"",IF(A369&lt;='Current Loan'!$B$7*12,'Current Loan'!$B$9/12,0),"")</f>
        <v/>
      </c>
      <c r="D369" s="15" t="str">
        <f>IF(A369&lt;&gt;"",IF(A369&lt;='Proposed Loan'!$B$6*12,'Proposed Loan'!$B$17,0),"")</f>
        <v/>
      </c>
      <c r="E369" s="15" t="str">
        <f>IF(A369&lt;&gt;"",IF(A369&lt;='Proposed Loan'!$B$6*12,'Proposed Loan'!$B$13/12,0),"")</f>
        <v/>
      </c>
      <c r="F369" s="15" t="str">
        <f t="shared" si="15"/>
        <v/>
      </c>
      <c r="G369" s="15" t="str">
        <f t="shared" si="17"/>
        <v/>
      </c>
      <c r="H369" s="14" t="str">
        <f t="shared" si="16"/>
        <v/>
      </c>
    </row>
    <row r="370" spans="1:8" ht="21" customHeight="1">
      <c r="A370" s="14" t="str">
        <f>IF(AND('Current Loan'!$B$13,364&lt;=MAX('Current Loan'!B7,'Proposed Loan'!B6)*12),364,"")</f>
        <v/>
      </c>
      <c r="B370" s="15" t="str">
        <f>IF(A370&lt;&gt;"",IF(A370&lt;='Current Loan'!$B$7*12,'Current Loan'!$B$17,0),"")</f>
        <v/>
      </c>
      <c r="C370" s="15" t="str">
        <f>IF(A370&lt;&gt;"",IF(A370&lt;='Current Loan'!$B$7*12,'Current Loan'!$B$9/12,0),"")</f>
        <v/>
      </c>
      <c r="D370" s="15" t="str">
        <f>IF(A370&lt;&gt;"",IF(A370&lt;='Proposed Loan'!$B$6*12,'Proposed Loan'!$B$17,0),"")</f>
        <v/>
      </c>
      <c r="E370" s="15" t="str">
        <f>IF(A370&lt;&gt;"",IF(A370&lt;='Proposed Loan'!$B$6*12,'Proposed Loan'!$B$13/12,0),"")</f>
        <v/>
      </c>
      <c r="F370" s="15" t="str">
        <f t="shared" si="15"/>
        <v/>
      </c>
      <c r="G370" s="15" t="str">
        <f t="shared" si="17"/>
        <v/>
      </c>
      <c r="H370" s="14" t="str">
        <f t="shared" si="16"/>
        <v/>
      </c>
    </row>
    <row r="371" spans="1:8" ht="21" customHeight="1">
      <c r="A371" s="14" t="str">
        <f>IF(AND('Current Loan'!$B$13,365&lt;=MAX('Current Loan'!B7,'Proposed Loan'!B6)*12),365,"")</f>
        <v/>
      </c>
      <c r="B371" s="15" t="str">
        <f>IF(A371&lt;&gt;"",IF(A371&lt;='Current Loan'!$B$7*12,'Current Loan'!$B$17,0),"")</f>
        <v/>
      </c>
      <c r="C371" s="15" t="str">
        <f>IF(A371&lt;&gt;"",IF(A371&lt;='Current Loan'!$B$7*12,'Current Loan'!$B$9/12,0),"")</f>
        <v/>
      </c>
      <c r="D371" s="15" t="str">
        <f>IF(A371&lt;&gt;"",IF(A371&lt;='Proposed Loan'!$B$6*12,'Proposed Loan'!$B$17,0),"")</f>
        <v/>
      </c>
      <c r="E371" s="15" t="str">
        <f>IF(A371&lt;&gt;"",IF(A371&lt;='Proposed Loan'!$B$6*12,'Proposed Loan'!$B$13/12,0),"")</f>
        <v/>
      </c>
      <c r="F371" s="15" t="str">
        <f t="shared" si="15"/>
        <v/>
      </c>
      <c r="G371" s="15" t="str">
        <f t="shared" si="17"/>
        <v/>
      </c>
      <c r="H371" s="14" t="str">
        <f t="shared" si="16"/>
        <v/>
      </c>
    </row>
    <row r="372" spans="1:8" ht="21" customHeight="1">
      <c r="A372" s="14" t="str">
        <f>IF(AND('Current Loan'!$B$13,366&lt;=MAX('Current Loan'!B7,'Proposed Loan'!B6)*12),366,"")</f>
        <v/>
      </c>
      <c r="B372" s="15" t="str">
        <f>IF(A372&lt;&gt;"",IF(A372&lt;='Current Loan'!$B$7*12,'Current Loan'!$B$17,0),"")</f>
        <v/>
      </c>
      <c r="C372" s="15" t="str">
        <f>IF(A372&lt;&gt;"",IF(A372&lt;='Current Loan'!$B$7*12,'Current Loan'!$B$9/12,0),"")</f>
        <v/>
      </c>
      <c r="D372" s="15" t="str">
        <f>IF(A372&lt;&gt;"",IF(A372&lt;='Proposed Loan'!$B$6*12,'Proposed Loan'!$B$17,0),"")</f>
        <v/>
      </c>
      <c r="E372" s="15" t="str">
        <f>IF(A372&lt;&gt;"",IF(A372&lt;='Proposed Loan'!$B$6*12,'Proposed Loan'!$B$13/12,0),"")</f>
        <v/>
      </c>
      <c r="F372" s="15" t="str">
        <f t="shared" si="15"/>
        <v/>
      </c>
      <c r="G372" s="15" t="str">
        <f t="shared" si="17"/>
        <v/>
      </c>
      <c r="H372" s="14" t="str">
        <f t="shared" si="16"/>
        <v/>
      </c>
    </row>
    <row r="373" spans="1:8" ht="21" customHeight="1">
      <c r="A373" s="14" t="str">
        <f>IF(AND('Current Loan'!$B$13,367&lt;=MAX('Current Loan'!B7,'Proposed Loan'!B6)*12),367,"")</f>
        <v/>
      </c>
      <c r="B373" s="15" t="str">
        <f>IF(A373&lt;&gt;"",IF(A373&lt;='Current Loan'!$B$7*12,'Current Loan'!$B$17,0),"")</f>
        <v/>
      </c>
      <c r="C373" s="15" t="str">
        <f>IF(A373&lt;&gt;"",IF(A373&lt;='Current Loan'!$B$7*12,'Current Loan'!$B$9/12,0),"")</f>
        <v/>
      </c>
      <c r="D373" s="15" t="str">
        <f>IF(A373&lt;&gt;"",IF(A373&lt;='Proposed Loan'!$B$6*12,'Proposed Loan'!$B$17,0),"")</f>
        <v/>
      </c>
      <c r="E373" s="15" t="str">
        <f>IF(A373&lt;&gt;"",IF(A373&lt;='Proposed Loan'!$B$6*12,'Proposed Loan'!$B$13/12,0),"")</f>
        <v/>
      </c>
      <c r="F373" s="15" t="str">
        <f t="shared" si="15"/>
        <v/>
      </c>
      <c r="G373" s="15" t="str">
        <f t="shared" si="17"/>
        <v/>
      </c>
      <c r="H373" s="14" t="str">
        <f t="shared" si="16"/>
        <v/>
      </c>
    </row>
    <row r="374" spans="1:8" ht="21" customHeight="1">
      <c r="A374" s="14" t="str">
        <f>IF(AND('Current Loan'!$B$13,368&lt;=MAX('Current Loan'!B7,'Proposed Loan'!B6)*12),368,"")</f>
        <v/>
      </c>
      <c r="B374" s="15" t="str">
        <f>IF(A374&lt;&gt;"",IF(A374&lt;='Current Loan'!$B$7*12,'Current Loan'!$B$17,0),"")</f>
        <v/>
      </c>
      <c r="C374" s="15" t="str">
        <f>IF(A374&lt;&gt;"",IF(A374&lt;='Current Loan'!$B$7*12,'Current Loan'!$B$9/12,0),"")</f>
        <v/>
      </c>
      <c r="D374" s="15" t="str">
        <f>IF(A374&lt;&gt;"",IF(A374&lt;='Proposed Loan'!$B$6*12,'Proposed Loan'!$B$17,0),"")</f>
        <v/>
      </c>
      <c r="E374" s="15" t="str">
        <f>IF(A374&lt;&gt;"",IF(A374&lt;='Proposed Loan'!$B$6*12,'Proposed Loan'!$B$13/12,0),"")</f>
        <v/>
      </c>
      <c r="F374" s="15" t="str">
        <f t="shared" si="15"/>
        <v/>
      </c>
      <c r="G374" s="15" t="str">
        <f t="shared" si="17"/>
        <v/>
      </c>
      <c r="H374" s="14" t="str">
        <f t="shared" si="16"/>
        <v/>
      </c>
    </row>
    <row r="375" spans="1:8" ht="21" customHeight="1">
      <c r="A375" s="14" t="str">
        <f>IF(AND('Current Loan'!$B$13,369&lt;=MAX('Current Loan'!B7,'Proposed Loan'!B6)*12),369,"")</f>
        <v/>
      </c>
      <c r="B375" s="15" t="str">
        <f>IF(A375&lt;&gt;"",IF(A375&lt;='Current Loan'!$B$7*12,'Current Loan'!$B$17,0),"")</f>
        <v/>
      </c>
      <c r="C375" s="15" t="str">
        <f>IF(A375&lt;&gt;"",IF(A375&lt;='Current Loan'!$B$7*12,'Current Loan'!$B$9/12,0),"")</f>
        <v/>
      </c>
      <c r="D375" s="15" t="str">
        <f>IF(A375&lt;&gt;"",IF(A375&lt;='Proposed Loan'!$B$6*12,'Proposed Loan'!$B$17,0),"")</f>
        <v/>
      </c>
      <c r="E375" s="15" t="str">
        <f>IF(A375&lt;&gt;"",IF(A375&lt;='Proposed Loan'!$B$6*12,'Proposed Loan'!$B$13/12,0),"")</f>
        <v/>
      </c>
      <c r="F375" s="15" t="str">
        <f t="shared" si="15"/>
        <v/>
      </c>
      <c r="G375" s="15" t="str">
        <f t="shared" si="17"/>
        <v/>
      </c>
      <c r="H375" s="14" t="str">
        <f t="shared" si="16"/>
        <v/>
      </c>
    </row>
    <row r="376" spans="1:8" ht="21" customHeight="1">
      <c r="A376" s="14" t="str">
        <f>IF(AND('Current Loan'!$B$13,370&lt;=MAX('Current Loan'!B7,'Proposed Loan'!B6)*12),370,"")</f>
        <v/>
      </c>
      <c r="B376" s="15" t="str">
        <f>IF(A376&lt;&gt;"",IF(A376&lt;='Current Loan'!$B$7*12,'Current Loan'!$B$17,0),"")</f>
        <v/>
      </c>
      <c r="C376" s="15" t="str">
        <f>IF(A376&lt;&gt;"",IF(A376&lt;='Current Loan'!$B$7*12,'Current Loan'!$B$9/12,0),"")</f>
        <v/>
      </c>
      <c r="D376" s="15" t="str">
        <f>IF(A376&lt;&gt;"",IF(A376&lt;='Proposed Loan'!$B$6*12,'Proposed Loan'!$B$17,0),"")</f>
        <v/>
      </c>
      <c r="E376" s="15" t="str">
        <f>IF(A376&lt;&gt;"",IF(A376&lt;='Proposed Loan'!$B$6*12,'Proposed Loan'!$B$13/12,0),"")</f>
        <v/>
      </c>
      <c r="F376" s="15" t="str">
        <f t="shared" si="15"/>
        <v/>
      </c>
      <c r="G376" s="15" t="str">
        <f t="shared" si="17"/>
        <v/>
      </c>
      <c r="H376" s="14" t="str">
        <f t="shared" si="16"/>
        <v/>
      </c>
    </row>
    <row r="377" spans="1:8" ht="21" customHeight="1">
      <c r="A377" s="14" t="str">
        <f>IF(AND('Current Loan'!$B$13,371&lt;=MAX('Current Loan'!B7,'Proposed Loan'!B6)*12),371,"")</f>
        <v/>
      </c>
      <c r="B377" s="15" t="str">
        <f>IF(A377&lt;&gt;"",IF(A377&lt;='Current Loan'!$B$7*12,'Current Loan'!$B$17,0),"")</f>
        <v/>
      </c>
      <c r="C377" s="15" t="str">
        <f>IF(A377&lt;&gt;"",IF(A377&lt;='Current Loan'!$B$7*12,'Current Loan'!$B$9/12,0),"")</f>
        <v/>
      </c>
      <c r="D377" s="15" t="str">
        <f>IF(A377&lt;&gt;"",IF(A377&lt;='Proposed Loan'!$B$6*12,'Proposed Loan'!$B$17,0),"")</f>
        <v/>
      </c>
      <c r="E377" s="15" t="str">
        <f>IF(A377&lt;&gt;"",IF(A377&lt;='Proposed Loan'!$B$6*12,'Proposed Loan'!$B$13/12,0),"")</f>
        <v/>
      </c>
      <c r="F377" s="15" t="str">
        <f t="shared" si="15"/>
        <v/>
      </c>
      <c r="G377" s="15" t="str">
        <f t="shared" si="17"/>
        <v/>
      </c>
      <c r="H377" s="14" t="str">
        <f t="shared" si="16"/>
        <v/>
      </c>
    </row>
    <row r="378" spans="1:8" ht="21" customHeight="1">
      <c r="A378" s="14" t="str">
        <f>IF(AND('Current Loan'!$B$13,372&lt;=MAX('Current Loan'!B7,'Proposed Loan'!B6)*12),372,"")</f>
        <v/>
      </c>
      <c r="B378" s="15" t="str">
        <f>IF(A378&lt;&gt;"",IF(A378&lt;='Current Loan'!$B$7*12,'Current Loan'!$B$17,0),"")</f>
        <v/>
      </c>
      <c r="C378" s="15" t="str">
        <f>IF(A378&lt;&gt;"",IF(A378&lt;='Current Loan'!$B$7*12,'Current Loan'!$B$9/12,0),"")</f>
        <v/>
      </c>
      <c r="D378" s="15" t="str">
        <f>IF(A378&lt;&gt;"",IF(A378&lt;='Proposed Loan'!$B$6*12,'Proposed Loan'!$B$17,0),"")</f>
        <v/>
      </c>
      <c r="E378" s="15" t="str">
        <f>IF(A378&lt;&gt;"",IF(A378&lt;='Proposed Loan'!$B$6*12,'Proposed Loan'!$B$13/12,0),"")</f>
        <v/>
      </c>
      <c r="F378" s="15" t="str">
        <f t="shared" si="15"/>
        <v/>
      </c>
      <c r="G378" s="15" t="str">
        <f t="shared" si="17"/>
        <v/>
      </c>
      <c r="H378" s="14" t="str">
        <f t="shared" si="16"/>
        <v/>
      </c>
    </row>
    <row r="379" spans="1:8" ht="21" customHeight="1">
      <c r="A379" s="14" t="str">
        <f>IF(AND('Current Loan'!$B$13,373&lt;=MAX('Current Loan'!B7,'Proposed Loan'!B6)*12),373,"")</f>
        <v/>
      </c>
      <c r="B379" s="15" t="str">
        <f>IF(A379&lt;&gt;"",IF(A379&lt;='Current Loan'!$B$7*12,'Current Loan'!$B$17,0),"")</f>
        <v/>
      </c>
      <c r="C379" s="15" t="str">
        <f>IF(A379&lt;&gt;"",IF(A379&lt;='Current Loan'!$B$7*12,'Current Loan'!$B$9/12,0),"")</f>
        <v/>
      </c>
      <c r="D379" s="15" t="str">
        <f>IF(A379&lt;&gt;"",IF(A379&lt;='Proposed Loan'!$B$6*12,'Proposed Loan'!$B$17,0),"")</f>
        <v/>
      </c>
      <c r="E379" s="15" t="str">
        <f>IF(A379&lt;&gt;"",IF(A379&lt;='Proposed Loan'!$B$6*12,'Proposed Loan'!$B$13/12,0),"")</f>
        <v/>
      </c>
      <c r="F379" s="15" t="str">
        <f t="shared" si="15"/>
        <v/>
      </c>
      <c r="G379" s="15" t="str">
        <f t="shared" si="17"/>
        <v/>
      </c>
      <c r="H379" s="14" t="str">
        <f t="shared" si="16"/>
        <v/>
      </c>
    </row>
    <row r="380" spans="1:8" ht="21" customHeight="1">
      <c r="A380" s="14" t="str">
        <f>IF(AND('Current Loan'!$B$13,374&lt;=MAX('Current Loan'!B7,'Proposed Loan'!B6)*12),374,"")</f>
        <v/>
      </c>
      <c r="B380" s="15" t="str">
        <f>IF(A380&lt;&gt;"",IF(A380&lt;='Current Loan'!$B$7*12,'Current Loan'!$B$17,0),"")</f>
        <v/>
      </c>
      <c r="C380" s="15" t="str">
        <f>IF(A380&lt;&gt;"",IF(A380&lt;='Current Loan'!$B$7*12,'Current Loan'!$B$9/12,0),"")</f>
        <v/>
      </c>
      <c r="D380" s="15" t="str">
        <f>IF(A380&lt;&gt;"",IF(A380&lt;='Proposed Loan'!$B$6*12,'Proposed Loan'!$B$17,0),"")</f>
        <v/>
      </c>
      <c r="E380" s="15" t="str">
        <f>IF(A380&lt;&gt;"",IF(A380&lt;='Proposed Loan'!$B$6*12,'Proposed Loan'!$B$13/12,0),"")</f>
        <v/>
      </c>
      <c r="F380" s="15" t="str">
        <f t="shared" si="15"/>
        <v/>
      </c>
      <c r="G380" s="15" t="str">
        <f t="shared" si="17"/>
        <v/>
      </c>
      <c r="H380" s="14" t="str">
        <f t="shared" si="16"/>
        <v/>
      </c>
    </row>
    <row r="381" spans="1:8" ht="21" customHeight="1">
      <c r="A381" s="14" t="str">
        <f>IF(AND('Current Loan'!$B$13,375&lt;=MAX('Current Loan'!B7,'Proposed Loan'!B6)*12),375,"")</f>
        <v/>
      </c>
      <c r="B381" s="15" t="str">
        <f>IF(A381&lt;&gt;"",IF(A381&lt;='Current Loan'!$B$7*12,'Current Loan'!$B$17,0),"")</f>
        <v/>
      </c>
      <c r="C381" s="15" t="str">
        <f>IF(A381&lt;&gt;"",IF(A381&lt;='Current Loan'!$B$7*12,'Current Loan'!$B$9/12,0),"")</f>
        <v/>
      </c>
      <c r="D381" s="15" t="str">
        <f>IF(A381&lt;&gt;"",IF(A381&lt;='Proposed Loan'!$B$6*12,'Proposed Loan'!$B$17,0),"")</f>
        <v/>
      </c>
      <c r="E381" s="15" t="str">
        <f>IF(A381&lt;&gt;"",IF(A381&lt;='Proposed Loan'!$B$6*12,'Proposed Loan'!$B$13/12,0),"")</f>
        <v/>
      </c>
      <c r="F381" s="15" t="str">
        <f t="shared" si="15"/>
        <v/>
      </c>
      <c r="G381" s="15" t="str">
        <f t="shared" si="17"/>
        <v/>
      </c>
      <c r="H381" s="14" t="str">
        <f t="shared" si="16"/>
        <v/>
      </c>
    </row>
    <row r="382" spans="1:8" ht="21" customHeight="1">
      <c r="A382" s="14" t="str">
        <f>IF(AND('Current Loan'!$B$13,376&lt;=MAX('Current Loan'!B7,'Proposed Loan'!B6)*12),376,"")</f>
        <v/>
      </c>
      <c r="B382" s="15" t="str">
        <f>IF(A382&lt;&gt;"",IF(A382&lt;='Current Loan'!$B$7*12,'Current Loan'!$B$17,0),"")</f>
        <v/>
      </c>
      <c r="C382" s="15" t="str">
        <f>IF(A382&lt;&gt;"",IF(A382&lt;='Current Loan'!$B$7*12,'Current Loan'!$B$9/12,0),"")</f>
        <v/>
      </c>
      <c r="D382" s="15" t="str">
        <f>IF(A382&lt;&gt;"",IF(A382&lt;='Proposed Loan'!$B$6*12,'Proposed Loan'!$B$17,0),"")</f>
        <v/>
      </c>
      <c r="E382" s="15" t="str">
        <f>IF(A382&lt;&gt;"",IF(A382&lt;='Proposed Loan'!$B$6*12,'Proposed Loan'!$B$13/12,0),"")</f>
        <v/>
      </c>
      <c r="F382" s="15" t="str">
        <f t="shared" si="15"/>
        <v/>
      </c>
      <c r="G382" s="15" t="str">
        <f t="shared" si="17"/>
        <v/>
      </c>
      <c r="H382" s="14" t="str">
        <f t="shared" si="16"/>
        <v/>
      </c>
    </row>
    <row r="383" spans="1:8" ht="21" customHeight="1">
      <c r="A383" s="14" t="str">
        <f>IF(AND('Current Loan'!$B$13,377&lt;=MAX('Current Loan'!B7,'Proposed Loan'!B6)*12),377,"")</f>
        <v/>
      </c>
      <c r="B383" s="15" t="str">
        <f>IF(A383&lt;&gt;"",IF(A383&lt;='Current Loan'!$B$7*12,'Current Loan'!$B$17,0),"")</f>
        <v/>
      </c>
      <c r="C383" s="15" t="str">
        <f>IF(A383&lt;&gt;"",IF(A383&lt;='Current Loan'!$B$7*12,'Current Loan'!$B$9/12,0),"")</f>
        <v/>
      </c>
      <c r="D383" s="15" t="str">
        <f>IF(A383&lt;&gt;"",IF(A383&lt;='Proposed Loan'!$B$6*12,'Proposed Loan'!$B$17,0),"")</f>
        <v/>
      </c>
      <c r="E383" s="15" t="str">
        <f>IF(A383&lt;&gt;"",IF(A383&lt;='Proposed Loan'!$B$6*12,'Proposed Loan'!$B$13/12,0),"")</f>
        <v/>
      </c>
      <c r="F383" s="15" t="str">
        <f t="shared" si="15"/>
        <v/>
      </c>
      <c r="G383" s="15" t="str">
        <f t="shared" si="17"/>
        <v/>
      </c>
      <c r="H383" s="14" t="str">
        <f t="shared" si="16"/>
        <v/>
      </c>
    </row>
    <row r="384" spans="1:8" ht="21" customHeight="1">
      <c r="A384" s="14" t="str">
        <f>IF(AND('Current Loan'!$B$13,378&lt;=MAX('Current Loan'!B7,'Proposed Loan'!B6)*12),378,"")</f>
        <v/>
      </c>
      <c r="B384" s="15" t="str">
        <f>IF(A384&lt;&gt;"",IF(A384&lt;='Current Loan'!$B$7*12,'Current Loan'!$B$17,0),"")</f>
        <v/>
      </c>
      <c r="C384" s="15" t="str">
        <f>IF(A384&lt;&gt;"",IF(A384&lt;='Current Loan'!$B$7*12,'Current Loan'!$B$9/12,0),"")</f>
        <v/>
      </c>
      <c r="D384" s="15" t="str">
        <f>IF(A384&lt;&gt;"",IF(A384&lt;='Proposed Loan'!$B$6*12,'Proposed Loan'!$B$17,0),"")</f>
        <v/>
      </c>
      <c r="E384" s="15" t="str">
        <f>IF(A384&lt;&gt;"",IF(A384&lt;='Proposed Loan'!$B$6*12,'Proposed Loan'!$B$13/12,0),"")</f>
        <v/>
      </c>
      <c r="F384" s="15" t="str">
        <f t="shared" si="15"/>
        <v/>
      </c>
      <c r="G384" s="15" t="str">
        <f t="shared" si="17"/>
        <v/>
      </c>
      <c r="H384" s="14" t="str">
        <f t="shared" si="16"/>
        <v/>
      </c>
    </row>
    <row r="385" spans="1:8" ht="21" customHeight="1">
      <c r="A385" s="14" t="str">
        <f>IF(AND('Current Loan'!$B$13,379&lt;=MAX('Current Loan'!B7,'Proposed Loan'!B6)*12),379,"")</f>
        <v/>
      </c>
      <c r="B385" s="15" t="str">
        <f>IF(A385&lt;&gt;"",IF(A385&lt;='Current Loan'!$B$7*12,'Current Loan'!$B$17,0),"")</f>
        <v/>
      </c>
      <c r="C385" s="15" t="str">
        <f>IF(A385&lt;&gt;"",IF(A385&lt;='Current Loan'!$B$7*12,'Current Loan'!$B$9/12,0),"")</f>
        <v/>
      </c>
      <c r="D385" s="15" t="str">
        <f>IF(A385&lt;&gt;"",IF(A385&lt;='Proposed Loan'!$B$6*12,'Proposed Loan'!$B$17,0),"")</f>
        <v/>
      </c>
      <c r="E385" s="15" t="str">
        <f>IF(A385&lt;&gt;"",IF(A385&lt;='Proposed Loan'!$B$6*12,'Proposed Loan'!$B$13/12,0),"")</f>
        <v/>
      </c>
      <c r="F385" s="15" t="str">
        <f t="shared" si="15"/>
        <v/>
      </c>
      <c r="G385" s="15" t="str">
        <f t="shared" si="17"/>
        <v/>
      </c>
      <c r="H385" s="14" t="str">
        <f t="shared" si="16"/>
        <v/>
      </c>
    </row>
    <row r="386" spans="1:8" ht="21" customHeight="1">
      <c r="A386" s="14" t="str">
        <f>IF(AND('Current Loan'!$B$13,380&lt;=MAX('Current Loan'!B7,'Proposed Loan'!B6)*12),380,"")</f>
        <v/>
      </c>
      <c r="B386" s="15" t="str">
        <f>IF(A386&lt;&gt;"",IF(A386&lt;='Current Loan'!$B$7*12,'Current Loan'!$B$17,0),"")</f>
        <v/>
      </c>
      <c r="C386" s="15" t="str">
        <f>IF(A386&lt;&gt;"",IF(A386&lt;='Current Loan'!$B$7*12,'Current Loan'!$B$9/12,0),"")</f>
        <v/>
      </c>
      <c r="D386" s="15" t="str">
        <f>IF(A386&lt;&gt;"",IF(A386&lt;='Proposed Loan'!$B$6*12,'Proposed Loan'!$B$17,0),"")</f>
        <v/>
      </c>
      <c r="E386" s="15" t="str">
        <f>IF(A386&lt;&gt;"",IF(A386&lt;='Proposed Loan'!$B$6*12,'Proposed Loan'!$B$13/12,0),"")</f>
        <v/>
      </c>
      <c r="F386" s="15" t="str">
        <f t="shared" si="15"/>
        <v/>
      </c>
      <c r="G386" s="15" t="str">
        <f t="shared" si="17"/>
        <v/>
      </c>
      <c r="H386" s="14" t="str">
        <f t="shared" si="16"/>
        <v/>
      </c>
    </row>
    <row r="387" spans="1:8" ht="21" customHeight="1">
      <c r="A387" s="14" t="str">
        <f>IF(AND('Current Loan'!$B$13,381&lt;=MAX('Current Loan'!B7,'Proposed Loan'!B6)*12),381,"")</f>
        <v/>
      </c>
      <c r="B387" s="15" t="str">
        <f>IF(A387&lt;&gt;"",IF(A387&lt;='Current Loan'!$B$7*12,'Current Loan'!$B$17,0),"")</f>
        <v/>
      </c>
      <c r="C387" s="15" t="str">
        <f>IF(A387&lt;&gt;"",IF(A387&lt;='Current Loan'!$B$7*12,'Current Loan'!$B$9/12,0),"")</f>
        <v/>
      </c>
      <c r="D387" s="15" t="str">
        <f>IF(A387&lt;&gt;"",IF(A387&lt;='Proposed Loan'!$B$6*12,'Proposed Loan'!$B$17,0),"")</f>
        <v/>
      </c>
      <c r="E387" s="15" t="str">
        <f>IF(A387&lt;&gt;"",IF(A387&lt;='Proposed Loan'!$B$6*12,'Proposed Loan'!$B$13/12,0),"")</f>
        <v/>
      </c>
      <c r="F387" s="15" t="str">
        <f t="shared" si="15"/>
        <v/>
      </c>
      <c r="G387" s="15" t="str">
        <f t="shared" si="17"/>
        <v/>
      </c>
      <c r="H387" s="14" t="str">
        <f t="shared" si="16"/>
        <v/>
      </c>
    </row>
    <row r="388" spans="1:8" ht="21" customHeight="1">
      <c r="A388" s="14" t="str">
        <f>IF(AND('Current Loan'!$B$13,382&lt;=MAX('Current Loan'!B7,'Proposed Loan'!B6)*12),382,"")</f>
        <v/>
      </c>
      <c r="B388" s="15" t="str">
        <f>IF(A388&lt;&gt;"",IF(A388&lt;='Current Loan'!$B$7*12,'Current Loan'!$B$17,0),"")</f>
        <v/>
      </c>
      <c r="C388" s="15" t="str">
        <f>IF(A388&lt;&gt;"",IF(A388&lt;='Current Loan'!$B$7*12,'Current Loan'!$B$9/12,0),"")</f>
        <v/>
      </c>
      <c r="D388" s="15" t="str">
        <f>IF(A388&lt;&gt;"",IF(A388&lt;='Proposed Loan'!$B$6*12,'Proposed Loan'!$B$17,0),"")</f>
        <v/>
      </c>
      <c r="E388" s="15" t="str">
        <f>IF(A388&lt;&gt;"",IF(A388&lt;='Proposed Loan'!$B$6*12,'Proposed Loan'!$B$13/12,0),"")</f>
        <v/>
      </c>
      <c r="F388" s="15" t="str">
        <f t="shared" si="15"/>
        <v/>
      </c>
      <c r="G388" s="15" t="str">
        <f t="shared" si="17"/>
        <v/>
      </c>
      <c r="H388" s="14" t="str">
        <f t="shared" si="16"/>
        <v/>
      </c>
    </row>
    <row r="389" spans="1:8" ht="21" customHeight="1">
      <c r="A389" s="14" t="str">
        <f>IF(AND('Current Loan'!$B$13,383&lt;=MAX('Current Loan'!B7,'Proposed Loan'!B6)*12),383,"")</f>
        <v/>
      </c>
      <c r="B389" s="15" t="str">
        <f>IF(A389&lt;&gt;"",IF(A389&lt;='Current Loan'!$B$7*12,'Current Loan'!$B$17,0),"")</f>
        <v/>
      </c>
      <c r="C389" s="15" t="str">
        <f>IF(A389&lt;&gt;"",IF(A389&lt;='Current Loan'!$B$7*12,'Current Loan'!$B$9/12,0),"")</f>
        <v/>
      </c>
      <c r="D389" s="15" t="str">
        <f>IF(A389&lt;&gt;"",IF(A389&lt;='Proposed Loan'!$B$6*12,'Proposed Loan'!$B$17,0),"")</f>
        <v/>
      </c>
      <c r="E389" s="15" t="str">
        <f>IF(A389&lt;&gt;"",IF(A389&lt;='Proposed Loan'!$B$6*12,'Proposed Loan'!$B$13/12,0),"")</f>
        <v/>
      </c>
      <c r="F389" s="15" t="str">
        <f t="shared" si="15"/>
        <v/>
      </c>
      <c r="G389" s="15" t="str">
        <f t="shared" si="17"/>
        <v/>
      </c>
      <c r="H389" s="14" t="str">
        <f t="shared" si="16"/>
        <v/>
      </c>
    </row>
    <row r="390" spans="1:8" ht="21" customHeight="1">
      <c r="A390" s="14" t="str">
        <f>IF(AND('Current Loan'!$B$13,384&lt;=MAX('Current Loan'!B7,'Proposed Loan'!B6)*12),384,"")</f>
        <v/>
      </c>
      <c r="B390" s="15" t="str">
        <f>IF(A390&lt;&gt;"",IF(A390&lt;='Current Loan'!$B$7*12,'Current Loan'!$B$17,0),"")</f>
        <v/>
      </c>
      <c r="C390" s="15" t="str">
        <f>IF(A390&lt;&gt;"",IF(A390&lt;='Current Loan'!$B$7*12,'Current Loan'!$B$9/12,0),"")</f>
        <v/>
      </c>
      <c r="D390" s="15" t="str">
        <f>IF(A390&lt;&gt;"",IF(A390&lt;='Proposed Loan'!$B$6*12,'Proposed Loan'!$B$17,0),"")</f>
        <v/>
      </c>
      <c r="E390" s="15" t="str">
        <f>IF(A390&lt;&gt;"",IF(A390&lt;='Proposed Loan'!$B$6*12,'Proposed Loan'!$B$13/12,0),"")</f>
        <v/>
      </c>
      <c r="F390" s="15" t="str">
        <f t="shared" si="15"/>
        <v/>
      </c>
      <c r="G390" s="15" t="str">
        <f t="shared" si="17"/>
        <v/>
      </c>
      <c r="H390" s="14" t="str">
        <f t="shared" si="16"/>
        <v/>
      </c>
    </row>
    <row r="391" spans="1:8" ht="21" customHeight="1">
      <c r="A391" s="14" t="str">
        <f>IF(AND('Current Loan'!$B$13,385&lt;=MAX('Current Loan'!B7,'Proposed Loan'!B6)*12),385,"")</f>
        <v/>
      </c>
      <c r="B391" s="15" t="str">
        <f>IF(A391&lt;&gt;"",IF(A391&lt;='Current Loan'!$B$7*12,'Current Loan'!$B$17,0),"")</f>
        <v/>
      </c>
      <c r="C391" s="15" t="str">
        <f>IF(A391&lt;&gt;"",IF(A391&lt;='Current Loan'!$B$7*12,'Current Loan'!$B$9/12,0),"")</f>
        <v/>
      </c>
      <c r="D391" s="15" t="str">
        <f>IF(A391&lt;&gt;"",IF(A391&lt;='Proposed Loan'!$B$6*12,'Proposed Loan'!$B$17,0),"")</f>
        <v/>
      </c>
      <c r="E391" s="15" t="str">
        <f>IF(A391&lt;&gt;"",IF(A391&lt;='Proposed Loan'!$B$6*12,'Proposed Loan'!$B$13/12,0),"")</f>
        <v/>
      </c>
      <c r="F391" s="15" t="str">
        <f t="shared" ref="F391:F454" si="18">IF(A391&lt;&gt;"",SUM(B391:C391)-SUM(D391:E391),"")</f>
        <v/>
      </c>
      <c r="G391" s="15" t="str">
        <f t="shared" si="17"/>
        <v/>
      </c>
      <c r="H391" s="14" t="str">
        <f t="shared" ref="H391:H454" si="19">IF(A391&lt;&gt;"",IF(G391&gt;=0,1,0),"")</f>
        <v/>
      </c>
    </row>
    <row r="392" spans="1:8" ht="21" customHeight="1">
      <c r="A392" s="14" t="str">
        <f>IF(AND('Current Loan'!$B$13,386&lt;=MAX('Current Loan'!B7,'Proposed Loan'!B6)*12),386,"")</f>
        <v/>
      </c>
      <c r="B392" s="15" t="str">
        <f>IF(A392&lt;&gt;"",IF(A392&lt;='Current Loan'!$B$7*12,'Current Loan'!$B$17,0),"")</f>
        <v/>
      </c>
      <c r="C392" s="15" t="str">
        <f>IF(A392&lt;&gt;"",IF(A392&lt;='Current Loan'!$B$7*12,'Current Loan'!$B$9/12,0),"")</f>
        <v/>
      </c>
      <c r="D392" s="15" t="str">
        <f>IF(A392&lt;&gt;"",IF(A392&lt;='Proposed Loan'!$B$6*12,'Proposed Loan'!$B$17,0),"")</f>
        <v/>
      </c>
      <c r="E392" s="15" t="str">
        <f>IF(A392&lt;&gt;"",IF(A392&lt;='Proposed Loan'!$B$6*12,'Proposed Loan'!$B$13/12,0),"")</f>
        <v/>
      </c>
      <c r="F392" s="15" t="str">
        <f t="shared" si="18"/>
        <v/>
      </c>
      <c r="G392" s="15" t="str">
        <f t="shared" ref="G392:G455" si="20">IF(A392&lt;&gt;"",G391+F392,"")</f>
        <v/>
      </c>
      <c r="H392" s="14" t="str">
        <f t="shared" si="19"/>
        <v/>
      </c>
    </row>
    <row r="393" spans="1:8" ht="21" customHeight="1">
      <c r="A393" s="14" t="str">
        <f>IF(AND('Current Loan'!$B$13,387&lt;=MAX('Current Loan'!B7,'Proposed Loan'!B6)*12),387,"")</f>
        <v/>
      </c>
      <c r="B393" s="15" t="str">
        <f>IF(A393&lt;&gt;"",IF(A393&lt;='Current Loan'!$B$7*12,'Current Loan'!$B$17,0),"")</f>
        <v/>
      </c>
      <c r="C393" s="15" t="str">
        <f>IF(A393&lt;&gt;"",IF(A393&lt;='Current Loan'!$B$7*12,'Current Loan'!$B$9/12,0),"")</f>
        <v/>
      </c>
      <c r="D393" s="15" t="str">
        <f>IF(A393&lt;&gt;"",IF(A393&lt;='Proposed Loan'!$B$6*12,'Proposed Loan'!$B$17,0),"")</f>
        <v/>
      </c>
      <c r="E393" s="15" t="str">
        <f>IF(A393&lt;&gt;"",IF(A393&lt;='Proposed Loan'!$B$6*12,'Proposed Loan'!$B$13/12,0),"")</f>
        <v/>
      </c>
      <c r="F393" s="15" t="str">
        <f t="shared" si="18"/>
        <v/>
      </c>
      <c r="G393" s="15" t="str">
        <f t="shared" si="20"/>
        <v/>
      </c>
      <c r="H393" s="14" t="str">
        <f t="shared" si="19"/>
        <v/>
      </c>
    </row>
    <row r="394" spans="1:8" ht="21" customHeight="1">
      <c r="A394" s="14" t="str">
        <f>IF(AND('Current Loan'!$B$13,388&lt;=MAX('Current Loan'!B7,'Proposed Loan'!B6)*12),388,"")</f>
        <v/>
      </c>
      <c r="B394" s="15" t="str">
        <f>IF(A394&lt;&gt;"",IF(A394&lt;='Current Loan'!$B$7*12,'Current Loan'!$B$17,0),"")</f>
        <v/>
      </c>
      <c r="C394" s="15" t="str">
        <f>IF(A394&lt;&gt;"",IF(A394&lt;='Current Loan'!$B$7*12,'Current Loan'!$B$9/12,0),"")</f>
        <v/>
      </c>
      <c r="D394" s="15" t="str">
        <f>IF(A394&lt;&gt;"",IF(A394&lt;='Proposed Loan'!$B$6*12,'Proposed Loan'!$B$17,0),"")</f>
        <v/>
      </c>
      <c r="E394" s="15" t="str">
        <f>IF(A394&lt;&gt;"",IF(A394&lt;='Proposed Loan'!$B$6*12,'Proposed Loan'!$B$13/12,0),"")</f>
        <v/>
      </c>
      <c r="F394" s="15" t="str">
        <f t="shared" si="18"/>
        <v/>
      </c>
      <c r="G394" s="15" t="str">
        <f t="shared" si="20"/>
        <v/>
      </c>
      <c r="H394" s="14" t="str">
        <f t="shared" si="19"/>
        <v/>
      </c>
    </row>
    <row r="395" spans="1:8" ht="21" customHeight="1">
      <c r="A395" s="14" t="str">
        <f>IF(AND('Current Loan'!$B$13,389&lt;=MAX('Current Loan'!B7,'Proposed Loan'!B6)*12),389,"")</f>
        <v/>
      </c>
      <c r="B395" s="15" t="str">
        <f>IF(A395&lt;&gt;"",IF(A395&lt;='Current Loan'!$B$7*12,'Current Loan'!$B$17,0),"")</f>
        <v/>
      </c>
      <c r="C395" s="15" t="str">
        <f>IF(A395&lt;&gt;"",IF(A395&lt;='Current Loan'!$B$7*12,'Current Loan'!$B$9/12,0),"")</f>
        <v/>
      </c>
      <c r="D395" s="15" t="str">
        <f>IF(A395&lt;&gt;"",IF(A395&lt;='Proposed Loan'!$B$6*12,'Proposed Loan'!$B$17,0),"")</f>
        <v/>
      </c>
      <c r="E395" s="15" t="str">
        <f>IF(A395&lt;&gt;"",IF(A395&lt;='Proposed Loan'!$B$6*12,'Proposed Loan'!$B$13/12,0),"")</f>
        <v/>
      </c>
      <c r="F395" s="15" t="str">
        <f t="shared" si="18"/>
        <v/>
      </c>
      <c r="G395" s="15" t="str">
        <f t="shared" si="20"/>
        <v/>
      </c>
      <c r="H395" s="14" t="str">
        <f t="shared" si="19"/>
        <v/>
      </c>
    </row>
    <row r="396" spans="1:8" ht="21" customHeight="1">
      <c r="A396" s="14" t="str">
        <f>IF(AND('Current Loan'!$B$13,390&lt;=MAX('Current Loan'!B7,'Proposed Loan'!B6)*12),390,"")</f>
        <v/>
      </c>
      <c r="B396" s="15" t="str">
        <f>IF(A396&lt;&gt;"",IF(A396&lt;='Current Loan'!$B$7*12,'Current Loan'!$B$17,0),"")</f>
        <v/>
      </c>
      <c r="C396" s="15" t="str">
        <f>IF(A396&lt;&gt;"",IF(A396&lt;='Current Loan'!$B$7*12,'Current Loan'!$B$9/12,0),"")</f>
        <v/>
      </c>
      <c r="D396" s="15" t="str">
        <f>IF(A396&lt;&gt;"",IF(A396&lt;='Proposed Loan'!$B$6*12,'Proposed Loan'!$B$17,0),"")</f>
        <v/>
      </c>
      <c r="E396" s="15" t="str">
        <f>IF(A396&lt;&gt;"",IF(A396&lt;='Proposed Loan'!$B$6*12,'Proposed Loan'!$B$13/12,0),"")</f>
        <v/>
      </c>
      <c r="F396" s="15" t="str">
        <f t="shared" si="18"/>
        <v/>
      </c>
      <c r="G396" s="15" t="str">
        <f t="shared" si="20"/>
        <v/>
      </c>
      <c r="H396" s="14" t="str">
        <f t="shared" si="19"/>
        <v/>
      </c>
    </row>
    <row r="397" spans="1:8" ht="21" customHeight="1">
      <c r="A397" s="14" t="str">
        <f>IF(AND('Current Loan'!$B$13,391&lt;=MAX('Current Loan'!B7,'Proposed Loan'!B6)*12),391,"")</f>
        <v/>
      </c>
      <c r="B397" s="15" t="str">
        <f>IF(A397&lt;&gt;"",IF(A397&lt;='Current Loan'!$B$7*12,'Current Loan'!$B$17,0),"")</f>
        <v/>
      </c>
      <c r="C397" s="15" t="str">
        <f>IF(A397&lt;&gt;"",IF(A397&lt;='Current Loan'!$B$7*12,'Current Loan'!$B$9/12,0),"")</f>
        <v/>
      </c>
      <c r="D397" s="15" t="str">
        <f>IF(A397&lt;&gt;"",IF(A397&lt;='Proposed Loan'!$B$6*12,'Proposed Loan'!$B$17,0),"")</f>
        <v/>
      </c>
      <c r="E397" s="15" t="str">
        <f>IF(A397&lt;&gt;"",IF(A397&lt;='Proposed Loan'!$B$6*12,'Proposed Loan'!$B$13/12,0),"")</f>
        <v/>
      </c>
      <c r="F397" s="15" t="str">
        <f t="shared" si="18"/>
        <v/>
      </c>
      <c r="G397" s="15" t="str">
        <f t="shared" si="20"/>
        <v/>
      </c>
      <c r="H397" s="14" t="str">
        <f t="shared" si="19"/>
        <v/>
      </c>
    </row>
    <row r="398" spans="1:8" ht="21" customHeight="1">
      <c r="A398" s="14" t="str">
        <f>IF(AND('Current Loan'!$B$13,392&lt;=MAX('Current Loan'!B7,'Proposed Loan'!B6)*12),392,"")</f>
        <v/>
      </c>
      <c r="B398" s="15" t="str">
        <f>IF(A398&lt;&gt;"",IF(A398&lt;='Current Loan'!$B$7*12,'Current Loan'!$B$17,0),"")</f>
        <v/>
      </c>
      <c r="C398" s="15" t="str">
        <f>IF(A398&lt;&gt;"",IF(A398&lt;='Current Loan'!$B$7*12,'Current Loan'!$B$9/12,0),"")</f>
        <v/>
      </c>
      <c r="D398" s="15" t="str">
        <f>IF(A398&lt;&gt;"",IF(A398&lt;='Proposed Loan'!$B$6*12,'Proposed Loan'!$B$17,0),"")</f>
        <v/>
      </c>
      <c r="E398" s="15" t="str">
        <f>IF(A398&lt;&gt;"",IF(A398&lt;='Proposed Loan'!$B$6*12,'Proposed Loan'!$B$13/12,0),"")</f>
        <v/>
      </c>
      <c r="F398" s="15" t="str">
        <f t="shared" si="18"/>
        <v/>
      </c>
      <c r="G398" s="15" t="str">
        <f t="shared" si="20"/>
        <v/>
      </c>
      <c r="H398" s="14" t="str">
        <f t="shared" si="19"/>
        <v/>
      </c>
    </row>
    <row r="399" spans="1:8" ht="21" customHeight="1">
      <c r="A399" s="14" t="str">
        <f>IF(AND('Current Loan'!$B$13,393&lt;=MAX('Current Loan'!B7,'Proposed Loan'!B6)*12),393,"")</f>
        <v/>
      </c>
      <c r="B399" s="15" t="str">
        <f>IF(A399&lt;&gt;"",IF(A399&lt;='Current Loan'!$B$7*12,'Current Loan'!$B$17,0),"")</f>
        <v/>
      </c>
      <c r="C399" s="15" t="str">
        <f>IF(A399&lt;&gt;"",IF(A399&lt;='Current Loan'!$B$7*12,'Current Loan'!$B$9/12,0),"")</f>
        <v/>
      </c>
      <c r="D399" s="15" t="str">
        <f>IF(A399&lt;&gt;"",IF(A399&lt;='Proposed Loan'!$B$6*12,'Proposed Loan'!$B$17,0),"")</f>
        <v/>
      </c>
      <c r="E399" s="15" t="str">
        <f>IF(A399&lt;&gt;"",IF(A399&lt;='Proposed Loan'!$B$6*12,'Proposed Loan'!$B$13/12,0),"")</f>
        <v/>
      </c>
      <c r="F399" s="15" t="str">
        <f t="shared" si="18"/>
        <v/>
      </c>
      <c r="G399" s="15" t="str">
        <f t="shared" si="20"/>
        <v/>
      </c>
      <c r="H399" s="14" t="str">
        <f t="shared" si="19"/>
        <v/>
      </c>
    </row>
    <row r="400" spans="1:8" ht="21" customHeight="1">
      <c r="A400" s="14" t="str">
        <f>IF(AND('Current Loan'!$B$13,394&lt;=MAX('Current Loan'!B7,'Proposed Loan'!B6)*12),394,"")</f>
        <v/>
      </c>
      <c r="B400" s="15" t="str">
        <f>IF(A400&lt;&gt;"",IF(A400&lt;='Current Loan'!$B$7*12,'Current Loan'!$B$17,0),"")</f>
        <v/>
      </c>
      <c r="C400" s="15" t="str">
        <f>IF(A400&lt;&gt;"",IF(A400&lt;='Current Loan'!$B$7*12,'Current Loan'!$B$9/12,0),"")</f>
        <v/>
      </c>
      <c r="D400" s="15" t="str">
        <f>IF(A400&lt;&gt;"",IF(A400&lt;='Proposed Loan'!$B$6*12,'Proposed Loan'!$B$17,0),"")</f>
        <v/>
      </c>
      <c r="E400" s="15" t="str">
        <f>IF(A400&lt;&gt;"",IF(A400&lt;='Proposed Loan'!$B$6*12,'Proposed Loan'!$B$13/12,0),"")</f>
        <v/>
      </c>
      <c r="F400" s="15" t="str">
        <f t="shared" si="18"/>
        <v/>
      </c>
      <c r="G400" s="15" t="str">
        <f t="shared" si="20"/>
        <v/>
      </c>
      <c r="H400" s="14" t="str">
        <f t="shared" si="19"/>
        <v/>
      </c>
    </row>
    <row r="401" spans="1:8" ht="21" customHeight="1">
      <c r="A401" s="14" t="str">
        <f>IF(AND('Current Loan'!$B$13,395&lt;=MAX('Current Loan'!B7,'Proposed Loan'!B6)*12),395,"")</f>
        <v/>
      </c>
      <c r="B401" s="15" t="str">
        <f>IF(A401&lt;&gt;"",IF(A401&lt;='Current Loan'!$B$7*12,'Current Loan'!$B$17,0),"")</f>
        <v/>
      </c>
      <c r="C401" s="15" t="str">
        <f>IF(A401&lt;&gt;"",IF(A401&lt;='Current Loan'!$B$7*12,'Current Loan'!$B$9/12,0),"")</f>
        <v/>
      </c>
      <c r="D401" s="15" t="str">
        <f>IF(A401&lt;&gt;"",IF(A401&lt;='Proposed Loan'!$B$6*12,'Proposed Loan'!$B$17,0),"")</f>
        <v/>
      </c>
      <c r="E401" s="15" t="str">
        <f>IF(A401&lt;&gt;"",IF(A401&lt;='Proposed Loan'!$B$6*12,'Proposed Loan'!$B$13/12,0),"")</f>
        <v/>
      </c>
      <c r="F401" s="15" t="str">
        <f t="shared" si="18"/>
        <v/>
      </c>
      <c r="G401" s="15" t="str">
        <f t="shared" si="20"/>
        <v/>
      </c>
      <c r="H401" s="14" t="str">
        <f t="shared" si="19"/>
        <v/>
      </c>
    </row>
    <row r="402" spans="1:8" ht="21" customHeight="1">
      <c r="A402" s="14" t="str">
        <f>IF(AND('Current Loan'!$B$13,396&lt;=MAX('Current Loan'!B7,'Proposed Loan'!B6)*12),396,"")</f>
        <v/>
      </c>
      <c r="B402" s="15" t="str">
        <f>IF(A402&lt;&gt;"",IF(A402&lt;='Current Loan'!$B$7*12,'Current Loan'!$B$17,0),"")</f>
        <v/>
      </c>
      <c r="C402" s="15" t="str">
        <f>IF(A402&lt;&gt;"",IF(A402&lt;='Current Loan'!$B$7*12,'Current Loan'!$B$9/12,0),"")</f>
        <v/>
      </c>
      <c r="D402" s="15" t="str">
        <f>IF(A402&lt;&gt;"",IF(A402&lt;='Proposed Loan'!$B$6*12,'Proposed Loan'!$B$17,0),"")</f>
        <v/>
      </c>
      <c r="E402" s="15" t="str">
        <f>IF(A402&lt;&gt;"",IF(A402&lt;='Proposed Loan'!$B$6*12,'Proposed Loan'!$B$13/12,0),"")</f>
        <v/>
      </c>
      <c r="F402" s="15" t="str">
        <f t="shared" si="18"/>
        <v/>
      </c>
      <c r="G402" s="15" t="str">
        <f t="shared" si="20"/>
        <v/>
      </c>
      <c r="H402" s="14" t="str">
        <f t="shared" si="19"/>
        <v/>
      </c>
    </row>
    <row r="403" spans="1:8" ht="21" customHeight="1">
      <c r="A403" s="14" t="str">
        <f>IF(AND('Current Loan'!$B$13,397&lt;=MAX('Current Loan'!B7,'Proposed Loan'!B6)*12),397,"")</f>
        <v/>
      </c>
      <c r="B403" s="15" t="str">
        <f>IF(A403&lt;&gt;"",IF(A403&lt;='Current Loan'!$B$7*12,'Current Loan'!$B$17,0),"")</f>
        <v/>
      </c>
      <c r="C403" s="15" t="str">
        <f>IF(A403&lt;&gt;"",IF(A403&lt;='Current Loan'!$B$7*12,'Current Loan'!$B$9/12,0),"")</f>
        <v/>
      </c>
      <c r="D403" s="15" t="str">
        <f>IF(A403&lt;&gt;"",IF(A403&lt;='Proposed Loan'!$B$6*12,'Proposed Loan'!$B$17,0),"")</f>
        <v/>
      </c>
      <c r="E403" s="15" t="str">
        <f>IF(A403&lt;&gt;"",IF(A403&lt;='Proposed Loan'!$B$6*12,'Proposed Loan'!$B$13/12,0),"")</f>
        <v/>
      </c>
      <c r="F403" s="15" t="str">
        <f t="shared" si="18"/>
        <v/>
      </c>
      <c r="G403" s="15" t="str">
        <f t="shared" si="20"/>
        <v/>
      </c>
      <c r="H403" s="14" t="str">
        <f t="shared" si="19"/>
        <v/>
      </c>
    </row>
    <row r="404" spans="1:8" ht="21" customHeight="1">
      <c r="A404" s="14" t="str">
        <f>IF(AND('Current Loan'!$B$13,398&lt;=MAX('Current Loan'!B7,'Proposed Loan'!B6)*12),398,"")</f>
        <v/>
      </c>
      <c r="B404" s="15" t="str">
        <f>IF(A404&lt;&gt;"",IF(A404&lt;='Current Loan'!$B$7*12,'Current Loan'!$B$17,0),"")</f>
        <v/>
      </c>
      <c r="C404" s="15" t="str">
        <f>IF(A404&lt;&gt;"",IF(A404&lt;='Current Loan'!$B$7*12,'Current Loan'!$B$9/12,0),"")</f>
        <v/>
      </c>
      <c r="D404" s="15" t="str">
        <f>IF(A404&lt;&gt;"",IF(A404&lt;='Proposed Loan'!$B$6*12,'Proposed Loan'!$B$17,0),"")</f>
        <v/>
      </c>
      <c r="E404" s="15" t="str">
        <f>IF(A404&lt;&gt;"",IF(A404&lt;='Proposed Loan'!$B$6*12,'Proposed Loan'!$B$13/12,0),"")</f>
        <v/>
      </c>
      <c r="F404" s="15" t="str">
        <f t="shared" si="18"/>
        <v/>
      </c>
      <c r="G404" s="15" t="str">
        <f t="shared" si="20"/>
        <v/>
      </c>
      <c r="H404" s="14" t="str">
        <f t="shared" si="19"/>
        <v/>
      </c>
    </row>
    <row r="405" spans="1:8" ht="21" customHeight="1">
      <c r="A405" s="14" t="str">
        <f>IF(AND('Current Loan'!$B$13,399&lt;=MAX('Current Loan'!B7,'Proposed Loan'!B6)*12),399,"")</f>
        <v/>
      </c>
      <c r="B405" s="15" t="str">
        <f>IF(A405&lt;&gt;"",IF(A405&lt;='Current Loan'!$B$7*12,'Current Loan'!$B$17,0),"")</f>
        <v/>
      </c>
      <c r="C405" s="15" t="str">
        <f>IF(A405&lt;&gt;"",IF(A405&lt;='Current Loan'!$B$7*12,'Current Loan'!$B$9/12,0),"")</f>
        <v/>
      </c>
      <c r="D405" s="15" t="str">
        <f>IF(A405&lt;&gt;"",IF(A405&lt;='Proposed Loan'!$B$6*12,'Proposed Loan'!$B$17,0),"")</f>
        <v/>
      </c>
      <c r="E405" s="15" t="str">
        <f>IF(A405&lt;&gt;"",IF(A405&lt;='Proposed Loan'!$B$6*12,'Proposed Loan'!$B$13/12,0),"")</f>
        <v/>
      </c>
      <c r="F405" s="15" t="str">
        <f t="shared" si="18"/>
        <v/>
      </c>
      <c r="G405" s="15" t="str">
        <f t="shared" si="20"/>
        <v/>
      </c>
      <c r="H405" s="14" t="str">
        <f t="shared" si="19"/>
        <v/>
      </c>
    </row>
    <row r="406" spans="1:8" ht="21" customHeight="1">
      <c r="A406" s="14" t="str">
        <f>IF(AND('Current Loan'!$B$13,400&lt;=MAX('Current Loan'!B7,'Proposed Loan'!B6)*12),400,"")</f>
        <v/>
      </c>
      <c r="B406" s="15" t="str">
        <f>IF(A406&lt;&gt;"",IF(A406&lt;='Current Loan'!$B$7*12,'Current Loan'!$B$17,0),"")</f>
        <v/>
      </c>
      <c r="C406" s="15" t="str">
        <f>IF(A406&lt;&gt;"",IF(A406&lt;='Current Loan'!$B$7*12,'Current Loan'!$B$9/12,0),"")</f>
        <v/>
      </c>
      <c r="D406" s="15" t="str">
        <f>IF(A406&lt;&gt;"",IF(A406&lt;='Proposed Loan'!$B$6*12,'Proposed Loan'!$B$17,0),"")</f>
        <v/>
      </c>
      <c r="E406" s="15" t="str">
        <f>IF(A406&lt;&gt;"",IF(A406&lt;='Proposed Loan'!$B$6*12,'Proposed Loan'!$B$13/12,0),"")</f>
        <v/>
      </c>
      <c r="F406" s="15" t="str">
        <f t="shared" si="18"/>
        <v/>
      </c>
      <c r="G406" s="15" t="str">
        <f t="shared" si="20"/>
        <v/>
      </c>
      <c r="H406" s="14" t="str">
        <f t="shared" si="19"/>
        <v/>
      </c>
    </row>
    <row r="407" spans="1:8" ht="21" customHeight="1">
      <c r="A407" s="14" t="str">
        <f>IF(AND('Current Loan'!$B$13,401&lt;=MAX('Current Loan'!B7,'Proposed Loan'!B6)*12),401,"")</f>
        <v/>
      </c>
      <c r="B407" s="15" t="str">
        <f>IF(A407&lt;&gt;"",IF(A407&lt;='Current Loan'!$B$7*12,'Current Loan'!$B$17,0),"")</f>
        <v/>
      </c>
      <c r="C407" s="15" t="str">
        <f>IF(A407&lt;&gt;"",IF(A407&lt;='Current Loan'!$B$7*12,'Current Loan'!$B$9/12,0),"")</f>
        <v/>
      </c>
      <c r="D407" s="15" t="str">
        <f>IF(A407&lt;&gt;"",IF(A407&lt;='Proposed Loan'!$B$6*12,'Proposed Loan'!$B$17,0),"")</f>
        <v/>
      </c>
      <c r="E407" s="15" t="str">
        <f>IF(A407&lt;&gt;"",IF(A407&lt;='Proposed Loan'!$B$6*12,'Proposed Loan'!$B$13/12,0),"")</f>
        <v/>
      </c>
      <c r="F407" s="15" t="str">
        <f t="shared" si="18"/>
        <v/>
      </c>
      <c r="G407" s="15" t="str">
        <f t="shared" si="20"/>
        <v/>
      </c>
      <c r="H407" s="14" t="str">
        <f t="shared" si="19"/>
        <v/>
      </c>
    </row>
    <row r="408" spans="1:8" ht="21" customHeight="1">
      <c r="A408" s="14" t="str">
        <f>IF(AND('Current Loan'!$B$13,402&lt;=MAX('Current Loan'!B7,'Proposed Loan'!B6)*12),402,"")</f>
        <v/>
      </c>
      <c r="B408" s="15" t="str">
        <f>IF(A408&lt;&gt;"",IF(A408&lt;='Current Loan'!$B$7*12,'Current Loan'!$B$17,0),"")</f>
        <v/>
      </c>
      <c r="C408" s="15" t="str">
        <f>IF(A408&lt;&gt;"",IF(A408&lt;='Current Loan'!$B$7*12,'Current Loan'!$B$9/12,0),"")</f>
        <v/>
      </c>
      <c r="D408" s="15" t="str">
        <f>IF(A408&lt;&gt;"",IF(A408&lt;='Proposed Loan'!$B$6*12,'Proposed Loan'!$B$17,0),"")</f>
        <v/>
      </c>
      <c r="E408" s="15" t="str">
        <f>IF(A408&lt;&gt;"",IF(A408&lt;='Proposed Loan'!$B$6*12,'Proposed Loan'!$B$13/12,0),"")</f>
        <v/>
      </c>
      <c r="F408" s="15" t="str">
        <f t="shared" si="18"/>
        <v/>
      </c>
      <c r="G408" s="15" t="str">
        <f t="shared" si="20"/>
        <v/>
      </c>
      <c r="H408" s="14" t="str">
        <f t="shared" si="19"/>
        <v/>
      </c>
    </row>
    <row r="409" spans="1:8" ht="21" customHeight="1">
      <c r="A409" s="14" t="str">
        <f>IF(AND('Current Loan'!$B$13,403&lt;=MAX('Current Loan'!B7,'Proposed Loan'!B6)*12),403,"")</f>
        <v/>
      </c>
      <c r="B409" s="15" t="str">
        <f>IF(A409&lt;&gt;"",IF(A409&lt;='Current Loan'!$B$7*12,'Current Loan'!$B$17,0),"")</f>
        <v/>
      </c>
      <c r="C409" s="15" t="str">
        <f>IF(A409&lt;&gt;"",IF(A409&lt;='Current Loan'!$B$7*12,'Current Loan'!$B$9/12,0),"")</f>
        <v/>
      </c>
      <c r="D409" s="15" t="str">
        <f>IF(A409&lt;&gt;"",IF(A409&lt;='Proposed Loan'!$B$6*12,'Proposed Loan'!$B$17,0),"")</f>
        <v/>
      </c>
      <c r="E409" s="15" t="str">
        <f>IF(A409&lt;&gt;"",IF(A409&lt;='Proposed Loan'!$B$6*12,'Proposed Loan'!$B$13/12,0),"")</f>
        <v/>
      </c>
      <c r="F409" s="15" t="str">
        <f t="shared" si="18"/>
        <v/>
      </c>
      <c r="G409" s="15" t="str">
        <f t="shared" si="20"/>
        <v/>
      </c>
      <c r="H409" s="14" t="str">
        <f t="shared" si="19"/>
        <v/>
      </c>
    </row>
    <row r="410" spans="1:8" ht="21" customHeight="1">
      <c r="A410" s="14" t="str">
        <f>IF(AND('Current Loan'!$B$13,404&lt;=MAX('Current Loan'!B7,'Proposed Loan'!B6)*12),404,"")</f>
        <v/>
      </c>
      <c r="B410" s="15" t="str">
        <f>IF(A410&lt;&gt;"",IF(A410&lt;='Current Loan'!$B$7*12,'Current Loan'!$B$17,0),"")</f>
        <v/>
      </c>
      <c r="C410" s="15" t="str">
        <f>IF(A410&lt;&gt;"",IF(A410&lt;='Current Loan'!$B$7*12,'Current Loan'!$B$9/12,0),"")</f>
        <v/>
      </c>
      <c r="D410" s="15" t="str">
        <f>IF(A410&lt;&gt;"",IF(A410&lt;='Proposed Loan'!$B$6*12,'Proposed Loan'!$B$17,0),"")</f>
        <v/>
      </c>
      <c r="E410" s="15" t="str">
        <f>IF(A410&lt;&gt;"",IF(A410&lt;='Proposed Loan'!$B$6*12,'Proposed Loan'!$B$13/12,0),"")</f>
        <v/>
      </c>
      <c r="F410" s="15" t="str">
        <f t="shared" si="18"/>
        <v/>
      </c>
      <c r="G410" s="15" t="str">
        <f t="shared" si="20"/>
        <v/>
      </c>
      <c r="H410" s="14" t="str">
        <f t="shared" si="19"/>
        <v/>
      </c>
    </row>
    <row r="411" spans="1:8" ht="21" customHeight="1">
      <c r="A411" s="14" t="str">
        <f>IF(AND('Current Loan'!$B$13,405&lt;=MAX('Current Loan'!B7,'Proposed Loan'!B6)*12),405,"")</f>
        <v/>
      </c>
      <c r="B411" s="15" t="str">
        <f>IF(A411&lt;&gt;"",IF(A411&lt;='Current Loan'!$B$7*12,'Current Loan'!$B$17,0),"")</f>
        <v/>
      </c>
      <c r="C411" s="15" t="str">
        <f>IF(A411&lt;&gt;"",IF(A411&lt;='Current Loan'!$B$7*12,'Current Loan'!$B$9/12,0),"")</f>
        <v/>
      </c>
      <c r="D411" s="15" t="str">
        <f>IF(A411&lt;&gt;"",IF(A411&lt;='Proposed Loan'!$B$6*12,'Proposed Loan'!$B$17,0),"")</f>
        <v/>
      </c>
      <c r="E411" s="15" t="str">
        <f>IF(A411&lt;&gt;"",IF(A411&lt;='Proposed Loan'!$B$6*12,'Proposed Loan'!$B$13/12,0),"")</f>
        <v/>
      </c>
      <c r="F411" s="15" t="str">
        <f t="shared" si="18"/>
        <v/>
      </c>
      <c r="G411" s="15" t="str">
        <f t="shared" si="20"/>
        <v/>
      </c>
      <c r="H411" s="14" t="str">
        <f t="shared" si="19"/>
        <v/>
      </c>
    </row>
    <row r="412" spans="1:8" ht="21" customHeight="1">
      <c r="A412" s="14" t="str">
        <f>IF(AND('Current Loan'!$B$13,406&lt;=MAX('Current Loan'!B7,'Proposed Loan'!B6)*12),406,"")</f>
        <v/>
      </c>
      <c r="B412" s="15" t="str">
        <f>IF(A412&lt;&gt;"",IF(A412&lt;='Current Loan'!$B$7*12,'Current Loan'!$B$17,0),"")</f>
        <v/>
      </c>
      <c r="C412" s="15" t="str">
        <f>IF(A412&lt;&gt;"",IF(A412&lt;='Current Loan'!$B$7*12,'Current Loan'!$B$9/12,0),"")</f>
        <v/>
      </c>
      <c r="D412" s="15" t="str">
        <f>IF(A412&lt;&gt;"",IF(A412&lt;='Proposed Loan'!$B$6*12,'Proposed Loan'!$B$17,0),"")</f>
        <v/>
      </c>
      <c r="E412" s="15" t="str">
        <f>IF(A412&lt;&gt;"",IF(A412&lt;='Proposed Loan'!$B$6*12,'Proposed Loan'!$B$13/12,0),"")</f>
        <v/>
      </c>
      <c r="F412" s="15" t="str">
        <f t="shared" si="18"/>
        <v/>
      </c>
      <c r="G412" s="15" t="str">
        <f t="shared" si="20"/>
        <v/>
      </c>
      <c r="H412" s="14" t="str">
        <f t="shared" si="19"/>
        <v/>
      </c>
    </row>
    <row r="413" spans="1:8" ht="21" customHeight="1">
      <c r="A413" s="14" t="str">
        <f>IF(AND('Current Loan'!$B$13,407&lt;=MAX('Current Loan'!B7,'Proposed Loan'!B6)*12),407,"")</f>
        <v/>
      </c>
      <c r="B413" s="15" t="str">
        <f>IF(A413&lt;&gt;"",IF(A413&lt;='Current Loan'!$B$7*12,'Current Loan'!$B$17,0),"")</f>
        <v/>
      </c>
      <c r="C413" s="15" t="str">
        <f>IF(A413&lt;&gt;"",IF(A413&lt;='Current Loan'!$B$7*12,'Current Loan'!$B$9/12,0),"")</f>
        <v/>
      </c>
      <c r="D413" s="15" t="str">
        <f>IF(A413&lt;&gt;"",IF(A413&lt;='Proposed Loan'!$B$6*12,'Proposed Loan'!$B$17,0),"")</f>
        <v/>
      </c>
      <c r="E413" s="15" t="str">
        <f>IF(A413&lt;&gt;"",IF(A413&lt;='Proposed Loan'!$B$6*12,'Proposed Loan'!$B$13/12,0),"")</f>
        <v/>
      </c>
      <c r="F413" s="15" t="str">
        <f t="shared" si="18"/>
        <v/>
      </c>
      <c r="G413" s="15" t="str">
        <f t="shared" si="20"/>
        <v/>
      </c>
      <c r="H413" s="14" t="str">
        <f t="shared" si="19"/>
        <v/>
      </c>
    </row>
    <row r="414" spans="1:8" ht="21" customHeight="1">
      <c r="A414" s="14" t="str">
        <f>IF(AND('Current Loan'!$B$13,408&lt;=MAX('Current Loan'!B7,'Proposed Loan'!B6)*12),408,"")</f>
        <v/>
      </c>
      <c r="B414" s="15" t="str">
        <f>IF(A414&lt;&gt;"",IF(A414&lt;='Current Loan'!$B$7*12,'Current Loan'!$B$17,0),"")</f>
        <v/>
      </c>
      <c r="C414" s="15" t="str">
        <f>IF(A414&lt;&gt;"",IF(A414&lt;='Current Loan'!$B$7*12,'Current Loan'!$B$9/12,0),"")</f>
        <v/>
      </c>
      <c r="D414" s="15" t="str">
        <f>IF(A414&lt;&gt;"",IF(A414&lt;='Proposed Loan'!$B$6*12,'Proposed Loan'!$B$17,0),"")</f>
        <v/>
      </c>
      <c r="E414" s="15" t="str">
        <f>IF(A414&lt;&gt;"",IF(A414&lt;='Proposed Loan'!$B$6*12,'Proposed Loan'!$B$13/12,0),"")</f>
        <v/>
      </c>
      <c r="F414" s="15" t="str">
        <f t="shared" si="18"/>
        <v/>
      </c>
      <c r="G414" s="15" t="str">
        <f t="shared" si="20"/>
        <v/>
      </c>
      <c r="H414" s="14" t="str">
        <f t="shared" si="19"/>
        <v/>
      </c>
    </row>
    <row r="415" spans="1:8" ht="21" customHeight="1">
      <c r="A415" s="14" t="str">
        <f>IF(AND('Current Loan'!$B$13,409&lt;=MAX('Current Loan'!B7,'Proposed Loan'!B6)*12),409,"")</f>
        <v/>
      </c>
      <c r="B415" s="15" t="str">
        <f>IF(A415&lt;&gt;"",IF(A415&lt;='Current Loan'!$B$7*12,'Current Loan'!$B$17,0),"")</f>
        <v/>
      </c>
      <c r="C415" s="15" t="str">
        <f>IF(A415&lt;&gt;"",IF(A415&lt;='Current Loan'!$B$7*12,'Current Loan'!$B$9/12,0),"")</f>
        <v/>
      </c>
      <c r="D415" s="15" t="str">
        <f>IF(A415&lt;&gt;"",IF(A415&lt;='Proposed Loan'!$B$6*12,'Proposed Loan'!$B$17,0),"")</f>
        <v/>
      </c>
      <c r="E415" s="15" t="str">
        <f>IF(A415&lt;&gt;"",IF(A415&lt;='Proposed Loan'!$B$6*12,'Proposed Loan'!$B$13/12,0),"")</f>
        <v/>
      </c>
      <c r="F415" s="15" t="str">
        <f t="shared" si="18"/>
        <v/>
      </c>
      <c r="G415" s="15" t="str">
        <f t="shared" si="20"/>
        <v/>
      </c>
      <c r="H415" s="14" t="str">
        <f t="shared" si="19"/>
        <v/>
      </c>
    </row>
    <row r="416" spans="1:8" ht="21" customHeight="1">
      <c r="A416" s="14" t="str">
        <f>IF(AND('Current Loan'!$B$13,410&lt;=MAX('Current Loan'!B7,'Proposed Loan'!B6)*12),410,"")</f>
        <v/>
      </c>
      <c r="B416" s="15" t="str">
        <f>IF(A416&lt;&gt;"",IF(A416&lt;='Current Loan'!$B$7*12,'Current Loan'!$B$17,0),"")</f>
        <v/>
      </c>
      <c r="C416" s="15" t="str">
        <f>IF(A416&lt;&gt;"",IF(A416&lt;='Current Loan'!$B$7*12,'Current Loan'!$B$9/12,0),"")</f>
        <v/>
      </c>
      <c r="D416" s="15" t="str">
        <f>IF(A416&lt;&gt;"",IF(A416&lt;='Proposed Loan'!$B$6*12,'Proposed Loan'!$B$17,0),"")</f>
        <v/>
      </c>
      <c r="E416" s="15" t="str">
        <f>IF(A416&lt;&gt;"",IF(A416&lt;='Proposed Loan'!$B$6*12,'Proposed Loan'!$B$13/12,0),"")</f>
        <v/>
      </c>
      <c r="F416" s="15" t="str">
        <f t="shared" si="18"/>
        <v/>
      </c>
      <c r="G416" s="15" t="str">
        <f t="shared" si="20"/>
        <v/>
      </c>
      <c r="H416" s="14" t="str">
        <f t="shared" si="19"/>
        <v/>
      </c>
    </row>
    <row r="417" spans="1:8" ht="21" customHeight="1">
      <c r="A417" s="14" t="str">
        <f>IF(AND('Current Loan'!$B$13,411&lt;=MAX('Current Loan'!B7,'Proposed Loan'!B6)*12),411,"")</f>
        <v/>
      </c>
      <c r="B417" s="15" t="str">
        <f>IF(A417&lt;&gt;"",IF(A417&lt;='Current Loan'!$B$7*12,'Current Loan'!$B$17,0),"")</f>
        <v/>
      </c>
      <c r="C417" s="15" t="str">
        <f>IF(A417&lt;&gt;"",IF(A417&lt;='Current Loan'!$B$7*12,'Current Loan'!$B$9/12,0),"")</f>
        <v/>
      </c>
      <c r="D417" s="15" t="str">
        <f>IF(A417&lt;&gt;"",IF(A417&lt;='Proposed Loan'!$B$6*12,'Proposed Loan'!$B$17,0),"")</f>
        <v/>
      </c>
      <c r="E417" s="15" t="str">
        <f>IF(A417&lt;&gt;"",IF(A417&lt;='Proposed Loan'!$B$6*12,'Proposed Loan'!$B$13/12,0),"")</f>
        <v/>
      </c>
      <c r="F417" s="15" t="str">
        <f t="shared" si="18"/>
        <v/>
      </c>
      <c r="G417" s="15" t="str">
        <f t="shared" si="20"/>
        <v/>
      </c>
      <c r="H417" s="14" t="str">
        <f t="shared" si="19"/>
        <v/>
      </c>
    </row>
    <row r="418" spans="1:8" ht="21" customHeight="1">
      <c r="A418" s="14" t="str">
        <f>IF(AND('Current Loan'!$B$13,412&lt;=MAX('Current Loan'!B7,'Proposed Loan'!B6)*12),412,"")</f>
        <v/>
      </c>
      <c r="B418" s="15" t="str">
        <f>IF(A418&lt;&gt;"",IF(A418&lt;='Current Loan'!$B$7*12,'Current Loan'!$B$17,0),"")</f>
        <v/>
      </c>
      <c r="C418" s="15" t="str">
        <f>IF(A418&lt;&gt;"",IF(A418&lt;='Current Loan'!$B$7*12,'Current Loan'!$B$9/12,0),"")</f>
        <v/>
      </c>
      <c r="D418" s="15" t="str">
        <f>IF(A418&lt;&gt;"",IF(A418&lt;='Proposed Loan'!$B$6*12,'Proposed Loan'!$B$17,0),"")</f>
        <v/>
      </c>
      <c r="E418" s="15" t="str">
        <f>IF(A418&lt;&gt;"",IF(A418&lt;='Proposed Loan'!$B$6*12,'Proposed Loan'!$B$13/12,0),"")</f>
        <v/>
      </c>
      <c r="F418" s="15" t="str">
        <f t="shared" si="18"/>
        <v/>
      </c>
      <c r="G418" s="15" t="str">
        <f t="shared" si="20"/>
        <v/>
      </c>
      <c r="H418" s="14" t="str">
        <f t="shared" si="19"/>
        <v/>
      </c>
    </row>
    <row r="419" spans="1:8" ht="21" customHeight="1">
      <c r="A419" s="14" t="str">
        <f>IF(AND('Current Loan'!$B$13,413&lt;=MAX('Current Loan'!B7,'Proposed Loan'!B6)*12),413,"")</f>
        <v/>
      </c>
      <c r="B419" s="15" t="str">
        <f>IF(A419&lt;&gt;"",IF(A419&lt;='Current Loan'!$B$7*12,'Current Loan'!$B$17,0),"")</f>
        <v/>
      </c>
      <c r="C419" s="15" t="str">
        <f>IF(A419&lt;&gt;"",IF(A419&lt;='Current Loan'!$B$7*12,'Current Loan'!$B$9/12,0),"")</f>
        <v/>
      </c>
      <c r="D419" s="15" t="str">
        <f>IF(A419&lt;&gt;"",IF(A419&lt;='Proposed Loan'!$B$6*12,'Proposed Loan'!$B$17,0),"")</f>
        <v/>
      </c>
      <c r="E419" s="15" t="str">
        <f>IF(A419&lt;&gt;"",IF(A419&lt;='Proposed Loan'!$B$6*12,'Proposed Loan'!$B$13/12,0),"")</f>
        <v/>
      </c>
      <c r="F419" s="15" t="str">
        <f t="shared" si="18"/>
        <v/>
      </c>
      <c r="G419" s="15" t="str">
        <f t="shared" si="20"/>
        <v/>
      </c>
      <c r="H419" s="14" t="str">
        <f t="shared" si="19"/>
        <v/>
      </c>
    </row>
    <row r="420" spans="1:8" ht="21" customHeight="1">
      <c r="A420" s="14" t="str">
        <f>IF(AND('Current Loan'!$B$13,414&lt;=MAX('Current Loan'!B7,'Proposed Loan'!B6)*12),414,"")</f>
        <v/>
      </c>
      <c r="B420" s="15" t="str">
        <f>IF(A420&lt;&gt;"",IF(A420&lt;='Current Loan'!$B$7*12,'Current Loan'!$B$17,0),"")</f>
        <v/>
      </c>
      <c r="C420" s="15" t="str">
        <f>IF(A420&lt;&gt;"",IF(A420&lt;='Current Loan'!$B$7*12,'Current Loan'!$B$9/12,0),"")</f>
        <v/>
      </c>
      <c r="D420" s="15" t="str">
        <f>IF(A420&lt;&gt;"",IF(A420&lt;='Proposed Loan'!$B$6*12,'Proposed Loan'!$B$17,0),"")</f>
        <v/>
      </c>
      <c r="E420" s="15" t="str">
        <f>IF(A420&lt;&gt;"",IF(A420&lt;='Proposed Loan'!$B$6*12,'Proposed Loan'!$B$13/12,0),"")</f>
        <v/>
      </c>
      <c r="F420" s="15" t="str">
        <f t="shared" si="18"/>
        <v/>
      </c>
      <c r="G420" s="15" t="str">
        <f t="shared" si="20"/>
        <v/>
      </c>
      <c r="H420" s="14" t="str">
        <f t="shared" si="19"/>
        <v/>
      </c>
    </row>
    <row r="421" spans="1:8" ht="21" customHeight="1">
      <c r="A421" s="14" t="str">
        <f>IF(AND('Current Loan'!$B$13,415&lt;=MAX('Current Loan'!B7,'Proposed Loan'!B6)*12),415,"")</f>
        <v/>
      </c>
      <c r="B421" s="15" t="str">
        <f>IF(A421&lt;&gt;"",IF(A421&lt;='Current Loan'!$B$7*12,'Current Loan'!$B$17,0),"")</f>
        <v/>
      </c>
      <c r="C421" s="15" t="str">
        <f>IF(A421&lt;&gt;"",IF(A421&lt;='Current Loan'!$B$7*12,'Current Loan'!$B$9/12,0),"")</f>
        <v/>
      </c>
      <c r="D421" s="15" t="str">
        <f>IF(A421&lt;&gt;"",IF(A421&lt;='Proposed Loan'!$B$6*12,'Proposed Loan'!$B$17,0),"")</f>
        <v/>
      </c>
      <c r="E421" s="15" t="str">
        <f>IF(A421&lt;&gt;"",IF(A421&lt;='Proposed Loan'!$B$6*12,'Proposed Loan'!$B$13/12,0),"")</f>
        <v/>
      </c>
      <c r="F421" s="15" t="str">
        <f t="shared" si="18"/>
        <v/>
      </c>
      <c r="G421" s="15" t="str">
        <f t="shared" si="20"/>
        <v/>
      </c>
      <c r="H421" s="14" t="str">
        <f t="shared" si="19"/>
        <v/>
      </c>
    </row>
    <row r="422" spans="1:8" ht="21" customHeight="1">
      <c r="A422" s="14" t="str">
        <f>IF(AND('Current Loan'!$B$13,416&lt;=MAX('Current Loan'!B7,'Proposed Loan'!B6)*12),416,"")</f>
        <v/>
      </c>
      <c r="B422" s="15" t="str">
        <f>IF(A422&lt;&gt;"",IF(A422&lt;='Current Loan'!$B$7*12,'Current Loan'!$B$17,0),"")</f>
        <v/>
      </c>
      <c r="C422" s="15" t="str">
        <f>IF(A422&lt;&gt;"",IF(A422&lt;='Current Loan'!$B$7*12,'Current Loan'!$B$9/12,0),"")</f>
        <v/>
      </c>
      <c r="D422" s="15" t="str">
        <f>IF(A422&lt;&gt;"",IF(A422&lt;='Proposed Loan'!$B$6*12,'Proposed Loan'!$B$17,0),"")</f>
        <v/>
      </c>
      <c r="E422" s="15" t="str">
        <f>IF(A422&lt;&gt;"",IF(A422&lt;='Proposed Loan'!$B$6*12,'Proposed Loan'!$B$13/12,0),"")</f>
        <v/>
      </c>
      <c r="F422" s="15" t="str">
        <f t="shared" si="18"/>
        <v/>
      </c>
      <c r="G422" s="15" t="str">
        <f t="shared" si="20"/>
        <v/>
      </c>
      <c r="H422" s="14" t="str">
        <f t="shared" si="19"/>
        <v/>
      </c>
    </row>
    <row r="423" spans="1:8" ht="21" customHeight="1">
      <c r="A423" s="14" t="str">
        <f>IF(AND('Current Loan'!$B$13,417&lt;=MAX('Current Loan'!B7,'Proposed Loan'!B6)*12),417,"")</f>
        <v/>
      </c>
      <c r="B423" s="15" t="str">
        <f>IF(A423&lt;&gt;"",IF(A423&lt;='Current Loan'!$B$7*12,'Current Loan'!$B$17,0),"")</f>
        <v/>
      </c>
      <c r="C423" s="15" t="str">
        <f>IF(A423&lt;&gt;"",IF(A423&lt;='Current Loan'!$B$7*12,'Current Loan'!$B$9/12,0),"")</f>
        <v/>
      </c>
      <c r="D423" s="15" t="str">
        <f>IF(A423&lt;&gt;"",IF(A423&lt;='Proposed Loan'!$B$6*12,'Proposed Loan'!$B$17,0),"")</f>
        <v/>
      </c>
      <c r="E423" s="15" t="str">
        <f>IF(A423&lt;&gt;"",IF(A423&lt;='Proposed Loan'!$B$6*12,'Proposed Loan'!$B$13/12,0),"")</f>
        <v/>
      </c>
      <c r="F423" s="15" t="str">
        <f t="shared" si="18"/>
        <v/>
      </c>
      <c r="G423" s="15" t="str">
        <f t="shared" si="20"/>
        <v/>
      </c>
      <c r="H423" s="14" t="str">
        <f t="shared" si="19"/>
        <v/>
      </c>
    </row>
    <row r="424" spans="1:8" ht="21" customHeight="1">
      <c r="A424" s="14" t="str">
        <f>IF(AND('Current Loan'!$B$13,418&lt;=MAX('Current Loan'!B7,'Proposed Loan'!B6)*12),418,"")</f>
        <v/>
      </c>
      <c r="B424" s="15" t="str">
        <f>IF(A424&lt;&gt;"",IF(A424&lt;='Current Loan'!$B$7*12,'Current Loan'!$B$17,0),"")</f>
        <v/>
      </c>
      <c r="C424" s="15" t="str">
        <f>IF(A424&lt;&gt;"",IF(A424&lt;='Current Loan'!$B$7*12,'Current Loan'!$B$9/12,0),"")</f>
        <v/>
      </c>
      <c r="D424" s="15" t="str">
        <f>IF(A424&lt;&gt;"",IF(A424&lt;='Proposed Loan'!$B$6*12,'Proposed Loan'!$B$17,0),"")</f>
        <v/>
      </c>
      <c r="E424" s="15" t="str">
        <f>IF(A424&lt;&gt;"",IF(A424&lt;='Proposed Loan'!$B$6*12,'Proposed Loan'!$B$13/12,0),"")</f>
        <v/>
      </c>
      <c r="F424" s="15" t="str">
        <f t="shared" si="18"/>
        <v/>
      </c>
      <c r="G424" s="15" t="str">
        <f t="shared" si="20"/>
        <v/>
      </c>
      <c r="H424" s="14" t="str">
        <f t="shared" si="19"/>
        <v/>
      </c>
    </row>
    <row r="425" spans="1:8" ht="21" customHeight="1">
      <c r="A425" s="14" t="str">
        <f>IF(AND('Current Loan'!$B$13,419&lt;=MAX('Current Loan'!B7,'Proposed Loan'!B6)*12),419,"")</f>
        <v/>
      </c>
      <c r="B425" s="15" t="str">
        <f>IF(A425&lt;&gt;"",IF(A425&lt;='Current Loan'!$B$7*12,'Current Loan'!$B$17,0),"")</f>
        <v/>
      </c>
      <c r="C425" s="15" t="str">
        <f>IF(A425&lt;&gt;"",IF(A425&lt;='Current Loan'!$B$7*12,'Current Loan'!$B$9/12,0),"")</f>
        <v/>
      </c>
      <c r="D425" s="15" t="str">
        <f>IF(A425&lt;&gt;"",IF(A425&lt;='Proposed Loan'!$B$6*12,'Proposed Loan'!$B$17,0),"")</f>
        <v/>
      </c>
      <c r="E425" s="15" t="str">
        <f>IF(A425&lt;&gt;"",IF(A425&lt;='Proposed Loan'!$B$6*12,'Proposed Loan'!$B$13/12,0),"")</f>
        <v/>
      </c>
      <c r="F425" s="15" t="str">
        <f t="shared" si="18"/>
        <v/>
      </c>
      <c r="G425" s="15" t="str">
        <f t="shared" si="20"/>
        <v/>
      </c>
      <c r="H425" s="14" t="str">
        <f t="shared" si="19"/>
        <v/>
      </c>
    </row>
    <row r="426" spans="1:8" ht="21" customHeight="1">
      <c r="A426" s="14" t="str">
        <f>IF(AND('Current Loan'!$B$13,420&lt;=MAX('Current Loan'!B7,'Proposed Loan'!B6)*12),420,"")</f>
        <v/>
      </c>
      <c r="B426" s="15" t="str">
        <f>IF(A426&lt;&gt;"",IF(A426&lt;='Current Loan'!$B$7*12,'Current Loan'!$B$17,0),"")</f>
        <v/>
      </c>
      <c r="C426" s="15" t="str">
        <f>IF(A426&lt;&gt;"",IF(A426&lt;='Current Loan'!$B$7*12,'Current Loan'!$B$9/12,0),"")</f>
        <v/>
      </c>
      <c r="D426" s="15" t="str">
        <f>IF(A426&lt;&gt;"",IF(A426&lt;='Proposed Loan'!$B$6*12,'Proposed Loan'!$B$17,0),"")</f>
        <v/>
      </c>
      <c r="E426" s="15" t="str">
        <f>IF(A426&lt;&gt;"",IF(A426&lt;='Proposed Loan'!$B$6*12,'Proposed Loan'!$B$13/12,0),"")</f>
        <v/>
      </c>
      <c r="F426" s="15" t="str">
        <f t="shared" si="18"/>
        <v/>
      </c>
      <c r="G426" s="15" t="str">
        <f t="shared" si="20"/>
        <v/>
      </c>
      <c r="H426" s="14" t="str">
        <f t="shared" si="19"/>
        <v/>
      </c>
    </row>
    <row r="427" spans="1:8" ht="21" customHeight="1">
      <c r="A427" s="14" t="str">
        <f>IF(AND('Current Loan'!$B$13,421&lt;=MAX('Current Loan'!B7,'Proposed Loan'!B6)*12),421,"")</f>
        <v/>
      </c>
      <c r="B427" s="15" t="str">
        <f>IF(A427&lt;&gt;"",IF(A427&lt;='Current Loan'!$B$7*12,'Current Loan'!$B$17,0),"")</f>
        <v/>
      </c>
      <c r="C427" s="15" t="str">
        <f>IF(A427&lt;&gt;"",IF(A427&lt;='Current Loan'!$B$7*12,'Current Loan'!$B$9/12,0),"")</f>
        <v/>
      </c>
      <c r="D427" s="15" t="str">
        <f>IF(A427&lt;&gt;"",IF(A427&lt;='Proposed Loan'!$B$6*12,'Proposed Loan'!$B$17,0),"")</f>
        <v/>
      </c>
      <c r="E427" s="15" t="str">
        <f>IF(A427&lt;&gt;"",IF(A427&lt;='Proposed Loan'!$B$6*12,'Proposed Loan'!$B$13/12,0),"")</f>
        <v/>
      </c>
      <c r="F427" s="15" t="str">
        <f t="shared" si="18"/>
        <v/>
      </c>
      <c r="G427" s="15" t="str">
        <f t="shared" si="20"/>
        <v/>
      </c>
      <c r="H427" s="14" t="str">
        <f t="shared" si="19"/>
        <v/>
      </c>
    </row>
    <row r="428" spans="1:8" ht="21" customHeight="1">
      <c r="A428" s="14" t="str">
        <f>IF(AND('Current Loan'!$B$13,422&lt;=MAX('Current Loan'!B7,'Proposed Loan'!B6)*12),422,"")</f>
        <v/>
      </c>
      <c r="B428" s="15" t="str">
        <f>IF(A428&lt;&gt;"",IF(A428&lt;='Current Loan'!$B$7*12,'Current Loan'!$B$17,0),"")</f>
        <v/>
      </c>
      <c r="C428" s="15" t="str">
        <f>IF(A428&lt;&gt;"",IF(A428&lt;='Current Loan'!$B$7*12,'Current Loan'!$B$9/12,0),"")</f>
        <v/>
      </c>
      <c r="D428" s="15" t="str">
        <f>IF(A428&lt;&gt;"",IF(A428&lt;='Proposed Loan'!$B$6*12,'Proposed Loan'!$B$17,0),"")</f>
        <v/>
      </c>
      <c r="E428" s="15" t="str">
        <f>IF(A428&lt;&gt;"",IF(A428&lt;='Proposed Loan'!$B$6*12,'Proposed Loan'!$B$13/12,0),"")</f>
        <v/>
      </c>
      <c r="F428" s="15" t="str">
        <f t="shared" si="18"/>
        <v/>
      </c>
      <c r="G428" s="15" t="str">
        <f t="shared" si="20"/>
        <v/>
      </c>
      <c r="H428" s="14" t="str">
        <f t="shared" si="19"/>
        <v/>
      </c>
    </row>
    <row r="429" spans="1:8" ht="21" customHeight="1">
      <c r="A429" s="14" t="str">
        <f>IF(AND('Current Loan'!$B$13,423&lt;=MAX('Current Loan'!B7,'Proposed Loan'!B6)*12),423,"")</f>
        <v/>
      </c>
      <c r="B429" s="15" t="str">
        <f>IF(A429&lt;&gt;"",IF(A429&lt;='Current Loan'!$B$7*12,'Current Loan'!$B$17,0),"")</f>
        <v/>
      </c>
      <c r="C429" s="15" t="str">
        <f>IF(A429&lt;&gt;"",IF(A429&lt;='Current Loan'!$B$7*12,'Current Loan'!$B$9/12,0),"")</f>
        <v/>
      </c>
      <c r="D429" s="15" t="str">
        <f>IF(A429&lt;&gt;"",IF(A429&lt;='Proposed Loan'!$B$6*12,'Proposed Loan'!$B$17,0),"")</f>
        <v/>
      </c>
      <c r="E429" s="15" t="str">
        <f>IF(A429&lt;&gt;"",IF(A429&lt;='Proposed Loan'!$B$6*12,'Proposed Loan'!$B$13/12,0),"")</f>
        <v/>
      </c>
      <c r="F429" s="15" t="str">
        <f t="shared" si="18"/>
        <v/>
      </c>
      <c r="G429" s="15" t="str">
        <f t="shared" si="20"/>
        <v/>
      </c>
      <c r="H429" s="14" t="str">
        <f t="shared" si="19"/>
        <v/>
      </c>
    </row>
    <row r="430" spans="1:8" ht="21" customHeight="1">
      <c r="A430" s="14" t="str">
        <f>IF(AND('Current Loan'!$B$13,424&lt;=MAX('Current Loan'!B7,'Proposed Loan'!B6)*12),424,"")</f>
        <v/>
      </c>
      <c r="B430" s="15" t="str">
        <f>IF(A430&lt;&gt;"",IF(A430&lt;='Current Loan'!$B$7*12,'Current Loan'!$B$17,0),"")</f>
        <v/>
      </c>
      <c r="C430" s="15" t="str">
        <f>IF(A430&lt;&gt;"",IF(A430&lt;='Current Loan'!$B$7*12,'Current Loan'!$B$9/12,0),"")</f>
        <v/>
      </c>
      <c r="D430" s="15" t="str">
        <f>IF(A430&lt;&gt;"",IF(A430&lt;='Proposed Loan'!$B$6*12,'Proposed Loan'!$B$17,0),"")</f>
        <v/>
      </c>
      <c r="E430" s="15" t="str">
        <f>IF(A430&lt;&gt;"",IF(A430&lt;='Proposed Loan'!$B$6*12,'Proposed Loan'!$B$13/12,0),"")</f>
        <v/>
      </c>
      <c r="F430" s="15" t="str">
        <f t="shared" si="18"/>
        <v/>
      </c>
      <c r="G430" s="15" t="str">
        <f t="shared" si="20"/>
        <v/>
      </c>
      <c r="H430" s="14" t="str">
        <f t="shared" si="19"/>
        <v/>
      </c>
    </row>
    <row r="431" spans="1:8" ht="21" customHeight="1">
      <c r="A431" s="14" t="str">
        <f>IF(AND('Current Loan'!$B$13,425&lt;=MAX('Current Loan'!B7,'Proposed Loan'!B6)*12),425,"")</f>
        <v/>
      </c>
      <c r="B431" s="15" t="str">
        <f>IF(A431&lt;&gt;"",IF(A431&lt;='Current Loan'!$B$7*12,'Current Loan'!$B$17,0),"")</f>
        <v/>
      </c>
      <c r="C431" s="15" t="str">
        <f>IF(A431&lt;&gt;"",IF(A431&lt;='Current Loan'!$B$7*12,'Current Loan'!$B$9/12,0),"")</f>
        <v/>
      </c>
      <c r="D431" s="15" t="str">
        <f>IF(A431&lt;&gt;"",IF(A431&lt;='Proposed Loan'!$B$6*12,'Proposed Loan'!$B$17,0),"")</f>
        <v/>
      </c>
      <c r="E431" s="15" t="str">
        <f>IF(A431&lt;&gt;"",IF(A431&lt;='Proposed Loan'!$B$6*12,'Proposed Loan'!$B$13/12,0),"")</f>
        <v/>
      </c>
      <c r="F431" s="15" t="str">
        <f t="shared" si="18"/>
        <v/>
      </c>
      <c r="G431" s="15" t="str">
        <f t="shared" si="20"/>
        <v/>
      </c>
      <c r="H431" s="14" t="str">
        <f t="shared" si="19"/>
        <v/>
      </c>
    </row>
    <row r="432" spans="1:8" ht="21" customHeight="1">
      <c r="A432" s="14" t="str">
        <f>IF(AND('Current Loan'!$B$13,426&lt;=MAX('Current Loan'!B7,'Proposed Loan'!B6)*12),426,"")</f>
        <v/>
      </c>
      <c r="B432" s="15" t="str">
        <f>IF(A432&lt;&gt;"",IF(A432&lt;='Current Loan'!$B$7*12,'Current Loan'!$B$17,0),"")</f>
        <v/>
      </c>
      <c r="C432" s="15" t="str">
        <f>IF(A432&lt;&gt;"",IF(A432&lt;='Current Loan'!$B$7*12,'Current Loan'!$B$9/12,0),"")</f>
        <v/>
      </c>
      <c r="D432" s="15" t="str">
        <f>IF(A432&lt;&gt;"",IF(A432&lt;='Proposed Loan'!$B$6*12,'Proposed Loan'!$B$17,0),"")</f>
        <v/>
      </c>
      <c r="E432" s="15" t="str">
        <f>IF(A432&lt;&gt;"",IF(A432&lt;='Proposed Loan'!$B$6*12,'Proposed Loan'!$B$13/12,0),"")</f>
        <v/>
      </c>
      <c r="F432" s="15" t="str">
        <f t="shared" si="18"/>
        <v/>
      </c>
      <c r="G432" s="15" t="str">
        <f t="shared" si="20"/>
        <v/>
      </c>
      <c r="H432" s="14" t="str">
        <f t="shared" si="19"/>
        <v/>
      </c>
    </row>
    <row r="433" spans="1:8" ht="21" customHeight="1">
      <c r="A433" s="14" t="str">
        <f>IF(AND('Current Loan'!$B$13,427&lt;=MAX('Current Loan'!B7,'Proposed Loan'!B6)*12),427,"")</f>
        <v/>
      </c>
      <c r="B433" s="15" t="str">
        <f>IF(A433&lt;&gt;"",IF(A433&lt;='Current Loan'!$B$7*12,'Current Loan'!$B$17,0),"")</f>
        <v/>
      </c>
      <c r="C433" s="15" t="str">
        <f>IF(A433&lt;&gt;"",IF(A433&lt;='Current Loan'!$B$7*12,'Current Loan'!$B$9/12,0),"")</f>
        <v/>
      </c>
      <c r="D433" s="15" t="str">
        <f>IF(A433&lt;&gt;"",IF(A433&lt;='Proposed Loan'!$B$6*12,'Proposed Loan'!$B$17,0),"")</f>
        <v/>
      </c>
      <c r="E433" s="15" t="str">
        <f>IF(A433&lt;&gt;"",IF(A433&lt;='Proposed Loan'!$B$6*12,'Proposed Loan'!$B$13/12,0),"")</f>
        <v/>
      </c>
      <c r="F433" s="15" t="str">
        <f t="shared" si="18"/>
        <v/>
      </c>
      <c r="G433" s="15" t="str">
        <f t="shared" si="20"/>
        <v/>
      </c>
      <c r="H433" s="14" t="str">
        <f t="shared" si="19"/>
        <v/>
      </c>
    </row>
    <row r="434" spans="1:8" ht="21" customHeight="1">
      <c r="A434" s="14" t="str">
        <f>IF(AND('Current Loan'!$B$13,428&lt;=MAX('Current Loan'!B7,'Proposed Loan'!B6)*12),428,"")</f>
        <v/>
      </c>
      <c r="B434" s="15" t="str">
        <f>IF(A434&lt;&gt;"",IF(A434&lt;='Current Loan'!$B$7*12,'Current Loan'!$B$17,0),"")</f>
        <v/>
      </c>
      <c r="C434" s="15" t="str">
        <f>IF(A434&lt;&gt;"",IF(A434&lt;='Current Loan'!$B$7*12,'Current Loan'!$B$9/12,0),"")</f>
        <v/>
      </c>
      <c r="D434" s="15" t="str">
        <f>IF(A434&lt;&gt;"",IF(A434&lt;='Proposed Loan'!$B$6*12,'Proposed Loan'!$B$17,0),"")</f>
        <v/>
      </c>
      <c r="E434" s="15" t="str">
        <f>IF(A434&lt;&gt;"",IF(A434&lt;='Proposed Loan'!$B$6*12,'Proposed Loan'!$B$13/12,0),"")</f>
        <v/>
      </c>
      <c r="F434" s="15" t="str">
        <f t="shared" si="18"/>
        <v/>
      </c>
      <c r="G434" s="15" t="str">
        <f t="shared" si="20"/>
        <v/>
      </c>
      <c r="H434" s="14" t="str">
        <f t="shared" si="19"/>
        <v/>
      </c>
    </row>
    <row r="435" spans="1:8" ht="21" customHeight="1">
      <c r="A435" s="14" t="str">
        <f>IF(AND('Current Loan'!$B$13,429&lt;=MAX('Current Loan'!B7,'Proposed Loan'!B6)*12),429,"")</f>
        <v/>
      </c>
      <c r="B435" s="15" t="str">
        <f>IF(A435&lt;&gt;"",IF(A435&lt;='Current Loan'!$B$7*12,'Current Loan'!$B$17,0),"")</f>
        <v/>
      </c>
      <c r="C435" s="15" t="str">
        <f>IF(A435&lt;&gt;"",IF(A435&lt;='Current Loan'!$B$7*12,'Current Loan'!$B$9/12,0),"")</f>
        <v/>
      </c>
      <c r="D435" s="15" t="str">
        <f>IF(A435&lt;&gt;"",IF(A435&lt;='Proposed Loan'!$B$6*12,'Proposed Loan'!$B$17,0),"")</f>
        <v/>
      </c>
      <c r="E435" s="15" t="str">
        <f>IF(A435&lt;&gt;"",IF(A435&lt;='Proposed Loan'!$B$6*12,'Proposed Loan'!$B$13/12,0),"")</f>
        <v/>
      </c>
      <c r="F435" s="15" t="str">
        <f t="shared" si="18"/>
        <v/>
      </c>
      <c r="G435" s="15" t="str">
        <f t="shared" si="20"/>
        <v/>
      </c>
      <c r="H435" s="14" t="str">
        <f t="shared" si="19"/>
        <v/>
      </c>
    </row>
    <row r="436" spans="1:8" ht="21" customHeight="1">
      <c r="A436" s="14" t="str">
        <f>IF(AND('Current Loan'!$B$13,430&lt;=MAX('Current Loan'!B7,'Proposed Loan'!B6)*12),430,"")</f>
        <v/>
      </c>
      <c r="B436" s="15" t="str">
        <f>IF(A436&lt;&gt;"",IF(A436&lt;='Current Loan'!$B$7*12,'Current Loan'!$B$17,0),"")</f>
        <v/>
      </c>
      <c r="C436" s="15" t="str">
        <f>IF(A436&lt;&gt;"",IF(A436&lt;='Current Loan'!$B$7*12,'Current Loan'!$B$9/12,0),"")</f>
        <v/>
      </c>
      <c r="D436" s="15" t="str">
        <f>IF(A436&lt;&gt;"",IF(A436&lt;='Proposed Loan'!$B$6*12,'Proposed Loan'!$B$17,0),"")</f>
        <v/>
      </c>
      <c r="E436" s="15" t="str">
        <f>IF(A436&lt;&gt;"",IF(A436&lt;='Proposed Loan'!$B$6*12,'Proposed Loan'!$B$13/12,0),"")</f>
        <v/>
      </c>
      <c r="F436" s="15" t="str">
        <f t="shared" si="18"/>
        <v/>
      </c>
      <c r="G436" s="15" t="str">
        <f t="shared" si="20"/>
        <v/>
      </c>
      <c r="H436" s="14" t="str">
        <f t="shared" si="19"/>
        <v/>
      </c>
    </row>
    <row r="437" spans="1:8" ht="21" customHeight="1">
      <c r="A437" s="14" t="str">
        <f>IF(AND('Current Loan'!$B$13,431&lt;=MAX('Current Loan'!B7,'Proposed Loan'!B6)*12),431,"")</f>
        <v/>
      </c>
      <c r="B437" s="15" t="str">
        <f>IF(A437&lt;&gt;"",IF(A437&lt;='Current Loan'!$B$7*12,'Current Loan'!$B$17,0),"")</f>
        <v/>
      </c>
      <c r="C437" s="15" t="str">
        <f>IF(A437&lt;&gt;"",IF(A437&lt;='Current Loan'!$B$7*12,'Current Loan'!$B$9/12,0),"")</f>
        <v/>
      </c>
      <c r="D437" s="15" t="str">
        <f>IF(A437&lt;&gt;"",IF(A437&lt;='Proposed Loan'!$B$6*12,'Proposed Loan'!$B$17,0),"")</f>
        <v/>
      </c>
      <c r="E437" s="15" t="str">
        <f>IF(A437&lt;&gt;"",IF(A437&lt;='Proposed Loan'!$B$6*12,'Proposed Loan'!$B$13/12,0),"")</f>
        <v/>
      </c>
      <c r="F437" s="15" t="str">
        <f t="shared" si="18"/>
        <v/>
      </c>
      <c r="G437" s="15" t="str">
        <f t="shared" si="20"/>
        <v/>
      </c>
      <c r="H437" s="14" t="str">
        <f t="shared" si="19"/>
        <v/>
      </c>
    </row>
    <row r="438" spans="1:8" ht="21" customHeight="1">
      <c r="A438" s="14" t="str">
        <f>IF(AND('Current Loan'!$B$13,432&lt;=MAX('Current Loan'!B7,'Proposed Loan'!B6)*12),432,"")</f>
        <v/>
      </c>
      <c r="B438" s="15" t="str">
        <f>IF(A438&lt;&gt;"",IF(A438&lt;='Current Loan'!$B$7*12,'Current Loan'!$B$17,0),"")</f>
        <v/>
      </c>
      <c r="C438" s="15" t="str">
        <f>IF(A438&lt;&gt;"",IF(A438&lt;='Current Loan'!$B$7*12,'Current Loan'!$B$9/12,0),"")</f>
        <v/>
      </c>
      <c r="D438" s="15" t="str">
        <f>IF(A438&lt;&gt;"",IF(A438&lt;='Proposed Loan'!$B$6*12,'Proposed Loan'!$B$17,0),"")</f>
        <v/>
      </c>
      <c r="E438" s="15" t="str">
        <f>IF(A438&lt;&gt;"",IF(A438&lt;='Proposed Loan'!$B$6*12,'Proposed Loan'!$B$13/12,0),"")</f>
        <v/>
      </c>
      <c r="F438" s="15" t="str">
        <f t="shared" si="18"/>
        <v/>
      </c>
      <c r="G438" s="15" t="str">
        <f t="shared" si="20"/>
        <v/>
      </c>
      <c r="H438" s="14" t="str">
        <f t="shared" si="19"/>
        <v/>
      </c>
    </row>
    <row r="439" spans="1:8" ht="21" customHeight="1">
      <c r="A439" s="14" t="str">
        <f>IF(AND('Current Loan'!$B$13,433&lt;=MAX('Current Loan'!B7,'Proposed Loan'!B6)*12),433,"")</f>
        <v/>
      </c>
      <c r="B439" s="15" t="str">
        <f>IF(A439&lt;&gt;"",IF(A439&lt;='Current Loan'!$B$7*12,'Current Loan'!$B$17,0),"")</f>
        <v/>
      </c>
      <c r="C439" s="15" t="str">
        <f>IF(A439&lt;&gt;"",IF(A439&lt;='Current Loan'!$B$7*12,'Current Loan'!$B$9/12,0),"")</f>
        <v/>
      </c>
      <c r="D439" s="15" t="str">
        <f>IF(A439&lt;&gt;"",IF(A439&lt;='Proposed Loan'!$B$6*12,'Proposed Loan'!$B$17,0),"")</f>
        <v/>
      </c>
      <c r="E439" s="15" t="str">
        <f>IF(A439&lt;&gt;"",IF(A439&lt;='Proposed Loan'!$B$6*12,'Proposed Loan'!$B$13/12,0),"")</f>
        <v/>
      </c>
      <c r="F439" s="15" t="str">
        <f t="shared" si="18"/>
        <v/>
      </c>
      <c r="G439" s="15" t="str">
        <f t="shared" si="20"/>
        <v/>
      </c>
      <c r="H439" s="14" t="str">
        <f t="shared" si="19"/>
        <v/>
      </c>
    </row>
    <row r="440" spans="1:8" ht="21" customHeight="1">
      <c r="A440" s="14" t="str">
        <f>IF(AND('Current Loan'!$B$13,434&lt;=MAX('Current Loan'!B7,'Proposed Loan'!B6)*12),434,"")</f>
        <v/>
      </c>
      <c r="B440" s="15" t="str">
        <f>IF(A440&lt;&gt;"",IF(A440&lt;='Current Loan'!$B$7*12,'Current Loan'!$B$17,0),"")</f>
        <v/>
      </c>
      <c r="C440" s="15" t="str">
        <f>IF(A440&lt;&gt;"",IF(A440&lt;='Current Loan'!$B$7*12,'Current Loan'!$B$9/12,0),"")</f>
        <v/>
      </c>
      <c r="D440" s="15" t="str">
        <f>IF(A440&lt;&gt;"",IF(A440&lt;='Proposed Loan'!$B$6*12,'Proposed Loan'!$B$17,0),"")</f>
        <v/>
      </c>
      <c r="E440" s="15" t="str">
        <f>IF(A440&lt;&gt;"",IF(A440&lt;='Proposed Loan'!$B$6*12,'Proposed Loan'!$B$13/12,0),"")</f>
        <v/>
      </c>
      <c r="F440" s="15" t="str">
        <f t="shared" si="18"/>
        <v/>
      </c>
      <c r="G440" s="15" t="str">
        <f t="shared" si="20"/>
        <v/>
      </c>
      <c r="H440" s="14" t="str">
        <f t="shared" si="19"/>
        <v/>
      </c>
    </row>
    <row r="441" spans="1:8" ht="21" customHeight="1">
      <c r="A441" s="14" t="str">
        <f>IF(AND('Current Loan'!$B$13,435&lt;=MAX('Current Loan'!B7,'Proposed Loan'!B6)*12),435,"")</f>
        <v/>
      </c>
      <c r="B441" s="15" t="str">
        <f>IF(A441&lt;&gt;"",IF(A441&lt;='Current Loan'!$B$7*12,'Current Loan'!$B$17,0),"")</f>
        <v/>
      </c>
      <c r="C441" s="15" t="str">
        <f>IF(A441&lt;&gt;"",IF(A441&lt;='Current Loan'!$B$7*12,'Current Loan'!$B$9/12,0),"")</f>
        <v/>
      </c>
      <c r="D441" s="15" t="str">
        <f>IF(A441&lt;&gt;"",IF(A441&lt;='Proposed Loan'!$B$6*12,'Proposed Loan'!$B$17,0),"")</f>
        <v/>
      </c>
      <c r="E441" s="15" t="str">
        <f>IF(A441&lt;&gt;"",IF(A441&lt;='Proposed Loan'!$B$6*12,'Proposed Loan'!$B$13/12,0),"")</f>
        <v/>
      </c>
      <c r="F441" s="15" t="str">
        <f t="shared" si="18"/>
        <v/>
      </c>
      <c r="G441" s="15" t="str">
        <f t="shared" si="20"/>
        <v/>
      </c>
      <c r="H441" s="14" t="str">
        <f t="shared" si="19"/>
        <v/>
      </c>
    </row>
    <row r="442" spans="1:8" ht="21" customHeight="1">
      <c r="A442" s="14" t="str">
        <f>IF(AND('Current Loan'!$B$13,436&lt;=MAX('Current Loan'!B7,'Proposed Loan'!B6)*12),436,"")</f>
        <v/>
      </c>
      <c r="B442" s="15" t="str">
        <f>IF(A442&lt;&gt;"",IF(A442&lt;='Current Loan'!$B$7*12,'Current Loan'!$B$17,0),"")</f>
        <v/>
      </c>
      <c r="C442" s="15" t="str">
        <f>IF(A442&lt;&gt;"",IF(A442&lt;='Current Loan'!$B$7*12,'Current Loan'!$B$9/12,0),"")</f>
        <v/>
      </c>
      <c r="D442" s="15" t="str">
        <f>IF(A442&lt;&gt;"",IF(A442&lt;='Proposed Loan'!$B$6*12,'Proposed Loan'!$B$17,0),"")</f>
        <v/>
      </c>
      <c r="E442" s="15" t="str">
        <f>IF(A442&lt;&gt;"",IF(A442&lt;='Proposed Loan'!$B$6*12,'Proposed Loan'!$B$13/12,0),"")</f>
        <v/>
      </c>
      <c r="F442" s="15" t="str">
        <f t="shared" si="18"/>
        <v/>
      </c>
      <c r="G442" s="15" t="str">
        <f t="shared" si="20"/>
        <v/>
      </c>
      <c r="H442" s="14" t="str">
        <f t="shared" si="19"/>
        <v/>
      </c>
    </row>
    <row r="443" spans="1:8" ht="21" customHeight="1">
      <c r="A443" s="14" t="str">
        <f>IF(AND('Current Loan'!$B$13,437&lt;=MAX('Current Loan'!B7,'Proposed Loan'!B6)*12),437,"")</f>
        <v/>
      </c>
      <c r="B443" s="15" t="str">
        <f>IF(A443&lt;&gt;"",IF(A443&lt;='Current Loan'!$B$7*12,'Current Loan'!$B$17,0),"")</f>
        <v/>
      </c>
      <c r="C443" s="15" t="str">
        <f>IF(A443&lt;&gt;"",IF(A443&lt;='Current Loan'!$B$7*12,'Current Loan'!$B$9/12,0),"")</f>
        <v/>
      </c>
      <c r="D443" s="15" t="str">
        <f>IF(A443&lt;&gt;"",IF(A443&lt;='Proposed Loan'!$B$6*12,'Proposed Loan'!$B$17,0),"")</f>
        <v/>
      </c>
      <c r="E443" s="15" t="str">
        <f>IF(A443&lt;&gt;"",IF(A443&lt;='Proposed Loan'!$B$6*12,'Proposed Loan'!$B$13/12,0),"")</f>
        <v/>
      </c>
      <c r="F443" s="15" t="str">
        <f t="shared" si="18"/>
        <v/>
      </c>
      <c r="G443" s="15" t="str">
        <f t="shared" si="20"/>
        <v/>
      </c>
      <c r="H443" s="14" t="str">
        <f t="shared" si="19"/>
        <v/>
      </c>
    </row>
    <row r="444" spans="1:8" ht="21" customHeight="1">
      <c r="A444" s="14" t="str">
        <f>IF(AND('Current Loan'!$B$13,438&lt;=MAX('Current Loan'!B7,'Proposed Loan'!B6)*12),438,"")</f>
        <v/>
      </c>
      <c r="B444" s="15" t="str">
        <f>IF(A444&lt;&gt;"",IF(A444&lt;='Current Loan'!$B$7*12,'Current Loan'!$B$17,0),"")</f>
        <v/>
      </c>
      <c r="C444" s="15" t="str">
        <f>IF(A444&lt;&gt;"",IF(A444&lt;='Current Loan'!$B$7*12,'Current Loan'!$B$9/12,0),"")</f>
        <v/>
      </c>
      <c r="D444" s="15" t="str">
        <f>IF(A444&lt;&gt;"",IF(A444&lt;='Proposed Loan'!$B$6*12,'Proposed Loan'!$B$17,0),"")</f>
        <v/>
      </c>
      <c r="E444" s="15" t="str">
        <f>IF(A444&lt;&gt;"",IF(A444&lt;='Proposed Loan'!$B$6*12,'Proposed Loan'!$B$13/12,0),"")</f>
        <v/>
      </c>
      <c r="F444" s="15" t="str">
        <f t="shared" si="18"/>
        <v/>
      </c>
      <c r="G444" s="15" t="str">
        <f t="shared" si="20"/>
        <v/>
      </c>
      <c r="H444" s="14" t="str">
        <f t="shared" si="19"/>
        <v/>
      </c>
    </row>
    <row r="445" spans="1:8" ht="21" customHeight="1">
      <c r="A445" s="14" t="str">
        <f>IF(AND('Current Loan'!$B$13,439&lt;=MAX('Current Loan'!B7,'Proposed Loan'!B6)*12),439,"")</f>
        <v/>
      </c>
      <c r="B445" s="15" t="str">
        <f>IF(A445&lt;&gt;"",IF(A445&lt;='Current Loan'!$B$7*12,'Current Loan'!$B$17,0),"")</f>
        <v/>
      </c>
      <c r="C445" s="15" t="str">
        <f>IF(A445&lt;&gt;"",IF(A445&lt;='Current Loan'!$B$7*12,'Current Loan'!$B$9/12,0),"")</f>
        <v/>
      </c>
      <c r="D445" s="15" t="str">
        <f>IF(A445&lt;&gt;"",IF(A445&lt;='Proposed Loan'!$B$6*12,'Proposed Loan'!$B$17,0),"")</f>
        <v/>
      </c>
      <c r="E445" s="15" t="str">
        <f>IF(A445&lt;&gt;"",IF(A445&lt;='Proposed Loan'!$B$6*12,'Proposed Loan'!$B$13/12,0),"")</f>
        <v/>
      </c>
      <c r="F445" s="15" t="str">
        <f t="shared" si="18"/>
        <v/>
      </c>
      <c r="G445" s="15" t="str">
        <f t="shared" si="20"/>
        <v/>
      </c>
      <c r="H445" s="14" t="str">
        <f t="shared" si="19"/>
        <v/>
      </c>
    </row>
    <row r="446" spans="1:8" ht="21" customHeight="1">
      <c r="A446" s="14" t="str">
        <f>IF(AND('Current Loan'!$B$13,440&lt;=MAX('Current Loan'!B7,'Proposed Loan'!B6)*12),440,"")</f>
        <v/>
      </c>
      <c r="B446" s="15" t="str">
        <f>IF(A446&lt;&gt;"",IF(A446&lt;='Current Loan'!$B$7*12,'Current Loan'!$B$17,0),"")</f>
        <v/>
      </c>
      <c r="C446" s="15" t="str">
        <f>IF(A446&lt;&gt;"",IF(A446&lt;='Current Loan'!$B$7*12,'Current Loan'!$B$9/12,0),"")</f>
        <v/>
      </c>
      <c r="D446" s="15" t="str">
        <f>IF(A446&lt;&gt;"",IF(A446&lt;='Proposed Loan'!$B$6*12,'Proposed Loan'!$B$17,0),"")</f>
        <v/>
      </c>
      <c r="E446" s="15" t="str">
        <f>IF(A446&lt;&gt;"",IF(A446&lt;='Proposed Loan'!$B$6*12,'Proposed Loan'!$B$13/12,0),"")</f>
        <v/>
      </c>
      <c r="F446" s="15" t="str">
        <f t="shared" si="18"/>
        <v/>
      </c>
      <c r="G446" s="15" t="str">
        <f t="shared" si="20"/>
        <v/>
      </c>
      <c r="H446" s="14" t="str">
        <f t="shared" si="19"/>
        <v/>
      </c>
    </row>
    <row r="447" spans="1:8" ht="21" customHeight="1">
      <c r="A447" s="14" t="str">
        <f>IF(AND('Current Loan'!$B$13,441&lt;=MAX('Current Loan'!B7,'Proposed Loan'!B6)*12),441,"")</f>
        <v/>
      </c>
      <c r="B447" s="15" t="str">
        <f>IF(A447&lt;&gt;"",IF(A447&lt;='Current Loan'!$B$7*12,'Current Loan'!$B$17,0),"")</f>
        <v/>
      </c>
      <c r="C447" s="15" t="str">
        <f>IF(A447&lt;&gt;"",IF(A447&lt;='Current Loan'!$B$7*12,'Current Loan'!$B$9/12,0),"")</f>
        <v/>
      </c>
      <c r="D447" s="15" t="str">
        <f>IF(A447&lt;&gt;"",IF(A447&lt;='Proposed Loan'!$B$6*12,'Proposed Loan'!$B$17,0),"")</f>
        <v/>
      </c>
      <c r="E447" s="15" t="str">
        <f>IF(A447&lt;&gt;"",IF(A447&lt;='Proposed Loan'!$B$6*12,'Proposed Loan'!$B$13/12,0),"")</f>
        <v/>
      </c>
      <c r="F447" s="15" t="str">
        <f t="shared" si="18"/>
        <v/>
      </c>
      <c r="G447" s="15" t="str">
        <f t="shared" si="20"/>
        <v/>
      </c>
      <c r="H447" s="14" t="str">
        <f t="shared" si="19"/>
        <v/>
      </c>
    </row>
    <row r="448" spans="1:8" ht="21" customHeight="1">
      <c r="A448" s="14" t="str">
        <f>IF(AND('Current Loan'!$B$13,442&lt;=MAX('Current Loan'!B7,'Proposed Loan'!B6)*12),442,"")</f>
        <v/>
      </c>
      <c r="B448" s="15" t="str">
        <f>IF(A448&lt;&gt;"",IF(A448&lt;='Current Loan'!$B$7*12,'Current Loan'!$B$17,0),"")</f>
        <v/>
      </c>
      <c r="C448" s="15" t="str">
        <f>IF(A448&lt;&gt;"",IF(A448&lt;='Current Loan'!$B$7*12,'Current Loan'!$B$9/12,0),"")</f>
        <v/>
      </c>
      <c r="D448" s="15" t="str">
        <f>IF(A448&lt;&gt;"",IF(A448&lt;='Proposed Loan'!$B$6*12,'Proposed Loan'!$B$17,0),"")</f>
        <v/>
      </c>
      <c r="E448" s="15" t="str">
        <f>IF(A448&lt;&gt;"",IF(A448&lt;='Proposed Loan'!$B$6*12,'Proposed Loan'!$B$13/12,0),"")</f>
        <v/>
      </c>
      <c r="F448" s="15" t="str">
        <f t="shared" si="18"/>
        <v/>
      </c>
      <c r="G448" s="15" t="str">
        <f t="shared" si="20"/>
        <v/>
      </c>
      <c r="H448" s="14" t="str">
        <f t="shared" si="19"/>
        <v/>
      </c>
    </row>
    <row r="449" spans="1:8" ht="21" customHeight="1">
      <c r="A449" s="14" t="str">
        <f>IF(AND('Current Loan'!$B$13,443&lt;=MAX('Current Loan'!B7,'Proposed Loan'!B6)*12),443,"")</f>
        <v/>
      </c>
      <c r="B449" s="15" t="str">
        <f>IF(A449&lt;&gt;"",IF(A449&lt;='Current Loan'!$B$7*12,'Current Loan'!$B$17,0),"")</f>
        <v/>
      </c>
      <c r="C449" s="15" t="str">
        <f>IF(A449&lt;&gt;"",IF(A449&lt;='Current Loan'!$B$7*12,'Current Loan'!$B$9/12,0),"")</f>
        <v/>
      </c>
      <c r="D449" s="15" t="str">
        <f>IF(A449&lt;&gt;"",IF(A449&lt;='Proposed Loan'!$B$6*12,'Proposed Loan'!$B$17,0),"")</f>
        <v/>
      </c>
      <c r="E449" s="15" t="str">
        <f>IF(A449&lt;&gt;"",IF(A449&lt;='Proposed Loan'!$B$6*12,'Proposed Loan'!$B$13/12,0),"")</f>
        <v/>
      </c>
      <c r="F449" s="15" t="str">
        <f t="shared" si="18"/>
        <v/>
      </c>
      <c r="G449" s="15" t="str">
        <f t="shared" si="20"/>
        <v/>
      </c>
      <c r="H449" s="14" t="str">
        <f t="shared" si="19"/>
        <v/>
      </c>
    </row>
    <row r="450" spans="1:8" ht="21" customHeight="1">
      <c r="A450" s="14" t="str">
        <f>IF(AND('Current Loan'!$B$13,444&lt;=MAX('Current Loan'!B7,'Proposed Loan'!B6)*12),444,"")</f>
        <v/>
      </c>
      <c r="B450" s="15" t="str">
        <f>IF(A450&lt;&gt;"",IF(A450&lt;='Current Loan'!$B$7*12,'Current Loan'!$B$17,0),"")</f>
        <v/>
      </c>
      <c r="C450" s="15" t="str">
        <f>IF(A450&lt;&gt;"",IF(A450&lt;='Current Loan'!$B$7*12,'Current Loan'!$B$9/12,0),"")</f>
        <v/>
      </c>
      <c r="D450" s="15" t="str">
        <f>IF(A450&lt;&gt;"",IF(A450&lt;='Proposed Loan'!$B$6*12,'Proposed Loan'!$B$17,0),"")</f>
        <v/>
      </c>
      <c r="E450" s="15" t="str">
        <f>IF(A450&lt;&gt;"",IF(A450&lt;='Proposed Loan'!$B$6*12,'Proposed Loan'!$B$13/12,0),"")</f>
        <v/>
      </c>
      <c r="F450" s="15" t="str">
        <f t="shared" si="18"/>
        <v/>
      </c>
      <c r="G450" s="15" t="str">
        <f t="shared" si="20"/>
        <v/>
      </c>
      <c r="H450" s="14" t="str">
        <f t="shared" si="19"/>
        <v/>
      </c>
    </row>
    <row r="451" spans="1:8" ht="21" customHeight="1">
      <c r="A451" s="14" t="str">
        <f>IF(AND('Current Loan'!$B$13,445&lt;=MAX('Current Loan'!B7,'Proposed Loan'!B6)*12),445,"")</f>
        <v/>
      </c>
      <c r="B451" s="15" t="str">
        <f>IF(A451&lt;&gt;"",IF(A451&lt;='Current Loan'!$B$7*12,'Current Loan'!$B$17,0),"")</f>
        <v/>
      </c>
      <c r="C451" s="15" t="str">
        <f>IF(A451&lt;&gt;"",IF(A451&lt;='Current Loan'!$B$7*12,'Current Loan'!$B$9/12,0),"")</f>
        <v/>
      </c>
      <c r="D451" s="15" t="str">
        <f>IF(A451&lt;&gt;"",IF(A451&lt;='Proposed Loan'!$B$6*12,'Proposed Loan'!$B$17,0),"")</f>
        <v/>
      </c>
      <c r="E451" s="15" t="str">
        <f>IF(A451&lt;&gt;"",IF(A451&lt;='Proposed Loan'!$B$6*12,'Proposed Loan'!$B$13/12,0),"")</f>
        <v/>
      </c>
      <c r="F451" s="15" t="str">
        <f t="shared" si="18"/>
        <v/>
      </c>
      <c r="G451" s="15" t="str">
        <f t="shared" si="20"/>
        <v/>
      </c>
      <c r="H451" s="14" t="str">
        <f t="shared" si="19"/>
        <v/>
      </c>
    </row>
    <row r="452" spans="1:8" ht="21" customHeight="1">
      <c r="A452" s="14" t="str">
        <f>IF(AND('Current Loan'!$B$13,446&lt;=MAX('Current Loan'!B7,'Proposed Loan'!B6)*12),446,"")</f>
        <v/>
      </c>
      <c r="B452" s="15" t="str">
        <f>IF(A452&lt;&gt;"",IF(A452&lt;='Current Loan'!$B$7*12,'Current Loan'!$B$17,0),"")</f>
        <v/>
      </c>
      <c r="C452" s="15" t="str">
        <f>IF(A452&lt;&gt;"",IF(A452&lt;='Current Loan'!$B$7*12,'Current Loan'!$B$9/12,0),"")</f>
        <v/>
      </c>
      <c r="D452" s="15" t="str">
        <f>IF(A452&lt;&gt;"",IF(A452&lt;='Proposed Loan'!$B$6*12,'Proposed Loan'!$B$17,0),"")</f>
        <v/>
      </c>
      <c r="E452" s="15" t="str">
        <f>IF(A452&lt;&gt;"",IF(A452&lt;='Proposed Loan'!$B$6*12,'Proposed Loan'!$B$13/12,0),"")</f>
        <v/>
      </c>
      <c r="F452" s="15" t="str">
        <f t="shared" si="18"/>
        <v/>
      </c>
      <c r="G452" s="15" t="str">
        <f t="shared" si="20"/>
        <v/>
      </c>
      <c r="H452" s="14" t="str">
        <f t="shared" si="19"/>
        <v/>
      </c>
    </row>
    <row r="453" spans="1:8" ht="21" customHeight="1">
      <c r="A453" s="14" t="str">
        <f>IF(AND('Current Loan'!$B$13,447&lt;=MAX('Current Loan'!B7,'Proposed Loan'!B6)*12),447,"")</f>
        <v/>
      </c>
      <c r="B453" s="15" t="str">
        <f>IF(A453&lt;&gt;"",IF(A453&lt;='Current Loan'!$B$7*12,'Current Loan'!$B$17,0),"")</f>
        <v/>
      </c>
      <c r="C453" s="15" t="str">
        <f>IF(A453&lt;&gt;"",IF(A453&lt;='Current Loan'!$B$7*12,'Current Loan'!$B$9/12,0),"")</f>
        <v/>
      </c>
      <c r="D453" s="15" t="str">
        <f>IF(A453&lt;&gt;"",IF(A453&lt;='Proposed Loan'!$B$6*12,'Proposed Loan'!$B$17,0),"")</f>
        <v/>
      </c>
      <c r="E453" s="15" t="str">
        <f>IF(A453&lt;&gt;"",IF(A453&lt;='Proposed Loan'!$B$6*12,'Proposed Loan'!$B$13/12,0),"")</f>
        <v/>
      </c>
      <c r="F453" s="15" t="str">
        <f t="shared" si="18"/>
        <v/>
      </c>
      <c r="G453" s="15" t="str">
        <f t="shared" si="20"/>
        <v/>
      </c>
      <c r="H453" s="14" t="str">
        <f t="shared" si="19"/>
        <v/>
      </c>
    </row>
    <row r="454" spans="1:8" ht="21" customHeight="1">
      <c r="A454" s="14" t="str">
        <f>IF(AND('Current Loan'!$B$13,448&lt;=MAX('Current Loan'!B7,'Proposed Loan'!B6)*12),448,"")</f>
        <v/>
      </c>
      <c r="B454" s="15" t="str">
        <f>IF(A454&lt;&gt;"",IF(A454&lt;='Current Loan'!$B$7*12,'Current Loan'!$B$17,0),"")</f>
        <v/>
      </c>
      <c r="C454" s="15" t="str">
        <f>IF(A454&lt;&gt;"",IF(A454&lt;='Current Loan'!$B$7*12,'Current Loan'!$B$9/12,0),"")</f>
        <v/>
      </c>
      <c r="D454" s="15" t="str">
        <f>IF(A454&lt;&gt;"",IF(A454&lt;='Proposed Loan'!$B$6*12,'Proposed Loan'!$B$17,0),"")</f>
        <v/>
      </c>
      <c r="E454" s="15" t="str">
        <f>IF(A454&lt;&gt;"",IF(A454&lt;='Proposed Loan'!$B$6*12,'Proposed Loan'!$B$13/12,0),"")</f>
        <v/>
      </c>
      <c r="F454" s="15" t="str">
        <f t="shared" si="18"/>
        <v/>
      </c>
      <c r="G454" s="15" t="str">
        <f t="shared" si="20"/>
        <v/>
      </c>
      <c r="H454" s="14" t="str">
        <f t="shared" si="19"/>
        <v/>
      </c>
    </row>
    <row r="455" spans="1:8" ht="21" customHeight="1">
      <c r="A455" s="14" t="str">
        <f>IF(AND('Current Loan'!$B$13,449&lt;=MAX('Current Loan'!B7,'Proposed Loan'!B6)*12),449,"")</f>
        <v/>
      </c>
      <c r="B455" s="15" t="str">
        <f>IF(A455&lt;&gt;"",IF(A455&lt;='Current Loan'!$B$7*12,'Current Loan'!$B$17,0),"")</f>
        <v/>
      </c>
      <c r="C455" s="15" t="str">
        <f>IF(A455&lt;&gt;"",IF(A455&lt;='Current Loan'!$B$7*12,'Current Loan'!$B$9/12,0),"")</f>
        <v/>
      </c>
      <c r="D455" s="15" t="str">
        <f>IF(A455&lt;&gt;"",IF(A455&lt;='Proposed Loan'!$B$6*12,'Proposed Loan'!$B$17,0),"")</f>
        <v/>
      </c>
      <c r="E455" s="15" t="str">
        <f>IF(A455&lt;&gt;"",IF(A455&lt;='Proposed Loan'!$B$6*12,'Proposed Loan'!$B$13/12,0),"")</f>
        <v/>
      </c>
      <c r="F455" s="15" t="str">
        <f t="shared" ref="F455:F486" si="21">IF(A455&lt;&gt;"",SUM(B455:C455)-SUM(D455:E455),"")</f>
        <v/>
      </c>
      <c r="G455" s="15" t="str">
        <f t="shared" si="20"/>
        <v/>
      </c>
      <c r="H455" s="14" t="str">
        <f t="shared" ref="H455:H486" si="22">IF(A455&lt;&gt;"",IF(G455&gt;=0,1,0),"")</f>
        <v/>
      </c>
    </row>
    <row r="456" spans="1:8" ht="21" customHeight="1">
      <c r="A456" s="14" t="str">
        <f>IF(AND('Current Loan'!$B$13,450&lt;=MAX('Current Loan'!B7,'Proposed Loan'!B6)*12),450,"")</f>
        <v/>
      </c>
      <c r="B456" s="15" t="str">
        <f>IF(A456&lt;&gt;"",IF(A456&lt;='Current Loan'!$B$7*12,'Current Loan'!$B$17,0),"")</f>
        <v/>
      </c>
      <c r="C456" s="15" t="str">
        <f>IF(A456&lt;&gt;"",IF(A456&lt;='Current Loan'!$B$7*12,'Current Loan'!$B$9/12,0),"")</f>
        <v/>
      </c>
      <c r="D456" s="15" t="str">
        <f>IF(A456&lt;&gt;"",IF(A456&lt;='Proposed Loan'!$B$6*12,'Proposed Loan'!$B$17,0),"")</f>
        <v/>
      </c>
      <c r="E456" s="15" t="str">
        <f>IF(A456&lt;&gt;"",IF(A456&lt;='Proposed Loan'!$B$6*12,'Proposed Loan'!$B$13/12,0),"")</f>
        <v/>
      </c>
      <c r="F456" s="15" t="str">
        <f t="shared" si="21"/>
        <v/>
      </c>
      <c r="G456" s="15" t="str">
        <f t="shared" ref="G456:G486" si="23">IF(A456&lt;&gt;"",G455+F456,"")</f>
        <v/>
      </c>
      <c r="H456" s="14" t="str">
        <f t="shared" si="22"/>
        <v/>
      </c>
    </row>
    <row r="457" spans="1:8" ht="21" customHeight="1">
      <c r="A457" s="14" t="str">
        <f>IF(AND('Current Loan'!$B$13,451&lt;=MAX('Current Loan'!B7,'Proposed Loan'!B6)*12),451,"")</f>
        <v/>
      </c>
      <c r="B457" s="15" t="str">
        <f>IF(A457&lt;&gt;"",IF(A457&lt;='Current Loan'!$B$7*12,'Current Loan'!$B$17,0),"")</f>
        <v/>
      </c>
      <c r="C457" s="15" t="str">
        <f>IF(A457&lt;&gt;"",IF(A457&lt;='Current Loan'!$B$7*12,'Current Loan'!$B$9/12,0),"")</f>
        <v/>
      </c>
      <c r="D457" s="15" t="str">
        <f>IF(A457&lt;&gt;"",IF(A457&lt;='Proposed Loan'!$B$6*12,'Proposed Loan'!$B$17,0),"")</f>
        <v/>
      </c>
      <c r="E457" s="15" t="str">
        <f>IF(A457&lt;&gt;"",IF(A457&lt;='Proposed Loan'!$B$6*12,'Proposed Loan'!$B$13/12,0),"")</f>
        <v/>
      </c>
      <c r="F457" s="15" t="str">
        <f t="shared" si="21"/>
        <v/>
      </c>
      <c r="G457" s="15" t="str">
        <f t="shared" si="23"/>
        <v/>
      </c>
      <c r="H457" s="14" t="str">
        <f t="shared" si="22"/>
        <v/>
      </c>
    </row>
    <row r="458" spans="1:8" ht="21" customHeight="1">
      <c r="A458" s="14" t="str">
        <f>IF(AND('Current Loan'!$B$13,452&lt;=MAX('Current Loan'!B7,'Proposed Loan'!B6)*12),452,"")</f>
        <v/>
      </c>
      <c r="B458" s="15" t="str">
        <f>IF(A458&lt;&gt;"",IF(A458&lt;='Current Loan'!$B$7*12,'Current Loan'!$B$17,0),"")</f>
        <v/>
      </c>
      <c r="C458" s="15" t="str">
        <f>IF(A458&lt;&gt;"",IF(A458&lt;='Current Loan'!$B$7*12,'Current Loan'!$B$9/12,0),"")</f>
        <v/>
      </c>
      <c r="D458" s="15" t="str">
        <f>IF(A458&lt;&gt;"",IF(A458&lt;='Proposed Loan'!$B$6*12,'Proposed Loan'!$B$17,0),"")</f>
        <v/>
      </c>
      <c r="E458" s="15" t="str">
        <f>IF(A458&lt;&gt;"",IF(A458&lt;='Proposed Loan'!$B$6*12,'Proposed Loan'!$B$13/12,0),"")</f>
        <v/>
      </c>
      <c r="F458" s="15" t="str">
        <f t="shared" si="21"/>
        <v/>
      </c>
      <c r="G458" s="15" t="str">
        <f t="shared" si="23"/>
        <v/>
      </c>
      <c r="H458" s="14" t="str">
        <f t="shared" si="22"/>
        <v/>
      </c>
    </row>
    <row r="459" spans="1:8" ht="21" customHeight="1">
      <c r="A459" s="14" t="str">
        <f>IF(AND('Current Loan'!$B$13,453&lt;=MAX('Current Loan'!B7,'Proposed Loan'!B6)*12),453,"")</f>
        <v/>
      </c>
      <c r="B459" s="15" t="str">
        <f>IF(A459&lt;&gt;"",IF(A459&lt;='Current Loan'!$B$7*12,'Current Loan'!$B$17,0),"")</f>
        <v/>
      </c>
      <c r="C459" s="15" t="str">
        <f>IF(A459&lt;&gt;"",IF(A459&lt;='Current Loan'!$B$7*12,'Current Loan'!$B$9/12,0),"")</f>
        <v/>
      </c>
      <c r="D459" s="15" t="str">
        <f>IF(A459&lt;&gt;"",IF(A459&lt;='Proposed Loan'!$B$6*12,'Proposed Loan'!$B$17,0),"")</f>
        <v/>
      </c>
      <c r="E459" s="15" t="str">
        <f>IF(A459&lt;&gt;"",IF(A459&lt;='Proposed Loan'!$B$6*12,'Proposed Loan'!$B$13/12,0),"")</f>
        <v/>
      </c>
      <c r="F459" s="15" t="str">
        <f t="shared" si="21"/>
        <v/>
      </c>
      <c r="G459" s="15" t="str">
        <f t="shared" si="23"/>
        <v/>
      </c>
      <c r="H459" s="14" t="str">
        <f t="shared" si="22"/>
        <v/>
      </c>
    </row>
    <row r="460" spans="1:8" ht="21" customHeight="1">
      <c r="A460" s="14" t="str">
        <f>IF(AND('Current Loan'!$B$13,454&lt;=MAX('Current Loan'!B7,'Proposed Loan'!B6)*12),454,"")</f>
        <v/>
      </c>
      <c r="B460" s="15" t="str">
        <f>IF(A460&lt;&gt;"",IF(A460&lt;='Current Loan'!$B$7*12,'Current Loan'!$B$17,0),"")</f>
        <v/>
      </c>
      <c r="C460" s="15" t="str">
        <f>IF(A460&lt;&gt;"",IF(A460&lt;='Current Loan'!$B$7*12,'Current Loan'!$B$9/12,0),"")</f>
        <v/>
      </c>
      <c r="D460" s="15" t="str">
        <f>IF(A460&lt;&gt;"",IF(A460&lt;='Proposed Loan'!$B$6*12,'Proposed Loan'!$B$17,0),"")</f>
        <v/>
      </c>
      <c r="E460" s="15" t="str">
        <f>IF(A460&lt;&gt;"",IF(A460&lt;='Proposed Loan'!$B$6*12,'Proposed Loan'!$B$13/12,0),"")</f>
        <v/>
      </c>
      <c r="F460" s="15" t="str">
        <f t="shared" si="21"/>
        <v/>
      </c>
      <c r="G460" s="15" t="str">
        <f t="shared" si="23"/>
        <v/>
      </c>
      <c r="H460" s="14" t="str">
        <f t="shared" si="22"/>
        <v/>
      </c>
    </row>
    <row r="461" spans="1:8" ht="21" customHeight="1">
      <c r="A461" s="14" t="str">
        <f>IF(AND('Current Loan'!$B$13,455&lt;=MAX('Current Loan'!B7,'Proposed Loan'!B6)*12),455,"")</f>
        <v/>
      </c>
      <c r="B461" s="15" t="str">
        <f>IF(A461&lt;&gt;"",IF(A461&lt;='Current Loan'!$B$7*12,'Current Loan'!$B$17,0),"")</f>
        <v/>
      </c>
      <c r="C461" s="15" t="str">
        <f>IF(A461&lt;&gt;"",IF(A461&lt;='Current Loan'!$B$7*12,'Current Loan'!$B$9/12,0),"")</f>
        <v/>
      </c>
      <c r="D461" s="15" t="str">
        <f>IF(A461&lt;&gt;"",IF(A461&lt;='Proposed Loan'!$B$6*12,'Proposed Loan'!$B$17,0),"")</f>
        <v/>
      </c>
      <c r="E461" s="15" t="str">
        <f>IF(A461&lt;&gt;"",IF(A461&lt;='Proposed Loan'!$B$6*12,'Proposed Loan'!$B$13/12,0),"")</f>
        <v/>
      </c>
      <c r="F461" s="15" t="str">
        <f t="shared" si="21"/>
        <v/>
      </c>
      <c r="G461" s="15" t="str">
        <f t="shared" si="23"/>
        <v/>
      </c>
      <c r="H461" s="14" t="str">
        <f t="shared" si="22"/>
        <v/>
      </c>
    </row>
    <row r="462" spans="1:8" ht="21" customHeight="1">
      <c r="A462" s="14" t="str">
        <f>IF(AND('Current Loan'!$B$13,456&lt;=MAX('Current Loan'!B7,'Proposed Loan'!B6)*12),456,"")</f>
        <v/>
      </c>
      <c r="B462" s="15" t="str">
        <f>IF(A462&lt;&gt;"",IF(A462&lt;='Current Loan'!$B$7*12,'Current Loan'!$B$17,0),"")</f>
        <v/>
      </c>
      <c r="C462" s="15" t="str">
        <f>IF(A462&lt;&gt;"",IF(A462&lt;='Current Loan'!$B$7*12,'Current Loan'!$B$9/12,0),"")</f>
        <v/>
      </c>
      <c r="D462" s="15" t="str">
        <f>IF(A462&lt;&gt;"",IF(A462&lt;='Proposed Loan'!$B$6*12,'Proposed Loan'!$B$17,0),"")</f>
        <v/>
      </c>
      <c r="E462" s="15" t="str">
        <f>IF(A462&lt;&gt;"",IF(A462&lt;='Proposed Loan'!$B$6*12,'Proposed Loan'!$B$13/12,0),"")</f>
        <v/>
      </c>
      <c r="F462" s="15" t="str">
        <f t="shared" si="21"/>
        <v/>
      </c>
      <c r="G462" s="15" t="str">
        <f t="shared" si="23"/>
        <v/>
      </c>
      <c r="H462" s="14" t="str">
        <f t="shared" si="22"/>
        <v/>
      </c>
    </row>
    <row r="463" spans="1:8" ht="21" customHeight="1">
      <c r="A463" s="14" t="str">
        <f>IF(AND('Current Loan'!$B$13,457&lt;=MAX('Current Loan'!B7,'Proposed Loan'!B6)*12),457,"")</f>
        <v/>
      </c>
      <c r="B463" s="15" t="str">
        <f>IF(A463&lt;&gt;"",IF(A463&lt;='Current Loan'!$B$7*12,'Current Loan'!$B$17,0),"")</f>
        <v/>
      </c>
      <c r="C463" s="15" t="str">
        <f>IF(A463&lt;&gt;"",IF(A463&lt;='Current Loan'!$B$7*12,'Current Loan'!$B$9/12,0),"")</f>
        <v/>
      </c>
      <c r="D463" s="15" t="str">
        <f>IF(A463&lt;&gt;"",IF(A463&lt;='Proposed Loan'!$B$6*12,'Proposed Loan'!$B$17,0),"")</f>
        <v/>
      </c>
      <c r="E463" s="15" t="str">
        <f>IF(A463&lt;&gt;"",IF(A463&lt;='Proposed Loan'!$B$6*12,'Proposed Loan'!$B$13/12,0),"")</f>
        <v/>
      </c>
      <c r="F463" s="15" t="str">
        <f t="shared" si="21"/>
        <v/>
      </c>
      <c r="G463" s="15" t="str">
        <f t="shared" si="23"/>
        <v/>
      </c>
      <c r="H463" s="14" t="str">
        <f t="shared" si="22"/>
        <v/>
      </c>
    </row>
    <row r="464" spans="1:8" ht="21" customHeight="1">
      <c r="A464" s="14" t="str">
        <f>IF(AND('Current Loan'!$B$13,458&lt;=MAX('Current Loan'!B7,'Proposed Loan'!B6)*12),458,"")</f>
        <v/>
      </c>
      <c r="B464" s="15" t="str">
        <f>IF(A464&lt;&gt;"",IF(A464&lt;='Current Loan'!$B$7*12,'Current Loan'!$B$17,0),"")</f>
        <v/>
      </c>
      <c r="C464" s="15" t="str">
        <f>IF(A464&lt;&gt;"",IF(A464&lt;='Current Loan'!$B$7*12,'Current Loan'!$B$9/12,0),"")</f>
        <v/>
      </c>
      <c r="D464" s="15" t="str">
        <f>IF(A464&lt;&gt;"",IF(A464&lt;='Proposed Loan'!$B$6*12,'Proposed Loan'!$B$17,0),"")</f>
        <v/>
      </c>
      <c r="E464" s="15" t="str">
        <f>IF(A464&lt;&gt;"",IF(A464&lt;='Proposed Loan'!$B$6*12,'Proposed Loan'!$B$13/12,0),"")</f>
        <v/>
      </c>
      <c r="F464" s="15" t="str">
        <f t="shared" si="21"/>
        <v/>
      </c>
      <c r="G464" s="15" t="str">
        <f t="shared" si="23"/>
        <v/>
      </c>
      <c r="H464" s="14" t="str">
        <f t="shared" si="22"/>
        <v/>
      </c>
    </row>
    <row r="465" spans="1:8" ht="21" customHeight="1">
      <c r="A465" s="14" t="str">
        <f>IF(AND('Current Loan'!$B$13,459&lt;=MAX('Current Loan'!B7,'Proposed Loan'!B6)*12),459,"")</f>
        <v/>
      </c>
      <c r="B465" s="15" t="str">
        <f>IF(A465&lt;&gt;"",IF(A465&lt;='Current Loan'!$B$7*12,'Current Loan'!$B$17,0),"")</f>
        <v/>
      </c>
      <c r="C465" s="15" t="str">
        <f>IF(A465&lt;&gt;"",IF(A465&lt;='Current Loan'!$B$7*12,'Current Loan'!$B$9/12,0),"")</f>
        <v/>
      </c>
      <c r="D465" s="15" t="str">
        <f>IF(A465&lt;&gt;"",IF(A465&lt;='Proposed Loan'!$B$6*12,'Proposed Loan'!$B$17,0),"")</f>
        <v/>
      </c>
      <c r="E465" s="15" t="str">
        <f>IF(A465&lt;&gt;"",IF(A465&lt;='Proposed Loan'!$B$6*12,'Proposed Loan'!$B$13/12,0),"")</f>
        <v/>
      </c>
      <c r="F465" s="15" t="str">
        <f t="shared" si="21"/>
        <v/>
      </c>
      <c r="G465" s="15" t="str">
        <f t="shared" si="23"/>
        <v/>
      </c>
      <c r="H465" s="14" t="str">
        <f t="shared" si="22"/>
        <v/>
      </c>
    </row>
    <row r="466" spans="1:8" ht="21" customHeight="1">
      <c r="A466" s="14" t="str">
        <f>IF(AND('Current Loan'!$B$13,460&lt;=MAX('Current Loan'!B7,'Proposed Loan'!B6)*12),460,"")</f>
        <v/>
      </c>
      <c r="B466" s="15" t="str">
        <f>IF(A466&lt;&gt;"",IF(A466&lt;='Current Loan'!$B$7*12,'Current Loan'!$B$17,0),"")</f>
        <v/>
      </c>
      <c r="C466" s="15" t="str">
        <f>IF(A466&lt;&gt;"",IF(A466&lt;='Current Loan'!$B$7*12,'Current Loan'!$B$9/12,0),"")</f>
        <v/>
      </c>
      <c r="D466" s="15" t="str">
        <f>IF(A466&lt;&gt;"",IF(A466&lt;='Proposed Loan'!$B$6*12,'Proposed Loan'!$B$17,0),"")</f>
        <v/>
      </c>
      <c r="E466" s="15" t="str">
        <f>IF(A466&lt;&gt;"",IF(A466&lt;='Proposed Loan'!$B$6*12,'Proposed Loan'!$B$13/12,0),"")</f>
        <v/>
      </c>
      <c r="F466" s="15" t="str">
        <f t="shared" si="21"/>
        <v/>
      </c>
      <c r="G466" s="15" t="str">
        <f t="shared" si="23"/>
        <v/>
      </c>
      <c r="H466" s="14" t="str">
        <f t="shared" si="22"/>
        <v/>
      </c>
    </row>
    <row r="467" spans="1:8" ht="21" customHeight="1">
      <c r="A467" s="14" t="str">
        <f>IF(AND('Current Loan'!$B$13,461&lt;=MAX('Current Loan'!B7,'Proposed Loan'!B6)*12),461,"")</f>
        <v/>
      </c>
      <c r="B467" s="15" t="str">
        <f>IF(A467&lt;&gt;"",IF(A467&lt;='Current Loan'!$B$7*12,'Current Loan'!$B$17,0),"")</f>
        <v/>
      </c>
      <c r="C467" s="15" t="str">
        <f>IF(A467&lt;&gt;"",IF(A467&lt;='Current Loan'!$B$7*12,'Current Loan'!$B$9/12,0),"")</f>
        <v/>
      </c>
      <c r="D467" s="15" t="str">
        <f>IF(A467&lt;&gt;"",IF(A467&lt;='Proposed Loan'!$B$6*12,'Proposed Loan'!$B$17,0),"")</f>
        <v/>
      </c>
      <c r="E467" s="15" t="str">
        <f>IF(A467&lt;&gt;"",IF(A467&lt;='Proposed Loan'!$B$6*12,'Proposed Loan'!$B$13/12,0),"")</f>
        <v/>
      </c>
      <c r="F467" s="15" t="str">
        <f t="shared" si="21"/>
        <v/>
      </c>
      <c r="G467" s="15" t="str">
        <f t="shared" si="23"/>
        <v/>
      </c>
      <c r="H467" s="14" t="str">
        <f t="shared" si="22"/>
        <v/>
      </c>
    </row>
    <row r="468" spans="1:8" ht="21" customHeight="1">
      <c r="A468" s="14" t="str">
        <f>IF(AND('Current Loan'!$B$13,462&lt;=MAX('Current Loan'!B7,'Proposed Loan'!B6)*12),462,"")</f>
        <v/>
      </c>
      <c r="B468" s="15" t="str">
        <f>IF(A468&lt;&gt;"",IF(A468&lt;='Current Loan'!$B$7*12,'Current Loan'!$B$17,0),"")</f>
        <v/>
      </c>
      <c r="C468" s="15" t="str">
        <f>IF(A468&lt;&gt;"",IF(A468&lt;='Current Loan'!$B$7*12,'Current Loan'!$B$9/12,0),"")</f>
        <v/>
      </c>
      <c r="D468" s="15" t="str">
        <f>IF(A468&lt;&gt;"",IF(A468&lt;='Proposed Loan'!$B$6*12,'Proposed Loan'!$B$17,0),"")</f>
        <v/>
      </c>
      <c r="E468" s="15" t="str">
        <f>IF(A468&lt;&gt;"",IF(A468&lt;='Proposed Loan'!$B$6*12,'Proposed Loan'!$B$13/12,0),"")</f>
        <v/>
      </c>
      <c r="F468" s="15" t="str">
        <f t="shared" si="21"/>
        <v/>
      </c>
      <c r="G468" s="15" t="str">
        <f t="shared" si="23"/>
        <v/>
      </c>
      <c r="H468" s="14" t="str">
        <f t="shared" si="22"/>
        <v/>
      </c>
    </row>
    <row r="469" spans="1:8" ht="21" customHeight="1">
      <c r="A469" s="14" t="str">
        <f>IF(AND('Current Loan'!$B$13,463&lt;=MAX('Current Loan'!B7,'Proposed Loan'!B6)*12),463,"")</f>
        <v/>
      </c>
      <c r="B469" s="15" t="str">
        <f>IF(A469&lt;&gt;"",IF(A469&lt;='Current Loan'!$B$7*12,'Current Loan'!$B$17,0),"")</f>
        <v/>
      </c>
      <c r="C469" s="15" t="str">
        <f>IF(A469&lt;&gt;"",IF(A469&lt;='Current Loan'!$B$7*12,'Current Loan'!$B$9/12,0),"")</f>
        <v/>
      </c>
      <c r="D469" s="15" t="str">
        <f>IF(A469&lt;&gt;"",IF(A469&lt;='Proposed Loan'!$B$6*12,'Proposed Loan'!$B$17,0),"")</f>
        <v/>
      </c>
      <c r="E469" s="15" t="str">
        <f>IF(A469&lt;&gt;"",IF(A469&lt;='Proposed Loan'!$B$6*12,'Proposed Loan'!$B$13/12,0),"")</f>
        <v/>
      </c>
      <c r="F469" s="15" t="str">
        <f t="shared" si="21"/>
        <v/>
      </c>
      <c r="G469" s="15" t="str">
        <f t="shared" si="23"/>
        <v/>
      </c>
      <c r="H469" s="14" t="str">
        <f t="shared" si="22"/>
        <v/>
      </c>
    </row>
    <row r="470" spans="1:8" ht="21" customHeight="1">
      <c r="A470" s="14" t="str">
        <f>IF(AND('Current Loan'!$B$13,464&lt;=MAX('Current Loan'!B7,'Proposed Loan'!B6)*12),464,"")</f>
        <v/>
      </c>
      <c r="B470" s="15" t="str">
        <f>IF(A470&lt;&gt;"",IF(A470&lt;='Current Loan'!$B$7*12,'Current Loan'!$B$17,0),"")</f>
        <v/>
      </c>
      <c r="C470" s="15" t="str">
        <f>IF(A470&lt;&gt;"",IF(A470&lt;='Current Loan'!$B$7*12,'Current Loan'!$B$9/12,0),"")</f>
        <v/>
      </c>
      <c r="D470" s="15" t="str">
        <f>IF(A470&lt;&gt;"",IF(A470&lt;='Proposed Loan'!$B$6*12,'Proposed Loan'!$B$17,0),"")</f>
        <v/>
      </c>
      <c r="E470" s="15" t="str">
        <f>IF(A470&lt;&gt;"",IF(A470&lt;='Proposed Loan'!$B$6*12,'Proposed Loan'!$B$13/12,0),"")</f>
        <v/>
      </c>
      <c r="F470" s="15" t="str">
        <f t="shared" si="21"/>
        <v/>
      </c>
      <c r="G470" s="15" t="str">
        <f t="shared" si="23"/>
        <v/>
      </c>
      <c r="H470" s="14" t="str">
        <f t="shared" si="22"/>
        <v/>
      </c>
    </row>
    <row r="471" spans="1:8" ht="21" customHeight="1">
      <c r="A471" s="14" t="str">
        <f>IF(AND('Current Loan'!$B$13,465&lt;=MAX('Current Loan'!B7,'Proposed Loan'!B6)*12),465,"")</f>
        <v/>
      </c>
      <c r="B471" s="15" t="str">
        <f>IF(A471&lt;&gt;"",IF(A471&lt;='Current Loan'!$B$7*12,'Current Loan'!$B$17,0),"")</f>
        <v/>
      </c>
      <c r="C471" s="15" t="str">
        <f>IF(A471&lt;&gt;"",IF(A471&lt;='Current Loan'!$B$7*12,'Current Loan'!$B$9/12,0),"")</f>
        <v/>
      </c>
      <c r="D471" s="15" t="str">
        <f>IF(A471&lt;&gt;"",IF(A471&lt;='Proposed Loan'!$B$6*12,'Proposed Loan'!$B$17,0),"")</f>
        <v/>
      </c>
      <c r="E471" s="15" t="str">
        <f>IF(A471&lt;&gt;"",IF(A471&lt;='Proposed Loan'!$B$6*12,'Proposed Loan'!$B$13/12,0),"")</f>
        <v/>
      </c>
      <c r="F471" s="15" t="str">
        <f t="shared" si="21"/>
        <v/>
      </c>
      <c r="G471" s="15" t="str">
        <f t="shared" si="23"/>
        <v/>
      </c>
      <c r="H471" s="14" t="str">
        <f t="shared" si="22"/>
        <v/>
      </c>
    </row>
    <row r="472" spans="1:8" ht="21" customHeight="1">
      <c r="A472" s="14" t="str">
        <f>IF(AND('Current Loan'!$B$13,466&lt;=MAX('Current Loan'!B7,'Proposed Loan'!B6)*12),466,"")</f>
        <v/>
      </c>
      <c r="B472" s="15" t="str">
        <f>IF(A472&lt;&gt;"",IF(A472&lt;='Current Loan'!$B$7*12,'Current Loan'!$B$17,0),"")</f>
        <v/>
      </c>
      <c r="C472" s="15" t="str">
        <f>IF(A472&lt;&gt;"",IF(A472&lt;='Current Loan'!$B$7*12,'Current Loan'!$B$9/12,0),"")</f>
        <v/>
      </c>
      <c r="D472" s="15" t="str">
        <f>IF(A472&lt;&gt;"",IF(A472&lt;='Proposed Loan'!$B$6*12,'Proposed Loan'!$B$17,0),"")</f>
        <v/>
      </c>
      <c r="E472" s="15" t="str">
        <f>IF(A472&lt;&gt;"",IF(A472&lt;='Proposed Loan'!$B$6*12,'Proposed Loan'!$B$13/12,0),"")</f>
        <v/>
      </c>
      <c r="F472" s="15" t="str">
        <f t="shared" si="21"/>
        <v/>
      </c>
      <c r="G472" s="15" t="str">
        <f t="shared" si="23"/>
        <v/>
      </c>
      <c r="H472" s="14" t="str">
        <f t="shared" si="22"/>
        <v/>
      </c>
    </row>
    <row r="473" spans="1:8" ht="21" customHeight="1">
      <c r="A473" s="14" t="str">
        <f>IF(AND('Current Loan'!$B$13,467&lt;=MAX('Current Loan'!B7,'Proposed Loan'!B6)*12),467,"")</f>
        <v/>
      </c>
      <c r="B473" s="15" t="str">
        <f>IF(A473&lt;&gt;"",IF(A473&lt;='Current Loan'!$B$7*12,'Current Loan'!$B$17,0),"")</f>
        <v/>
      </c>
      <c r="C473" s="15" t="str">
        <f>IF(A473&lt;&gt;"",IF(A473&lt;='Current Loan'!$B$7*12,'Current Loan'!$B$9/12,0),"")</f>
        <v/>
      </c>
      <c r="D473" s="15" t="str">
        <f>IF(A473&lt;&gt;"",IF(A473&lt;='Proposed Loan'!$B$6*12,'Proposed Loan'!$B$17,0),"")</f>
        <v/>
      </c>
      <c r="E473" s="15" t="str">
        <f>IF(A473&lt;&gt;"",IF(A473&lt;='Proposed Loan'!$B$6*12,'Proposed Loan'!$B$13/12,0),"")</f>
        <v/>
      </c>
      <c r="F473" s="15" t="str">
        <f t="shared" si="21"/>
        <v/>
      </c>
      <c r="G473" s="15" t="str">
        <f t="shared" si="23"/>
        <v/>
      </c>
      <c r="H473" s="14" t="str">
        <f t="shared" si="22"/>
        <v/>
      </c>
    </row>
    <row r="474" spans="1:8" ht="21" customHeight="1">
      <c r="A474" s="14" t="str">
        <f>IF(AND('Current Loan'!$B$13,468&lt;=MAX('Current Loan'!B7,'Proposed Loan'!B6)*12),468,"")</f>
        <v/>
      </c>
      <c r="B474" s="15" t="str">
        <f>IF(A474&lt;&gt;"",IF(A474&lt;='Current Loan'!$B$7*12,'Current Loan'!$B$17,0),"")</f>
        <v/>
      </c>
      <c r="C474" s="15" t="str">
        <f>IF(A474&lt;&gt;"",IF(A474&lt;='Current Loan'!$B$7*12,'Current Loan'!$B$9/12,0),"")</f>
        <v/>
      </c>
      <c r="D474" s="15" t="str">
        <f>IF(A474&lt;&gt;"",IF(A474&lt;='Proposed Loan'!$B$6*12,'Proposed Loan'!$B$17,0),"")</f>
        <v/>
      </c>
      <c r="E474" s="15" t="str">
        <f>IF(A474&lt;&gt;"",IF(A474&lt;='Proposed Loan'!$B$6*12,'Proposed Loan'!$B$13/12,0),"")</f>
        <v/>
      </c>
      <c r="F474" s="15" t="str">
        <f t="shared" si="21"/>
        <v/>
      </c>
      <c r="G474" s="15" t="str">
        <f t="shared" si="23"/>
        <v/>
      </c>
      <c r="H474" s="14" t="str">
        <f t="shared" si="22"/>
        <v/>
      </c>
    </row>
    <row r="475" spans="1:8" ht="21" customHeight="1">
      <c r="A475" s="14" t="str">
        <f>IF(AND('Current Loan'!$B$13,469&lt;=MAX('Current Loan'!B7,'Proposed Loan'!B6)*12),469,"")</f>
        <v/>
      </c>
      <c r="B475" s="15" t="str">
        <f>IF(A475&lt;&gt;"",IF(A475&lt;='Current Loan'!$B$7*12,'Current Loan'!$B$17,0),"")</f>
        <v/>
      </c>
      <c r="C475" s="15" t="str">
        <f>IF(A475&lt;&gt;"",IF(A475&lt;='Current Loan'!$B$7*12,'Current Loan'!$B$9/12,0),"")</f>
        <v/>
      </c>
      <c r="D475" s="15" t="str">
        <f>IF(A475&lt;&gt;"",IF(A475&lt;='Proposed Loan'!$B$6*12,'Proposed Loan'!$B$17,0),"")</f>
        <v/>
      </c>
      <c r="E475" s="15" t="str">
        <f>IF(A475&lt;&gt;"",IF(A475&lt;='Proposed Loan'!$B$6*12,'Proposed Loan'!$B$13/12,0),"")</f>
        <v/>
      </c>
      <c r="F475" s="15" t="str">
        <f t="shared" si="21"/>
        <v/>
      </c>
      <c r="G475" s="15" t="str">
        <f t="shared" si="23"/>
        <v/>
      </c>
      <c r="H475" s="14" t="str">
        <f t="shared" si="22"/>
        <v/>
      </c>
    </row>
    <row r="476" spans="1:8" ht="21" customHeight="1">
      <c r="A476" s="14" t="str">
        <f>IF(AND('Current Loan'!$B$13,470&lt;=MAX('Current Loan'!B7,'Proposed Loan'!B6)*12),470,"")</f>
        <v/>
      </c>
      <c r="B476" s="15" t="str">
        <f>IF(A476&lt;&gt;"",IF(A476&lt;='Current Loan'!$B$7*12,'Current Loan'!$B$17,0),"")</f>
        <v/>
      </c>
      <c r="C476" s="15" t="str">
        <f>IF(A476&lt;&gt;"",IF(A476&lt;='Current Loan'!$B$7*12,'Current Loan'!$B$9/12,0),"")</f>
        <v/>
      </c>
      <c r="D476" s="15" t="str">
        <f>IF(A476&lt;&gt;"",IF(A476&lt;='Proposed Loan'!$B$6*12,'Proposed Loan'!$B$17,0),"")</f>
        <v/>
      </c>
      <c r="E476" s="15" t="str">
        <f>IF(A476&lt;&gt;"",IF(A476&lt;='Proposed Loan'!$B$6*12,'Proposed Loan'!$B$13/12,0),"")</f>
        <v/>
      </c>
      <c r="F476" s="15" t="str">
        <f t="shared" si="21"/>
        <v/>
      </c>
      <c r="G476" s="15" t="str">
        <f t="shared" si="23"/>
        <v/>
      </c>
      <c r="H476" s="14" t="str">
        <f t="shared" si="22"/>
        <v/>
      </c>
    </row>
    <row r="477" spans="1:8" ht="21" customHeight="1">
      <c r="A477" s="14" t="str">
        <f>IF(AND('Current Loan'!$B$13,471&lt;=MAX('Current Loan'!B7,'Proposed Loan'!B6)*12),471,"")</f>
        <v/>
      </c>
      <c r="B477" s="15" t="str">
        <f>IF(A477&lt;&gt;"",IF(A477&lt;='Current Loan'!$B$7*12,'Current Loan'!$B$17,0),"")</f>
        <v/>
      </c>
      <c r="C477" s="15" t="str">
        <f>IF(A477&lt;&gt;"",IF(A477&lt;='Current Loan'!$B$7*12,'Current Loan'!$B$9/12,0),"")</f>
        <v/>
      </c>
      <c r="D477" s="15" t="str">
        <f>IF(A477&lt;&gt;"",IF(A477&lt;='Proposed Loan'!$B$6*12,'Proposed Loan'!$B$17,0),"")</f>
        <v/>
      </c>
      <c r="E477" s="15" t="str">
        <f>IF(A477&lt;&gt;"",IF(A477&lt;='Proposed Loan'!$B$6*12,'Proposed Loan'!$B$13/12,0),"")</f>
        <v/>
      </c>
      <c r="F477" s="15" t="str">
        <f t="shared" si="21"/>
        <v/>
      </c>
      <c r="G477" s="15" t="str">
        <f t="shared" si="23"/>
        <v/>
      </c>
      <c r="H477" s="14" t="str">
        <f t="shared" si="22"/>
        <v/>
      </c>
    </row>
    <row r="478" spans="1:8" ht="21" customHeight="1">
      <c r="A478" s="14" t="str">
        <f>IF(AND('Current Loan'!$B$13,472&lt;=MAX('Current Loan'!B7,'Proposed Loan'!B6)*12),472,"")</f>
        <v/>
      </c>
      <c r="B478" s="15" t="str">
        <f>IF(A478&lt;&gt;"",IF(A478&lt;='Current Loan'!$B$7*12,'Current Loan'!$B$17,0),"")</f>
        <v/>
      </c>
      <c r="C478" s="15" t="str">
        <f>IF(A478&lt;&gt;"",IF(A478&lt;='Current Loan'!$B$7*12,'Current Loan'!$B$9/12,0),"")</f>
        <v/>
      </c>
      <c r="D478" s="15" t="str">
        <f>IF(A478&lt;&gt;"",IF(A478&lt;='Proposed Loan'!$B$6*12,'Proposed Loan'!$B$17,0),"")</f>
        <v/>
      </c>
      <c r="E478" s="15" t="str">
        <f>IF(A478&lt;&gt;"",IF(A478&lt;='Proposed Loan'!$B$6*12,'Proposed Loan'!$B$13/12,0),"")</f>
        <v/>
      </c>
      <c r="F478" s="15" t="str">
        <f t="shared" si="21"/>
        <v/>
      </c>
      <c r="G478" s="15" t="str">
        <f t="shared" si="23"/>
        <v/>
      </c>
      <c r="H478" s="14" t="str">
        <f t="shared" si="22"/>
        <v/>
      </c>
    </row>
    <row r="479" spans="1:8" ht="21" customHeight="1">
      <c r="A479" s="14" t="str">
        <f>IF(AND('Current Loan'!$B$13,473&lt;=MAX('Current Loan'!B7,'Proposed Loan'!B6)*12),473,"")</f>
        <v/>
      </c>
      <c r="B479" s="15" t="str">
        <f>IF(A479&lt;&gt;"",IF(A479&lt;='Current Loan'!$B$7*12,'Current Loan'!$B$17,0),"")</f>
        <v/>
      </c>
      <c r="C479" s="15" t="str">
        <f>IF(A479&lt;&gt;"",IF(A479&lt;='Current Loan'!$B$7*12,'Current Loan'!$B$9/12,0),"")</f>
        <v/>
      </c>
      <c r="D479" s="15" t="str">
        <f>IF(A479&lt;&gt;"",IF(A479&lt;='Proposed Loan'!$B$6*12,'Proposed Loan'!$B$17,0),"")</f>
        <v/>
      </c>
      <c r="E479" s="15" t="str">
        <f>IF(A479&lt;&gt;"",IF(A479&lt;='Proposed Loan'!$B$6*12,'Proposed Loan'!$B$13/12,0),"")</f>
        <v/>
      </c>
      <c r="F479" s="15" t="str">
        <f t="shared" si="21"/>
        <v/>
      </c>
      <c r="G479" s="15" t="str">
        <f t="shared" si="23"/>
        <v/>
      </c>
      <c r="H479" s="14" t="str">
        <f t="shared" si="22"/>
        <v/>
      </c>
    </row>
    <row r="480" spans="1:8" ht="21" customHeight="1">
      <c r="A480" s="14" t="str">
        <f>IF(AND('Current Loan'!$B$13,474&lt;=MAX('Current Loan'!B7,'Proposed Loan'!B6)*12),474,"")</f>
        <v/>
      </c>
      <c r="B480" s="15" t="str">
        <f>IF(A480&lt;&gt;"",IF(A480&lt;='Current Loan'!$B$7*12,'Current Loan'!$B$17,0),"")</f>
        <v/>
      </c>
      <c r="C480" s="15" t="str">
        <f>IF(A480&lt;&gt;"",IF(A480&lt;='Current Loan'!$B$7*12,'Current Loan'!$B$9/12,0),"")</f>
        <v/>
      </c>
      <c r="D480" s="15" t="str">
        <f>IF(A480&lt;&gt;"",IF(A480&lt;='Proposed Loan'!$B$6*12,'Proposed Loan'!$B$17,0),"")</f>
        <v/>
      </c>
      <c r="E480" s="15" t="str">
        <f>IF(A480&lt;&gt;"",IF(A480&lt;='Proposed Loan'!$B$6*12,'Proposed Loan'!$B$13/12,0),"")</f>
        <v/>
      </c>
      <c r="F480" s="15" t="str">
        <f t="shared" si="21"/>
        <v/>
      </c>
      <c r="G480" s="15" t="str">
        <f t="shared" si="23"/>
        <v/>
      </c>
      <c r="H480" s="14" t="str">
        <f t="shared" si="22"/>
        <v/>
      </c>
    </row>
    <row r="481" spans="1:8" ht="21" customHeight="1">
      <c r="A481" s="14" t="str">
        <f>IF(AND('Current Loan'!$B$13,475&lt;=MAX('Current Loan'!B7,'Proposed Loan'!B6)*12),475,"")</f>
        <v/>
      </c>
      <c r="B481" s="15" t="str">
        <f>IF(A481&lt;&gt;"",IF(A481&lt;='Current Loan'!$B$7*12,'Current Loan'!$B$17,0),"")</f>
        <v/>
      </c>
      <c r="C481" s="15" t="str">
        <f>IF(A481&lt;&gt;"",IF(A481&lt;='Current Loan'!$B$7*12,'Current Loan'!$B$9/12,0),"")</f>
        <v/>
      </c>
      <c r="D481" s="15" t="str">
        <f>IF(A481&lt;&gt;"",IF(A481&lt;='Proposed Loan'!$B$6*12,'Proposed Loan'!$B$17,0),"")</f>
        <v/>
      </c>
      <c r="E481" s="15" t="str">
        <f>IF(A481&lt;&gt;"",IF(A481&lt;='Proposed Loan'!$B$6*12,'Proposed Loan'!$B$13/12,0),"")</f>
        <v/>
      </c>
      <c r="F481" s="15" t="str">
        <f t="shared" si="21"/>
        <v/>
      </c>
      <c r="G481" s="15" t="str">
        <f t="shared" si="23"/>
        <v/>
      </c>
      <c r="H481" s="14" t="str">
        <f t="shared" si="22"/>
        <v/>
      </c>
    </row>
    <row r="482" spans="1:8" ht="21" customHeight="1">
      <c r="A482" s="14" t="str">
        <f>IF(AND('Current Loan'!$B$13,476&lt;=MAX('Current Loan'!B7,'Proposed Loan'!B6)*12),476,"")</f>
        <v/>
      </c>
      <c r="B482" s="15" t="str">
        <f>IF(A482&lt;&gt;"",IF(A482&lt;='Current Loan'!$B$7*12,'Current Loan'!$B$17,0),"")</f>
        <v/>
      </c>
      <c r="C482" s="15" t="str">
        <f>IF(A482&lt;&gt;"",IF(A482&lt;='Current Loan'!$B$7*12,'Current Loan'!$B$9/12,0),"")</f>
        <v/>
      </c>
      <c r="D482" s="15" t="str">
        <f>IF(A482&lt;&gt;"",IF(A482&lt;='Proposed Loan'!$B$6*12,'Proposed Loan'!$B$17,0),"")</f>
        <v/>
      </c>
      <c r="E482" s="15" t="str">
        <f>IF(A482&lt;&gt;"",IF(A482&lt;='Proposed Loan'!$B$6*12,'Proposed Loan'!$B$13/12,0),"")</f>
        <v/>
      </c>
      <c r="F482" s="15" t="str">
        <f t="shared" si="21"/>
        <v/>
      </c>
      <c r="G482" s="15" t="str">
        <f t="shared" si="23"/>
        <v/>
      </c>
      <c r="H482" s="14" t="str">
        <f t="shared" si="22"/>
        <v/>
      </c>
    </row>
    <row r="483" spans="1:8" ht="21" customHeight="1">
      <c r="A483" s="14" t="str">
        <f>IF(AND('Current Loan'!$B$13,477&lt;=MAX('Current Loan'!B7,'Proposed Loan'!B6)*12),477,"")</f>
        <v/>
      </c>
      <c r="B483" s="15" t="str">
        <f>IF(A483&lt;&gt;"",IF(A483&lt;='Current Loan'!$B$7*12,'Current Loan'!$B$17,0),"")</f>
        <v/>
      </c>
      <c r="C483" s="15" t="str">
        <f>IF(A483&lt;&gt;"",IF(A483&lt;='Current Loan'!$B$7*12,'Current Loan'!$B$9/12,0),"")</f>
        <v/>
      </c>
      <c r="D483" s="15" t="str">
        <f>IF(A483&lt;&gt;"",IF(A483&lt;='Proposed Loan'!$B$6*12,'Proposed Loan'!$B$17,0),"")</f>
        <v/>
      </c>
      <c r="E483" s="15" t="str">
        <f>IF(A483&lt;&gt;"",IF(A483&lt;='Proposed Loan'!$B$6*12,'Proposed Loan'!$B$13/12,0),"")</f>
        <v/>
      </c>
      <c r="F483" s="15" t="str">
        <f t="shared" si="21"/>
        <v/>
      </c>
      <c r="G483" s="15" t="str">
        <f t="shared" si="23"/>
        <v/>
      </c>
      <c r="H483" s="14" t="str">
        <f t="shared" si="22"/>
        <v/>
      </c>
    </row>
    <row r="484" spans="1:8" ht="21" customHeight="1">
      <c r="A484" s="14" t="str">
        <f>IF(AND('Current Loan'!$B$13,478&lt;=MAX('Current Loan'!B7,'Proposed Loan'!B6)*12),478,"")</f>
        <v/>
      </c>
      <c r="B484" s="15" t="str">
        <f>IF(A484&lt;&gt;"",IF(A484&lt;='Current Loan'!$B$7*12,'Current Loan'!$B$17,0),"")</f>
        <v/>
      </c>
      <c r="C484" s="15" t="str">
        <f>IF(A484&lt;&gt;"",IF(A484&lt;='Current Loan'!$B$7*12,'Current Loan'!$B$9/12,0),"")</f>
        <v/>
      </c>
      <c r="D484" s="15" t="str">
        <f>IF(A484&lt;&gt;"",IF(A484&lt;='Proposed Loan'!$B$6*12,'Proposed Loan'!$B$17,0),"")</f>
        <v/>
      </c>
      <c r="E484" s="15" t="str">
        <f>IF(A484&lt;&gt;"",IF(A484&lt;='Proposed Loan'!$B$6*12,'Proposed Loan'!$B$13/12,0),"")</f>
        <v/>
      </c>
      <c r="F484" s="15" t="str">
        <f t="shared" si="21"/>
        <v/>
      </c>
      <c r="G484" s="15" t="str">
        <f t="shared" si="23"/>
        <v/>
      </c>
      <c r="H484" s="14" t="str">
        <f t="shared" si="22"/>
        <v/>
      </c>
    </row>
    <row r="485" spans="1:8" ht="21" customHeight="1">
      <c r="A485" s="14" t="str">
        <f>IF(AND('Current Loan'!$B$13,479&lt;=MAX('Current Loan'!B7,'Proposed Loan'!B6)*12),479,"")</f>
        <v/>
      </c>
      <c r="B485" s="15" t="str">
        <f>IF(A485&lt;&gt;"",IF(A485&lt;='Current Loan'!$B$7*12,'Current Loan'!$B$17,0),"")</f>
        <v/>
      </c>
      <c r="C485" s="15" t="str">
        <f>IF(A485&lt;&gt;"",IF(A485&lt;='Current Loan'!$B$7*12,'Current Loan'!$B$9/12,0),"")</f>
        <v/>
      </c>
      <c r="D485" s="15" t="str">
        <f>IF(A485&lt;&gt;"",IF(A485&lt;='Proposed Loan'!$B$6*12,'Proposed Loan'!$B$17,0),"")</f>
        <v/>
      </c>
      <c r="E485" s="15" t="str">
        <f>IF(A485&lt;&gt;"",IF(A485&lt;='Proposed Loan'!$B$6*12,'Proposed Loan'!$B$13/12,0),"")</f>
        <v/>
      </c>
      <c r="F485" s="15" t="str">
        <f t="shared" si="21"/>
        <v/>
      </c>
      <c r="G485" s="15" t="str">
        <f t="shared" si="23"/>
        <v/>
      </c>
      <c r="H485" s="14" t="str">
        <f t="shared" si="22"/>
        <v/>
      </c>
    </row>
    <row r="486" spans="1:8" ht="21" customHeight="1">
      <c r="A486" s="14" t="str">
        <f>IF(AND('Current Loan'!$B$13,480&lt;=MAX('Current Loan'!B7,'Proposed Loan'!B6)*12),480,"")</f>
        <v/>
      </c>
      <c r="B486" s="15" t="str">
        <f>IF(A486&lt;&gt;"",IF(A486&lt;='Current Loan'!$B$7*12,'Current Loan'!$B$17,0),"")</f>
        <v/>
      </c>
      <c r="C486" s="15" t="str">
        <f>IF(A486&lt;&gt;"",IF(A486&lt;='Current Loan'!$B$7*12,'Current Loan'!$B$9/12,0),"")</f>
        <v/>
      </c>
      <c r="D486" s="15" t="str">
        <f>IF(A486&lt;&gt;"",IF(A486&lt;='Proposed Loan'!$B$6*12,'Proposed Loan'!$B$17,0),"")</f>
        <v/>
      </c>
      <c r="E486" s="15" t="str">
        <f>IF(A486&lt;&gt;"",IF(A486&lt;='Proposed Loan'!$B$6*12,'Proposed Loan'!$B$13/12,0),"")</f>
        <v/>
      </c>
      <c r="F486" s="15" t="str">
        <f t="shared" si="21"/>
        <v/>
      </c>
      <c r="G486" s="15" t="str">
        <f t="shared" si="23"/>
        <v/>
      </c>
      <c r="H486" s="14" t="str">
        <f t="shared" si="22"/>
        <v/>
      </c>
    </row>
  </sheetData>
  <sheetProtection sheet="1" objects="1" scenarios="1"/>
  <mergeCells count="1">
    <mergeCell ref="A1:H2"/>
  </mergeCells>
  <pageMargins left="0.39370078740157477" right="0.39370078740157477" top="0.39370078740157477" bottom="0.59055118110236215" header="0.3" footer="0.19685039370078738"/>
  <pageSetup paperSize="9" scale="86" fitToHeight="0" orientation="landscape" r:id="rId1"/>
  <headerFooter>
    <oddFooter>&amp;CCalcy | Page &amp;P&amp;Rcalcy.com.au</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D6A4F"/>
    <pageSetUpPr fitToPage="1"/>
  </sheetPr>
  <dimension ref="A1:H70"/>
  <sheetViews>
    <sheetView showGridLines="0" zoomScaleNormal="100" workbookViewId="0">
      <pane ySplit="6" topLeftCell="A7" activePane="bottomLeft" state="frozen"/>
      <selection pane="bottomLeft" sqref="A1:H2"/>
    </sheetView>
  </sheetViews>
  <sheetFormatPr defaultRowHeight="14.15"/>
  <cols>
    <col min="1" max="1" width="36" customWidth="1"/>
    <col min="2" max="8" width="17" customWidth="1"/>
  </cols>
  <sheetData>
    <row r="1" spans="1:8" ht="23.05" customHeight="1">
      <c r="A1" s="20" t="s">
        <v>58</v>
      </c>
      <c r="B1" s="20"/>
      <c r="C1" s="20"/>
      <c r="D1" s="20"/>
      <c r="E1" s="20"/>
      <c r="F1" s="20"/>
      <c r="G1" s="20"/>
      <c r="H1" s="20"/>
    </row>
    <row r="2" spans="1:8" ht="23.05" customHeight="1">
      <c r="A2" s="20"/>
      <c r="B2" s="20"/>
      <c r="C2" s="20"/>
      <c r="D2" s="20"/>
      <c r="E2" s="20"/>
      <c r="F2" s="20"/>
      <c r="G2" s="20"/>
      <c r="H2" s="20"/>
    </row>
    <row r="3" spans="1:8" ht="23.05" customHeight="1">
      <c r="A3" s="1"/>
      <c r="B3" s="1"/>
      <c r="C3" s="1"/>
      <c r="D3" s="1"/>
      <c r="E3" s="1"/>
      <c r="F3" s="1"/>
      <c r="G3" s="1"/>
      <c r="H3" s="1"/>
    </row>
    <row r="4" spans="1:8" ht="23.05" customHeight="1">
      <c r="A4" s="1"/>
      <c r="B4" s="1"/>
      <c r="C4" s="1"/>
      <c r="D4" s="1"/>
      <c r="E4" s="1"/>
      <c r="F4" s="1"/>
      <c r="G4" s="1"/>
      <c r="H4" s="1"/>
    </row>
    <row r="5" spans="1:8" ht="23.05" customHeight="1">
      <c r="A5" s="1"/>
      <c r="B5" s="1"/>
      <c r="C5" s="1"/>
      <c r="D5" s="1"/>
      <c r="E5" s="1"/>
      <c r="F5" s="1"/>
      <c r="G5" s="1"/>
      <c r="H5" s="1"/>
    </row>
    <row r="6" spans="1:8" ht="36" customHeight="1">
      <c r="A6" s="2" t="s">
        <v>59</v>
      </c>
      <c r="B6" s="2" t="s">
        <v>60</v>
      </c>
      <c r="C6" s="2" t="s">
        <v>52</v>
      </c>
      <c r="D6" s="2" t="s">
        <v>61</v>
      </c>
      <c r="E6" s="2" t="s">
        <v>54</v>
      </c>
      <c r="F6" s="2" t="s">
        <v>62</v>
      </c>
      <c r="G6" s="2" t="s">
        <v>63</v>
      </c>
      <c r="H6" s="1"/>
    </row>
    <row r="7" spans="1:8" ht="20.05" customHeight="1">
      <c r="A7" s="1">
        <f>IF(AND('Current Loan'!$B$13,1&lt;=MAX('Current Loan'!B7,'Proposed Loan'!B6)),1,"")</f>
        <v>1</v>
      </c>
      <c r="B7" s="3">
        <f>IF(A7="","",SUM('Break-Even Analysis'!B7:B18))</f>
        <v>52666.158585116129</v>
      </c>
      <c r="C7" s="3">
        <f>IF(A7="","",SUM('Break-Even Analysis'!C7:C18))</f>
        <v>420</v>
      </c>
      <c r="D7" s="3">
        <f>IF(A7="","",SUM('Break-Even Analysis'!D7:D18))</f>
        <v>50255.509315870317</v>
      </c>
      <c r="E7" s="3">
        <f>IF(A7="","",SUM('Break-Even Analysis'!E7:E18))</f>
        <v>300</v>
      </c>
      <c r="F7" s="3">
        <f>IF(A7="","",SUM('Break-Even Analysis'!F7:F18))</f>
        <v>2530.649269245805</v>
      </c>
      <c r="G7" s="3">
        <f>IF(A7="","",SUM($F$7:F7)-'Proposed Loan'!B18)</f>
        <v>980.64926924580504</v>
      </c>
      <c r="H7" s="1"/>
    </row>
    <row r="8" spans="1:8" ht="20.05" customHeight="1">
      <c r="A8" s="1">
        <f>IF(AND('Current Loan'!$B$13,2&lt;=MAX('Current Loan'!B7,'Proposed Loan'!B6)),2,"")</f>
        <v>2</v>
      </c>
      <c r="B8" s="3">
        <f>IF(A8="","",SUM('Break-Even Analysis'!B19:B30))</f>
        <v>52666.158585116129</v>
      </c>
      <c r="C8" s="3">
        <f>IF(A8="","",SUM('Break-Even Analysis'!C19:C30))</f>
        <v>420</v>
      </c>
      <c r="D8" s="3">
        <f>IF(A8="","",SUM('Break-Even Analysis'!D19:D30))</f>
        <v>50255.509315870317</v>
      </c>
      <c r="E8" s="3">
        <f>IF(A8="","",SUM('Break-Even Analysis'!E19:E30))</f>
        <v>300</v>
      </c>
      <c r="F8" s="3">
        <f>IF(A8="","",SUM('Break-Even Analysis'!F19:F30))</f>
        <v>2530.649269245805</v>
      </c>
      <c r="G8" s="3">
        <f>IF(A8="","",SUM($F$7:F8)-'Proposed Loan'!B18)</f>
        <v>3511.2985384916101</v>
      </c>
      <c r="H8" s="1"/>
    </row>
    <row r="9" spans="1:8" ht="20.05" customHeight="1">
      <c r="A9" s="1">
        <f>IF(AND('Current Loan'!$B$13,3&lt;=MAX('Current Loan'!B7,'Proposed Loan'!B6)),3,"")</f>
        <v>3</v>
      </c>
      <c r="B9" s="3">
        <f>IF(A9="","",SUM('Break-Even Analysis'!B31:B42))</f>
        <v>52666.158585116129</v>
      </c>
      <c r="C9" s="3">
        <f>IF(A9="","",SUM('Break-Even Analysis'!C31:C42))</f>
        <v>420</v>
      </c>
      <c r="D9" s="3">
        <f>IF(A9="","",SUM('Break-Even Analysis'!D31:D42))</f>
        <v>50255.509315870317</v>
      </c>
      <c r="E9" s="3">
        <f>IF(A9="","",SUM('Break-Even Analysis'!E31:E42))</f>
        <v>300</v>
      </c>
      <c r="F9" s="3">
        <f>IF(A9="","",SUM('Break-Even Analysis'!F31:F42))</f>
        <v>2530.649269245805</v>
      </c>
      <c r="G9" s="3">
        <f>IF(A9="","",SUM($F$7:F9)-'Proposed Loan'!B18)</f>
        <v>6041.9478077374151</v>
      </c>
      <c r="H9" s="1"/>
    </row>
    <row r="10" spans="1:8" ht="20.05" customHeight="1">
      <c r="A10" s="1">
        <f>IF(AND('Current Loan'!$B$13,4&lt;=MAX('Current Loan'!B7,'Proposed Loan'!B6)),4,"")</f>
        <v>4</v>
      </c>
      <c r="B10" s="3">
        <f>IF(A10="","",SUM('Break-Even Analysis'!B43:B54))</f>
        <v>52666.158585116129</v>
      </c>
      <c r="C10" s="3">
        <f>IF(A10="","",SUM('Break-Even Analysis'!C43:C54))</f>
        <v>420</v>
      </c>
      <c r="D10" s="3">
        <f>IF(A10="","",SUM('Break-Even Analysis'!D43:D54))</f>
        <v>50255.509315870317</v>
      </c>
      <c r="E10" s="3">
        <f>IF(A10="","",SUM('Break-Even Analysis'!E43:E54))</f>
        <v>300</v>
      </c>
      <c r="F10" s="3">
        <f>IF(A10="","",SUM('Break-Even Analysis'!F43:F54))</f>
        <v>2530.649269245805</v>
      </c>
      <c r="G10" s="3">
        <f>IF(A10="","",SUM($F$7:F10)-'Proposed Loan'!B18)</f>
        <v>8572.5970769832202</v>
      </c>
      <c r="H10" s="1"/>
    </row>
    <row r="11" spans="1:8" ht="20.05" customHeight="1">
      <c r="A11" s="1">
        <f>IF(AND('Current Loan'!$B$13,5&lt;=MAX('Current Loan'!B7,'Proposed Loan'!B6)),5,"")</f>
        <v>5</v>
      </c>
      <c r="B11" s="3">
        <f>IF(A11="","",SUM('Break-Even Analysis'!B55:B66))</f>
        <v>52666.158585116129</v>
      </c>
      <c r="C11" s="3">
        <f>IF(A11="","",SUM('Break-Even Analysis'!C55:C66))</f>
        <v>420</v>
      </c>
      <c r="D11" s="3">
        <f>IF(A11="","",SUM('Break-Even Analysis'!D55:D66))</f>
        <v>50255.509315870317</v>
      </c>
      <c r="E11" s="3">
        <f>IF(A11="","",SUM('Break-Even Analysis'!E55:E66))</f>
        <v>300</v>
      </c>
      <c r="F11" s="3">
        <f>IF(A11="","",SUM('Break-Even Analysis'!F55:F66))</f>
        <v>2530.649269245805</v>
      </c>
      <c r="G11" s="3">
        <f>IF(A11="","",SUM($F$7:F11)-'Proposed Loan'!B18)</f>
        <v>11103.246346229025</v>
      </c>
      <c r="H11" s="1"/>
    </row>
    <row r="12" spans="1:8" ht="20.05" customHeight="1">
      <c r="A12" s="1">
        <f>IF(AND('Current Loan'!$B$13,6&lt;=MAX('Current Loan'!B7,'Proposed Loan'!B6)),6,"")</f>
        <v>6</v>
      </c>
      <c r="B12" s="3">
        <f>IF(A12="","",SUM('Break-Even Analysis'!B67:B78))</f>
        <v>52666.158585116129</v>
      </c>
      <c r="C12" s="3">
        <f>IF(A12="","",SUM('Break-Even Analysis'!C67:C78))</f>
        <v>420</v>
      </c>
      <c r="D12" s="3">
        <f>IF(A12="","",SUM('Break-Even Analysis'!D67:D78))</f>
        <v>50255.509315870317</v>
      </c>
      <c r="E12" s="3">
        <f>IF(A12="","",SUM('Break-Even Analysis'!E67:E78))</f>
        <v>300</v>
      </c>
      <c r="F12" s="3">
        <f>IF(A12="","",SUM('Break-Even Analysis'!F67:F78))</f>
        <v>2530.649269245805</v>
      </c>
      <c r="G12" s="3">
        <f>IF(A12="","",SUM($F$7:F12)-'Proposed Loan'!B18)</f>
        <v>13633.89561547483</v>
      </c>
      <c r="H12" s="1"/>
    </row>
    <row r="13" spans="1:8" ht="20.05" customHeight="1">
      <c r="A13" s="1">
        <f>IF(AND('Current Loan'!$B$13,7&lt;=MAX('Current Loan'!B7,'Proposed Loan'!B6)),7,"")</f>
        <v>7</v>
      </c>
      <c r="B13" s="3">
        <f>IF(A13="","",SUM('Break-Even Analysis'!B79:B90))</f>
        <v>52666.158585116129</v>
      </c>
      <c r="C13" s="3">
        <f>IF(A13="","",SUM('Break-Even Analysis'!C79:C90))</f>
        <v>420</v>
      </c>
      <c r="D13" s="3">
        <f>IF(A13="","",SUM('Break-Even Analysis'!D79:D90))</f>
        <v>50255.509315870317</v>
      </c>
      <c r="E13" s="3">
        <f>IF(A13="","",SUM('Break-Even Analysis'!E79:E90))</f>
        <v>300</v>
      </c>
      <c r="F13" s="3">
        <f>IF(A13="","",SUM('Break-Even Analysis'!F79:F90))</f>
        <v>2530.649269245805</v>
      </c>
      <c r="G13" s="3">
        <f>IF(A13="","",SUM($F$7:F13)-'Proposed Loan'!B18)</f>
        <v>16164.544884720635</v>
      </c>
      <c r="H13" s="1"/>
    </row>
    <row r="14" spans="1:8" ht="20.05" customHeight="1">
      <c r="A14" s="1">
        <f>IF(AND('Current Loan'!$B$13,8&lt;=MAX('Current Loan'!B7,'Proposed Loan'!B6)),8,"")</f>
        <v>8</v>
      </c>
      <c r="B14" s="3">
        <f>IF(A14="","",SUM('Break-Even Analysis'!B91:B102))</f>
        <v>52666.158585116129</v>
      </c>
      <c r="C14" s="3">
        <f>IF(A14="","",SUM('Break-Even Analysis'!C91:C102))</f>
        <v>420</v>
      </c>
      <c r="D14" s="3">
        <f>IF(A14="","",SUM('Break-Even Analysis'!D91:D102))</f>
        <v>50255.509315870317</v>
      </c>
      <c r="E14" s="3">
        <f>IF(A14="","",SUM('Break-Even Analysis'!E91:E102))</f>
        <v>300</v>
      </c>
      <c r="F14" s="3">
        <f>IF(A14="","",SUM('Break-Even Analysis'!F91:F102))</f>
        <v>2530.649269245805</v>
      </c>
      <c r="G14" s="3">
        <f>IF(A14="","",SUM($F$7:F14)-'Proposed Loan'!B18)</f>
        <v>18695.19415396644</v>
      </c>
      <c r="H14" s="1"/>
    </row>
    <row r="15" spans="1:8" ht="20.05" customHeight="1">
      <c r="A15" s="1">
        <f>IF(AND('Current Loan'!$B$13,9&lt;=MAX('Current Loan'!B7,'Proposed Loan'!B6)),9,"")</f>
        <v>9</v>
      </c>
      <c r="B15" s="3">
        <f>IF(A15="","",SUM('Break-Even Analysis'!B103:B114))</f>
        <v>52666.158585116129</v>
      </c>
      <c r="C15" s="3">
        <f>IF(A15="","",SUM('Break-Even Analysis'!C103:C114))</f>
        <v>420</v>
      </c>
      <c r="D15" s="3">
        <f>IF(A15="","",SUM('Break-Even Analysis'!D103:D114))</f>
        <v>50255.509315870317</v>
      </c>
      <c r="E15" s="3">
        <f>IF(A15="","",SUM('Break-Even Analysis'!E103:E114))</f>
        <v>300</v>
      </c>
      <c r="F15" s="3">
        <f>IF(A15="","",SUM('Break-Even Analysis'!F103:F114))</f>
        <v>2530.649269245805</v>
      </c>
      <c r="G15" s="3">
        <f>IF(A15="","",SUM($F$7:F15)-'Proposed Loan'!B18)</f>
        <v>21225.843423212245</v>
      </c>
      <c r="H15" s="1"/>
    </row>
    <row r="16" spans="1:8" ht="20.05" customHeight="1">
      <c r="A16" s="1">
        <f>IF(AND('Current Loan'!$B$13,10&lt;=MAX('Current Loan'!B7,'Proposed Loan'!B6)),10,"")</f>
        <v>10</v>
      </c>
      <c r="B16" s="3">
        <f>IF(A16="","",SUM('Break-Even Analysis'!B115:B126))</f>
        <v>52666.158585116129</v>
      </c>
      <c r="C16" s="3">
        <f>IF(A16="","",SUM('Break-Even Analysis'!C115:C126))</f>
        <v>420</v>
      </c>
      <c r="D16" s="3">
        <f>IF(A16="","",SUM('Break-Even Analysis'!D115:D126))</f>
        <v>50255.509315870317</v>
      </c>
      <c r="E16" s="3">
        <f>IF(A16="","",SUM('Break-Even Analysis'!E115:E126))</f>
        <v>300</v>
      </c>
      <c r="F16" s="3">
        <f>IF(A16="","",SUM('Break-Even Analysis'!F115:F126))</f>
        <v>2530.649269245805</v>
      </c>
      <c r="G16" s="3">
        <f>IF(A16="","",SUM($F$7:F16)-'Proposed Loan'!B18)</f>
        <v>23756.49269245805</v>
      </c>
      <c r="H16" s="1"/>
    </row>
    <row r="17" spans="1:8" ht="20.05" customHeight="1">
      <c r="A17" s="1">
        <f>IF(AND('Current Loan'!$B$13,11&lt;=MAX('Current Loan'!B7,'Proposed Loan'!B6)),11,"")</f>
        <v>11</v>
      </c>
      <c r="B17" s="3">
        <f>IF(A17="","",SUM('Break-Even Analysis'!B127:B138))</f>
        <v>52666.158585116129</v>
      </c>
      <c r="C17" s="3">
        <f>IF(A17="","",SUM('Break-Even Analysis'!C127:C138))</f>
        <v>420</v>
      </c>
      <c r="D17" s="3">
        <f>IF(A17="","",SUM('Break-Even Analysis'!D127:D138))</f>
        <v>50255.509315870317</v>
      </c>
      <c r="E17" s="3">
        <f>IF(A17="","",SUM('Break-Even Analysis'!E127:E138))</f>
        <v>300</v>
      </c>
      <c r="F17" s="3">
        <f>IF(A17="","",SUM('Break-Even Analysis'!F127:F138))</f>
        <v>2530.649269245805</v>
      </c>
      <c r="G17" s="3">
        <f>IF(A17="","",SUM($F$7:F17)-'Proposed Loan'!B18)</f>
        <v>26287.141961703855</v>
      </c>
      <c r="H17" s="1"/>
    </row>
    <row r="18" spans="1:8" ht="20.05" customHeight="1">
      <c r="A18" s="1">
        <f>IF(AND('Current Loan'!$B$13,12&lt;=MAX('Current Loan'!B7,'Proposed Loan'!B6)),12,"")</f>
        <v>12</v>
      </c>
      <c r="B18" s="3">
        <f>IF(A18="","",SUM('Break-Even Analysis'!B139:B150))</f>
        <v>52666.158585116129</v>
      </c>
      <c r="C18" s="3">
        <f>IF(A18="","",SUM('Break-Even Analysis'!C139:C150))</f>
        <v>420</v>
      </c>
      <c r="D18" s="3">
        <f>IF(A18="","",SUM('Break-Even Analysis'!D139:D150))</f>
        <v>50255.509315870317</v>
      </c>
      <c r="E18" s="3">
        <f>IF(A18="","",SUM('Break-Even Analysis'!E139:E150))</f>
        <v>300</v>
      </c>
      <c r="F18" s="3">
        <f>IF(A18="","",SUM('Break-Even Analysis'!F139:F150))</f>
        <v>2530.649269245805</v>
      </c>
      <c r="G18" s="3">
        <f>IF(A18="","",SUM($F$7:F18)-'Proposed Loan'!B18)</f>
        <v>28817.791230949661</v>
      </c>
      <c r="H18" s="1"/>
    </row>
    <row r="19" spans="1:8" ht="20.05" customHeight="1">
      <c r="A19" s="1">
        <f>IF(AND('Current Loan'!$B$13,13&lt;=MAX('Current Loan'!B7,'Proposed Loan'!B6)),13,"")</f>
        <v>13</v>
      </c>
      <c r="B19" s="3">
        <f>IF(A19="","",SUM('Break-Even Analysis'!B151:B162))</f>
        <v>52666.158585116129</v>
      </c>
      <c r="C19" s="3">
        <f>IF(A19="","",SUM('Break-Even Analysis'!C151:C162))</f>
        <v>420</v>
      </c>
      <c r="D19" s="3">
        <f>IF(A19="","",SUM('Break-Even Analysis'!D151:D162))</f>
        <v>50255.509315870317</v>
      </c>
      <c r="E19" s="3">
        <f>IF(A19="","",SUM('Break-Even Analysis'!E151:E162))</f>
        <v>300</v>
      </c>
      <c r="F19" s="3">
        <f>IF(A19="","",SUM('Break-Even Analysis'!F151:F162))</f>
        <v>2530.649269245805</v>
      </c>
      <c r="G19" s="3">
        <f>IF(A19="","",SUM($F$7:F19)-'Proposed Loan'!B18)</f>
        <v>31348.440500195466</v>
      </c>
      <c r="H19" s="1"/>
    </row>
    <row r="20" spans="1:8" ht="20.05" customHeight="1">
      <c r="A20" s="1">
        <f>IF(AND('Current Loan'!$B$13,14&lt;=MAX('Current Loan'!B7,'Proposed Loan'!B6)),14,"")</f>
        <v>14</v>
      </c>
      <c r="B20" s="3">
        <f>IF(A20="","",SUM('Break-Even Analysis'!B163:B174))</f>
        <v>52666.158585116129</v>
      </c>
      <c r="C20" s="3">
        <f>IF(A20="","",SUM('Break-Even Analysis'!C163:C174))</f>
        <v>420</v>
      </c>
      <c r="D20" s="3">
        <f>IF(A20="","",SUM('Break-Even Analysis'!D163:D174))</f>
        <v>50255.509315870317</v>
      </c>
      <c r="E20" s="3">
        <f>IF(A20="","",SUM('Break-Even Analysis'!E163:E174))</f>
        <v>300</v>
      </c>
      <c r="F20" s="3">
        <f>IF(A20="","",SUM('Break-Even Analysis'!F163:F174))</f>
        <v>2530.649269245805</v>
      </c>
      <c r="G20" s="3">
        <f>IF(A20="","",SUM($F$7:F20)-'Proposed Loan'!B18)</f>
        <v>33879.089769441271</v>
      </c>
      <c r="H20" s="1"/>
    </row>
    <row r="21" spans="1:8" ht="20.05" customHeight="1">
      <c r="A21" s="1">
        <f>IF(AND('Current Loan'!$B$13,15&lt;=MAX('Current Loan'!B7,'Proposed Loan'!B6)),15,"")</f>
        <v>15</v>
      </c>
      <c r="B21" s="3">
        <f>IF(A21="","",SUM('Break-Even Analysis'!B175:B186))</f>
        <v>52666.158585116129</v>
      </c>
      <c r="C21" s="3">
        <f>IF(A21="","",SUM('Break-Even Analysis'!C175:C186))</f>
        <v>420</v>
      </c>
      <c r="D21" s="3">
        <f>IF(A21="","",SUM('Break-Even Analysis'!D175:D186))</f>
        <v>50255.509315870317</v>
      </c>
      <c r="E21" s="3">
        <f>IF(A21="","",SUM('Break-Even Analysis'!E175:E186))</f>
        <v>300</v>
      </c>
      <c r="F21" s="3">
        <f>IF(A21="","",SUM('Break-Even Analysis'!F175:F186))</f>
        <v>2530.649269245805</v>
      </c>
      <c r="G21" s="3">
        <f>IF(A21="","",SUM($F$7:F21)-'Proposed Loan'!B18)</f>
        <v>36409.739038687076</v>
      </c>
      <c r="H21" s="1"/>
    </row>
    <row r="22" spans="1:8" ht="20.05" customHeight="1">
      <c r="A22" s="1">
        <f>IF(AND('Current Loan'!$B$13,16&lt;=MAX('Current Loan'!B7,'Proposed Loan'!B6)),16,"")</f>
        <v>16</v>
      </c>
      <c r="B22" s="3">
        <f>IF(A22="","",SUM('Break-Even Analysis'!B187:B198))</f>
        <v>52666.158585116129</v>
      </c>
      <c r="C22" s="3">
        <f>IF(A22="","",SUM('Break-Even Analysis'!C187:C198))</f>
        <v>420</v>
      </c>
      <c r="D22" s="3">
        <f>IF(A22="","",SUM('Break-Even Analysis'!D187:D198))</f>
        <v>50255.509315870317</v>
      </c>
      <c r="E22" s="3">
        <f>IF(A22="","",SUM('Break-Even Analysis'!E187:E198))</f>
        <v>300</v>
      </c>
      <c r="F22" s="3">
        <f>IF(A22="","",SUM('Break-Even Analysis'!F187:F198))</f>
        <v>2530.649269245805</v>
      </c>
      <c r="G22" s="3">
        <f>IF(A22="","",SUM($F$7:F22)-'Proposed Loan'!B18)</f>
        <v>38940.388307932881</v>
      </c>
      <c r="H22" s="1"/>
    </row>
    <row r="23" spans="1:8" ht="20.05" customHeight="1">
      <c r="A23" s="1">
        <f>IF(AND('Current Loan'!$B$13,17&lt;=MAX('Current Loan'!B7,'Proposed Loan'!B6)),17,"")</f>
        <v>17</v>
      </c>
      <c r="B23" s="3">
        <f>IF(A23="","",SUM('Break-Even Analysis'!B199:B210))</f>
        <v>52666.158585116129</v>
      </c>
      <c r="C23" s="3">
        <f>IF(A23="","",SUM('Break-Even Analysis'!C199:C210))</f>
        <v>420</v>
      </c>
      <c r="D23" s="3">
        <f>IF(A23="","",SUM('Break-Even Analysis'!D199:D210))</f>
        <v>50255.509315870317</v>
      </c>
      <c r="E23" s="3">
        <f>IF(A23="","",SUM('Break-Even Analysis'!E199:E210))</f>
        <v>300</v>
      </c>
      <c r="F23" s="3">
        <f>IF(A23="","",SUM('Break-Even Analysis'!F199:F210))</f>
        <v>2530.649269245805</v>
      </c>
      <c r="G23" s="3">
        <f>IF(A23="","",SUM($F$7:F23)-'Proposed Loan'!B18)</f>
        <v>41471.037577178686</v>
      </c>
      <c r="H23" s="1"/>
    </row>
    <row r="24" spans="1:8" ht="20.05" customHeight="1">
      <c r="A24" s="1">
        <f>IF(AND('Current Loan'!$B$13,18&lt;=MAX('Current Loan'!B7,'Proposed Loan'!B6)),18,"")</f>
        <v>18</v>
      </c>
      <c r="B24" s="3">
        <f>IF(A24="","",SUM('Break-Even Analysis'!B211:B222))</f>
        <v>52666.158585116129</v>
      </c>
      <c r="C24" s="3">
        <f>IF(A24="","",SUM('Break-Even Analysis'!C211:C222))</f>
        <v>420</v>
      </c>
      <c r="D24" s="3">
        <f>IF(A24="","",SUM('Break-Even Analysis'!D211:D222))</f>
        <v>50255.509315870317</v>
      </c>
      <c r="E24" s="3">
        <f>IF(A24="","",SUM('Break-Even Analysis'!E211:E222))</f>
        <v>300</v>
      </c>
      <c r="F24" s="3">
        <f>IF(A24="","",SUM('Break-Even Analysis'!F211:F222))</f>
        <v>2530.649269245805</v>
      </c>
      <c r="G24" s="3">
        <f>IF(A24="","",SUM($F$7:F24)-'Proposed Loan'!B18)</f>
        <v>44001.686846424491</v>
      </c>
      <c r="H24" s="1"/>
    </row>
    <row r="25" spans="1:8" ht="20.05" customHeight="1">
      <c r="A25" s="1">
        <f>IF(AND('Current Loan'!$B$13,19&lt;=MAX('Current Loan'!B7,'Proposed Loan'!B6)),19,"")</f>
        <v>19</v>
      </c>
      <c r="B25" s="3">
        <f>IF(A25="","",SUM('Break-Even Analysis'!B223:B234))</f>
        <v>52666.158585116129</v>
      </c>
      <c r="C25" s="3">
        <f>IF(A25="","",SUM('Break-Even Analysis'!C223:C234))</f>
        <v>420</v>
      </c>
      <c r="D25" s="3">
        <f>IF(A25="","",SUM('Break-Even Analysis'!D223:D234))</f>
        <v>50255.509315870317</v>
      </c>
      <c r="E25" s="3">
        <f>IF(A25="","",SUM('Break-Even Analysis'!E223:E234))</f>
        <v>300</v>
      </c>
      <c r="F25" s="3">
        <f>IF(A25="","",SUM('Break-Even Analysis'!F223:F234))</f>
        <v>2530.649269245805</v>
      </c>
      <c r="G25" s="3">
        <f>IF(A25="","",SUM($F$7:F25)-'Proposed Loan'!B18)</f>
        <v>46532.336115670296</v>
      </c>
      <c r="H25" s="1"/>
    </row>
    <row r="26" spans="1:8" ht="20.05" customHeight="1">
      <c r="A26" s="1">
        <f>IF(AND('Current Loan'!$B$13,20&lt;=MAX('Current Loan'!B7,'Proposed Loan'!B6)),20,"")</f>
        <v>20</v>
      </c>
      <c r="B26" s="3">
        <f>IF(A26="","",SUM('Break-Even Analysis'!B235:B246))</f>
        <v>52666.158585116129</v>
      </c>
      <c r="C26" s="3">
        <f>IF(A26="","",SUM('Break-Even Analysis'!C235:C246))</f>
        <v>420</v>
      </c>
      <c r="D26" s="3">
        <f>IF(A26="","",SUM('Break-Even Analysis'!D235:D246))</f>
        <v>50255.509315870317</v>
      </c>
      <c r="E26" s="3">
        <f>IF(A26="","",SUM('Break-Even Analysis'!E235:E246))</f>
        <v>300</v>
      </c>
      <c r="F26" s="3">
        <f>IF(A26="","",SUM('Break-Even Analysis'!F235:F246))</f>
        <v>2530.649269245805</v>
      </c>
      <c r="G26" s="3">
        <f>IF(A26="","",SUM($F$7:F26)-'Proposed Loan'!B18)</f>
        <v>49062.985384916101</v>
      </c>
      <c r="H26" s="1"/>
    </row>
    <row r="27" spans="1:8" ht="20.05" customHeight="1">
      <c r="A27" s="1">
        <f>IF(AND('Current Loan'!$B$13,21&lt;=MAX('Current Loan'!B7,'Proposed Loan'!B6)),21,"")</f>
        <v>21</v>
      </c>
      <c r="B27" s="3">
        <f>IF(A27="","",SUM('Break-Even Analysis'!B247:B258))</f>
        <v>52666.158585116129</v>
      </c>
      <c r="C27" s="3">
        <f>IF(A27="","",SUM('Break-Even Analysis'!C247:C258))</f>
        <v>420</v>
      </c>
      <c r="D27" s="3">
        <f>IF(A27="","",SUM('Break-Even Analysis'!D247:D258))</f>
        <v>50255.509315870317</v>
      </c>
      <c r="E27" s="3">
        <f>IF(A27="","",SUM('Break-Even Analysis'!E247:E258))</f>
        <v>300</v>
      </c>
      <c r="F27" s="3">
        <f>IF(A27="","",SUM('Break-Even Analysis'!F247:F258))</f>
        <v>2530.649269245805</v>
      </c>
      <c r="G27" s="3">
        <f>IF(A27="","",SUM($F$7:F27)-'Proposed Loan'!B18)</f>
        <v>51593.634654161906</v>
      </c>
      <c r="H27" s="1"/>
    </row>
    <row r="28" spans="1:8" ht="20.05" customHeight="1">
      <c r="A28" s="1">
        <f>IF(AND('Current Loan'!$B$13,22&lt;=MAX('Current Loan'!B7,'Proposed Loan'!B6)),22,"")</f>
        <v>22</v>
      </c>
      <c r="B28" s="3">
        <f>IF(A28="","",SUM('Break-Even Analysis'!B259:B270))</f>
        <v>52666.158585116129</v>
      </c>
      <c r="C28" s="3">
        <f>IF(A28="","",SUM('Break-Even Analysis'!C259:C270))</f>
        <v>420</v>
      </c>
      <c r="D28" s="3">
        <f>IF(A28="","",SUM('Break-Even Analysis'!D259:D270))</f>
        <v>50255.509315870317</v>
      </c>
      <c r="E28" s="3">
        <f>IF(A28="","",SUM('Break-Even Analysis'!E259:E270))</f>
        <v>300</v>
      </c>
      <c r="F28" s="3">
        <f>IF(A28="","",SUM('Break-Even Analysis'!F259:F270))</f>
        <v>2530.649269245805</v>
      </c>
      <c r="G28" s="3">
        <f>IF(A28="","",SUM($F$7:F28)-'Proposed Loan'!B18)</f>
        <v>54124.283923407711</v>
      </c>
      <c r="H28" s="1"/>
    </row>
    <row r="29" spans="1:8" ht="20.05" customHeight="1">
      <c r="A29" s="1">
        <f>IF(AND('Current Loan'!$B$13,23&lt;=MAX('Current Loan'!B7,'Proposed Loan'!B6)),23,"")</f>
        <v>23</v>
      </c>
      <c r="B29" s="3">
        <f>IF(A29="","",SUM('Break-Even Analysis'!B271:B282))</f>
        <v>52666.158585116129</v>
      </c>
      <c r="C29" s="3">
        <f>IF(A29="","",SUM('Break-Even Analysis'!C271:C282))</f>
        <v>420</v>
      </c>
      <c r="D29" s="3">
        <f>IF(A29="","",SUM('Break-Even Analysis'!D271:D282))</f>
        <v>50255.509315870317</v>
      </c>
      <c r="E29" s="3">
        <f>IF(A29="","",SUM('Break-Even Analysis'!E271:E282))</f>
        <v>300</v>
      </c>
      <c r="F29" s="3">
        <f>IF(A29="","",SUM('Break-Even Analysis'!F271:F282))</f>
        <v>2530.649269245805</v>
      </c>
      <c r="G29" s="3">
        <f>IF(A29="","",SUM($F$7:F29)-'Proposed Loan'!B18)</f>
        <v>56654.933192653516</v>
      </c>
      <c r="H29" s="1"/>
    </row>
    <row r="30" spans="1:8" ht="20.05" customHeight="1">
      <c r="A30" s="1">
        <f>IF(AND('Current Loan'!$B$13,24&lt;=MAX('Current Loan'!B7,'Proposed Loan'!B6)),24,"")</f>
        <v>24</v>
      </c>
      <c r="B30" s="3">
        <f>IF(A30="","",SUM('Break-Even Analysis'!B283:B294))</f>
        <v>52666.158585116129</v>
      </c>
      <c r="C30" s="3">
        <f>IF(A30="","",SUM('Break-Even Analysis'!C283:C294))</f>
        <v>420</v>
      </c>
      <c r="D30" s="3">
        <f>IF(A30="","",SUM('Break-Even Analysis'!D283:D294))</f>
        <v>50255.509315870317</v>
      </c>
      <c r="E30" s="3">
        <f>IF(A30="","",SUM('Break-Even Analysis'!E283:E294))</f>
        <v>300</v>
      </c>
      <c r="F30" s="3">
        <f>IF(A30="","",SUM('Break-Even Analysis'!F283:F294))</f>
        <v>2530.649269245805</v>
      </c>
      <c r="G30" s="3">
        <f>IF(A30="","",SUM($F$7:F30)-'Proposed Loan'!B18)</f>
        <v>59185.582461899321</v>
      </c>
      <c r="H30" s="1"/>
    </row>
    <row r="31" spans="1:8" ht="20.05" customHeight="1">
      <c r="A31" s="1">
        <f>IF(AND('Current Loan'!$B$13,25&lt;=MAX('Current Loan'!B7,'Proposed Loan'!B6)),25,"")</f>
        <v>25</v>
      </c>
      <c r="B31" s="3">
        <f>IF(A31="","",SUM('Break-Even Analysis'!B295:B306))</f>
        <v>52666.158585116129</v>
      </c>
      <c r="C31" s="3">
        <f>IF(A31="","",SUM('Break-Even Analysis'!C295:C306))</f>
        <v>420</v>
      </c>
      <c r="D31" s="3">
        <f>IF(A31="","",SUM('Break-Even Analysis'!D295:D306))</f>
        <v>50255.509315870317</v>
      </c>
      <c r="E31" s="3">
        <f>IF(A31="","",SUM('Break-Even Analysis'!E295:E306))</f>
        <v>300</v>
      </c>
      <c r="F31" s="3">
        <f>IF(A31="","",SUM('Break-Even Analysis'!F295:F306))</f>
        <v>2530.649269245805</v>
      </c>
      <c r="G31" s="3">
        <f>IF(A31="","",SUM($F$7:F31)-'Proposed Loan'!B18)</f>
        <v>61716.231731145126</v>
      </c>
      <c r="H31" s="1"/>
    </row>
    <row r="32" spans="1:8" ht="20.05" customHeight="1">
      <c r="A32" s="1" t="str">
        <f>IF(AND('Current Loan'!$B$13,26&lt;=MAX('Current Loan'!B7,'Proposed Loan'!B6)),26,"")</f>
        <v/>
      </c>
      <c r="B32" s="3" t="str">
        <f>IF(A32="","",SUM('Break-Even Analysis'!B307:B318))</f>
        <v/>
      </c>
      <c r="C32" s="3" t="str">
        <f>IF(A32="","",SUM('Break-Even Analysis'!C307:C318))</f>
        <v/>
      </c>
      <c r="D32" s="3" t="str">
        <f>IF(A32="","",SUM('Break-Even Analysis'!D307:D318))</f>
        <v/>
      </c>
      <c r="E32" s="3" t="str">
        <f>IF(A32="","",SUM('Break-Even Analysis'!E307:E318))</f>
        <v/>
      </c>
      <c r="F32" s="3" t="str">
        <f>IF(A32="","",SUM('Break-Even Analysis'!F307:F318))</f>
        <v/>
      </c>
      <c r="G32" s="3" t="str">
        <f>IF(A32="","",SUM($F$7:F32)-'Proposed Loan'!B18)</f>
        <v/>
      </c>
      <c r="H32" s="1"/>
    </row>
    <row r="33" spans="1:8" ht="20.05" customHeight="1">
      <c r="A33" s="1" t="str">
        <f>IF(AND('Current Loan'!$B$13,27&lt;=MAX('Current Loan'!B7,'Proposed Loan'!B6)),27,"")</f>
        <v/>
      </c>
      <c r="B33" s="3" t="str">
        <f>IF(A33="","",SUM('Break-Even Analysis'!B319:B330))</f>
        <v/>
      </c>
      <c r="C33" s="3" t="str">
        <f>IF(A33="","",SUM('Break-Even Analysis'!C319:C330))</f>
        <v/>
      </c>
      <c r="D33" s="3" t="str">
        <f>IF(A33="","",SUM('Break-Even Analysis'!D319:D330))</f>
        <v/>
      </c>
      <c r="E33" s="3" t="str">
        <f>IF(A33="","",SUM('Break-Even Analysis'!E319:E330))</f>
        <v/>
      </c>
      <c r="F33" s="3" t="str">
        <f>IF(A33="","",SUM('Break-Even Analysis'!F319:F330))</f>
        <v/>
      </c>
      <c r="G33" s="3" t="str">
        <f>IF(A33="","",SUM($F$7:F33)-'Proposed Loan'!B18)</f>
        <v/>
      </c>
      <c r="H33" s="1"/>
    </row>
    <row r="34" spans="1:8" ht="20.05" customHeight="1">
      <c r="A34" s="1" t="str">
        <f>IF(AND('Current Loan'!$B$13,28&lt;=MAX('Current Loan'!B7,'Proposed Loan'!B6)),28,"")</f>
        <v/>
      </c>
      <c r="B34" s="3" t="str">
        <f>IF(A34="","",SUM('Break-Even Analysis'!B331:B342))</f>
        <v/>
      </c>
      <c r="C34" s="3" t="str">
        <f>IF(A34="","",SUM('Break-Even Analysis'!C331:C342))</f>
        <v/>
      </c>
      <c r="D34" s="3" t="str">
        <f>IF(A34="","",SUM('Break-Even Analysis'!D331:D342))</f>
        <v/>
      </c>
      <c r="E34" s="3" t="str">
        <f>IF(A34="","",SUM('Break-Even Analysis'!E331:E342))</f>
        <v/>
      </c>
      <c r="F34" s="3" t="str">
        <f>IF(A34="","",SUM('Break-Even Analysis'!F331:F342))</f>
        <v/>
      </c>
      <c r="G34" s="3" t="str">
        <f>IF(A34="","",SUM($F$7:F34)-'Proposed Loan'!B18)</f>
        <v/>
      </c>
      <c r="H34" s="1"/>
    </row>
    <row r="35" spans="1:8" ht="20.05" customHeight="1">
      <c r="A35" s="1" t="str">
        <f>IF(AND('Current Loan'!$B$13,29&lt;=MAX('Current Loan'!B7,'Proposed Loan'!B6)),29,"")</f>
        <v/>
      </c>
      <c r="B35" s="3" t="str">
        <f>IF(A35="","",SUM('Break-Even Analysis'!B343:B354))</f>
        <v/>
      </c>
      <c r="C35" s="3" t="str">
        <f>IF(A35="","",SUM('Break-Even Analysis'!C343:C354))</f>
        <v/>
      </c>
      <c r="D35" s="3" t="str">
        <f>IF(A35="","",SUM('Break-Even Analysis'!D343:D354))</f>
        <v/>
      </c>
      <c r="E35" s="3" t="str">
        <f>IF(A35="","",SUM('Break-Even Analysis'!E343:E354))</f>
        <v/>
      </c>
      <c r="F35" s="3" t="str">
        <f>IF(A35="","",SUM('Break-Even Analysis'!F343:F354))</f>
        <v/>
      </c>
      <c r="G35" s="3" t="str">
        <f>IF(A35="","",SUM($F$7:F35)-'Proposed Loan'!B18)</f>
        <v/>
      </c>
      <c r="H35" s="1"/>
    </row>
    <row r="36" spans="1:8" ht="20.05" customHeight="1">
      <c r="A36" s="1" t="str">
        <f>IF(AND('Current Loan'!$B$13,30&lt;=MAX('Current Loan'!B7,'Proposed Loan'!B6)),30,"")</f>
        <v/>
      </c>
      <c r="B36" s="3" t="str">
        <f>IF(A36="","",SUM('Break-Even Analysis'!B355:B366))</f>
        <v/>
      </c>
      <c r="C36" s="3" t="str">
        <f>IF(A36="","",SUM('Break-Even Analysis'!C355:C366))</f>
        <v/>
      </c>
      <c r="D36" s="3" t="str">
        <f>IF(A36="","",SUM('Break-Even Analysis'!D355:D366))</f>
        <v/>
      </c>
      <c r="E36" s="3" t="str">
        <f>IF(A36="","",SUM('Break-Even Analysis'!E355:E366))</f>
        <v/>
      </c>
      <c r="F36" s="3" t="str">
        <f>IF(A36="","",SUM('Break-Even Analysis'!F355:F366))</f>
        <v/>
      </c>
      <c r="G36" s="3" t="str">
        <f>IF(A36="","",SUM($F$7:F36)-'Proposed Loan'!B18)</f>
        <v/>
      </c>
      <c r="H36" s="1"/>
    </row>
    <row r="37" spans="1:8" ht="20.05" customHeight="1">
      <c r="A37" s="1" t="str">
        <f>IF(AND('Current Loan'!$B$13,31&lt;=MAX('Current Loan'!B7,'Proposed Loan'!B6)),31,"")</f>
        <v/>
      </c>
      <c r="B37" s="3" t="str">
        <f>IF(A37="","",SUM('Break-Even Analysis'!B367:B378))</f>
        <v/>
      </c>
      <c r="C37" s="3" t="str">
        <f>IF(A37="","",SUM('Break-Even Analysis'!C367:C378))</f>
        <v/>
      </c>
      <c r="D37" s="3" t="str">
        <f>IF(A37="","",SUM('Break-Even Analysis'!D367:D378))</f>
        <v/>
      </c>
      <c r="E37" s="3" t="str">
        <f>IF(A37="","",SUM('Break-Even Analysis'!E367:E378))</f>
        <v/>
      </c>
      <c r="F37" s="3" t="str">
        <f>IF(A37="","",SUM('Break-Even Analysis'!F367:F378))</f>
        <v/>
      </c>
      <c r="G37" s="3" t="str">
        <f>IF(A37="","",SUM($F$7:F37)-'Proposed Loan'!B18)</f>
        <v/>
      </c>
      <c r="H37" s="1"/>
    </row>
    <row r="38" spans="1:8" ht="20.05" customHeight="1">
      <c r="A38" s="1" t="str">
        <f>IF(AND('Current Loan'!$B$13,32&lt;=MAX('Current Loan'!B7,'Proposed Loan'!B6)),32,"")</f>
        <v/>
      </c>
      <c r="B38" s="3" t="str">
        <f>IF(A38="","",SUM('Break-Even Analysis'!B379:B390))</f>
        <v/>
      </c>
      <c r="C38" s="3" t="str">
        <f>IF(A38="","",SUM('Break-Even Analysis'!C379:C390))</f>
        <v/>
      </c>
      <c r="D38" s="3" t="str">
        <f>IF(A38="","",SUM('Break-Even Analysis'!D379:D390))</f>
        <v/>
      </c>
      <c r="E38" s="3" t="str">
        <f>IF(A38="","",SUM('Break-Even Analysis'!E379:E390))</f>
        <v/>
      </c>
      <c r="F38" s="3" t="str">
        <f>IF(A38="","",SUM('Break-Even Analysis'!F379:F390))</f>
        <v/>
      </c>
      <c r="G38" s="3" t="str">
        <f>IF(A38="","",SUM($F$7:F38)-'Proposed Loan'!B18)</f>
        <v/>
      </c>
      <c r="H38" s="1"/>
    </row>
    <row r="39" spans="1:8" ht="20.05" customHeight="1">
      <c r="A39" s="1" t="str">
        <f>IF(AND('Current Loan'!$B$13,33&lt;=MAX('Current Loan'!B7,'Proposed Loan'!B6)),33,"")</f>
        <v/>
      </c>
      <c r="B39" s="3" t="str">
        <f>IF(A39="","",SUM('Break-Even Analysis'!B391:B402))</f>
        <v/>
      </c>
      <c r="C39" s="3" t="str">
        <f>IF(A39="","",SUM('Break-Even Analysis'!C391:C402))</f>
        <v/>
      </c>
      <c r="D39" s="3" t="str">
        <f>IF(A39="","",SUM('Break-Even Analysis'!D391:D402))</f>
        <v/>
      </c>
      <c r="E39" s="3" t="str">
        <f>IF(A39="","",SUM('Break-Even Analysis'!E391:E402))</f>
        <v/>
      </c>
      <c r="F39" s="3" t="str">
        <f>IF(A39="","",SUM('Break-Even Analysis'!F391:F402))</f>
        <v/>
      </c>
      <c r="G39" s="3" t="str">
        <f>IF(A39="","",SUM($F$7:F39)-'Proposed Loan'!B18)</f>
        <v/>
      </c>
      <c r="H39" s="1"/>
    </row>
    <row r="40" spans="1:8" ht="20.05" customHeight="1">
      <c r="A40" s="1" t="str">
        <f>IF(AND('Current Loan'!$B$13,34&lt;=MAX('Current Loan'!B7,'Proposed Loan'!B6)),34,"")</f>
        <v/>
      </c>
      <c r="B40" s="3" t="str">
        <f>IF(A40="","",SUM('Break-Even Analysis'!B403:B414))</f>
        <v/>
      </c>
      <c r="C40" s="3" t="str">
        <f>IF(A40="","",SUM('Break-Even Analysis'!C403:C414))</f>
        <v/>
      </c>
      <c r="D40" s="3" t="str">
        <f>IF(A40="","",SUM('Break-Even Analysis'!D403:D414))</f>
        <v/>
      </c>
      <c r="E40" s="3" t="str">
        <f>IF(A40="","",SUM('Break-Even Analysis'!E403:E414))</f>
        <v/>
      </c>
      <c r="F40" s="3" t="str">
        <f>IF(A40="","",SUM('Break-Even Analysis'!F403:F414))</f>
        <v/>
      </c>
      <c r="G40" s="3" t="str">
        <f>IF(A40="","",SUM($F$7:F40)-'Proposed Loan'!B18)</f>
        <v/>
      </c>
      <c r="H40" s="1"/>
    </row>
    <row r="41" spans="1:8" ht="20.05" customHeight="1">
      <c r="A41" s="1" t="str">
        <f>IF(AND('Current Loan'!$B$13,35&lt;=MAX('Current Loan'!B7,'Proposed Loan'!B6)),35,"")</f>
        <v/>
      </c>
      <c r="B41" s="3" t="str">
        <f>IF(A41="","",SUM('Break-Even Analysis'!B415:B426))</f>
        <v/>
      </c>
      <c r="C41" s="3" t="str">
        <f>IF(A41="","",SUM('Break-Even Analysis'!C415:C426))</f>
        <v/>
      </c>
      <c r="D41" s="3" t="str">
        <f>IF(A41="","",SUM('Break-Even Analysis'!D415:D426))</f>
        <v/>
      </c>
      <c r="E41" s="3" t="str">
        <f>IF(A41="","",SUM('Break-Even Analysis'!E415:E426))</f>
        <v/>
      </c>
      <c r="F41" s="3" t="str">
        <f>IF(A41="","",SUM('Break-Even Analysis'!F415:F426))</f>
        <v/>
      </c>
      <c r="G41" s="3" t="str">
        <f>IF(A41="","",SUM($F$7:F41)-'Proposed Loan'!B18)</f>
        <v/>
      </c>
      <c r="H41" s="1"/>
    </row>
    <row r="42" spans="1:8" ht="20.05" customHeight="1">
      <c r="A42" s="1" t="str">
        <f>IF(AND('Current Loan'!$B$13,36&lt;=MAX('Current Loan'!B7,'Proposed Loan'!B6)),36,"")</f>
        <v/>
      </c>
      <c r="B42" s="3" t="str">
        <f>IF(A42="","",SUM('Break-Even Analysis'!B427:B438))</f>
        <v/>
      </c>
      <c r="C42" s="3" t="str">
        <f>IF(A42="","",SUM('Break-Even Analysis'!C427:C438))</f>
        <v/>
      </c>
      <c r="D42" s="3" t="str">
        <f>IF(A42="","",SUM('Break-Even Analysis'!D427:D438))</f>
        <v/>
      </c>
      <c r="E42" s="3" t="str">
        <f>IF(A42="","",SUM('Break-Even Analysis'!E427:E438))</f>
        <v/>
      </c>
      <c r="F42" s="3" t="str">
        <f>IF(A42="","",SUM('Break-Even Analysis'!F427:F438))</f>
        <v/>
      </c>
      <c r="G42" s="3" t="str">
        <f>IF(A42="","",SUM($F$7:F42)-'Proposed Loan'!B18)</f>
        <v/>
      </c>
      <c r="H42" s="1"/>
    </row>
    <row r="43" spans="1:8" ht="20.05" customHeight="1">
      <c r="A43" s="1" t="str">
        <f>IF(AND('Current Loan'!$B$13,37&lt;=MAX('Current Loan'!B7,'Proposed Loan'!B6)),37,"")</f>
        <v/>
      </c>
      <c r="B43" s="3" t="str">
        <f>IF(A43="","",SUM('Break-Even Analysis'!B439:B450))</f>
        <v/>
      </c>
      <c r="C43" s="3" t="str">
        <f>IF(A43="","",SUM('Break-Even Analysis'!C439:C450))</f>
        <v/>
      </c>
      <c r="D43" s="3" t="str">
        <f>IF(A43="","",SUM('Break-Even Analysis'!D439:D450))</f>
        <v/>
      </c>
      <c r="E43" s="3" t="str">
        <f>IF(A43="","",SUM('Break-Even Analysis'!E439:E450))</f>
        <v/>
      </c>
      <c r="F43" s="3" t="str">
        <f>IF(A43="","",SUM('Break-Even Analysis'!F439:F450))</f>
        <v/>
      </c>
      <c r="G43" s="3" t="str">
        <f>IF(A43="","",SUM($F$7:F43)-'Proposed Loan'!B18)</f>
        <v/>
      </c>
      <c r="H43" s="1"/>
    </row>
    <row r="44" spans="1:8" ht="20.05" customHeight="1">
      <c r="A44" s="1" t="str">
        <f>IF(AND('Current Loan'!$B$13,38&lt;=MAX('Current Loan'!B7,'Proposed Loan'!B6)),38,"")</f>
        <v/>
      </c>
      <c r="B44" s="3" t="str">
        <f>IF(A44="","",SUM('Break-Even Analysis'!B451:B462))</f>
        <v/>
      </c>
      <c r="C44" s="3" t="str">
        <f>IF(A44="","",SUM('Break-Even Analysis'!C451:C462))</f>
        <v/>
      </c>
      <c r="D44" s="3" t="str">
        <f>IF(A44="","",SUM('Break-Even Analysis'!D451:D462))</f>
        <v/>
      </c>
      <c r="E44" s="3" t="str">
        <f>IF(A44="","",SUM('Break-Even Analysis'!E451:E462))</f>
        <v/>
      </c>
      <c r="F44" s="3" t="str">
        <f>IF(A44="","",SUM('Break-Even Analysis'!F451:F462))</f>
        <v/>
      </c>
      <c r="G44" s="3" t="str">
        <f>IF(A44="","",SUM($F$7:F44)-'Proposed Loan'!B18)</f>
        <v/>
      </c>
      <c r="H44" s="1"/>
    </row>
    <row r="45" spans="1:8" ht="20.05" customHeight="1">
      <c r="A45" s="1" t="str">
        <f>IF(AND('Current Loan'!$B$13,39&lt;=MAX('Current Loan'!B7,'Proposed Loan'!B6)),39,"")</f>
        <v/>
      </c>
      <c r="B45" s="3" t="str">
        <f>IF(A45="","",SUM('Break-Even Analysis'!B463:B474))</f>
        <v/>
      </c>
      <c r="C45" s="3" t="str">
        <f>IF(A45="","",SUM('Break-Even Analysis'!C463:C474))</f>
        <v/>
      </c>
      <c r="D45" s="3" t="str">
        <f>IF(A45="","",SUM('Break-Even Analysis'!D463:D474))</f>
        <v/>
      </c>
      <c r="E45" s="3" t="str">
        <f>IF(A45="","",SUM('Break-Even Analysis'!E463:E474))</f>
        <v/>
      </c>
      <c r="F45" s="3" t="str">
        <f>IF(A45="","",SUM('Break-Even Analysis'!F463:F474))</f>
        <v/>
      </c>
      <c r="G45" s="3" t="str">
        <f>IF(A45="","",SUM($F$7:F45)-'Proposed Loan'!B18)</f>
        <v/>
      </c>
      <c r="H45" s="1"/>
    </row>
    <row r="46" spans="1:8" ht="20.05" customHeight="1">
      <c r="A46" s="1" t="str">
        <f>IF(AND('Current Loan'!$B$13,40&lt;=MAX('Current Loan'!B7,'Proposed Loan'!B6)),40,"")</f>
        <v/>
      </c>
      <c r="B46" s="3" t="str">
        <f>IF(A46="","",SUM('Break-Even Analysis'!B475:B486))</f>
        <v/>
      </c>
      <c r="C46" s="3" t="str">
        <f>IF(A46="","",SUM('Break-Even Analysis'!C475:C486))</f>
        <v/>
      </c>
      <c r="D46" s="3" t="str">
        <f>IF(A46="","",SUM('Break-Even Analysis'!D475:D486))</f>
        <v/>
      </c>
      <c r="E46" s="3" t="str">
        <f>IF(A46="","",SUM('Break-Even Analysis'!E475:E486))</f>
        <v/>
      </c>
      <c r="F46" s="3" t="str">
        <f>IF(A46="","",SUM('Break-Even Analysis'!F475:F486))</f>
        <v/>
      </c>
      <c r="G46" s="3" t="str">
        <f>IF(A46="","",SUM($F$7:F46)-'Proposed Loan'!B18)</f>
        <v/>
      </c>
      <c r="H46" s="1"/>
    </row>
    <row r="47" spans="1:8" ht="23.05" customHeight="1">
      <c r="A47" s="1"/>
      <c r="B47" s="1"/>
      <c r="C47" s="1"/>
      <c r="D47" s="1"/>
      <c r="E47" s="1"/>
      <c r="F47" s="1"/>
      <c r="G47" s="1"/>
      <c r="H47" s="1"/>
    </row>
    <row r="48" spans="1:8" ht="23.05" customHeight="1">
      <c r="A48" s="1"/>
      <c r="B48" s="1"/>
      <c r="C48" s="1"/>
      <c r="D48" s="1"/>
      <c r="E48" s="1"/>
      <c r="F48" s="1"/>
      <c r="G48" s="1"/>
      <c r="H48" s="1"/>
    </row>
    <row r="49" spans="1:8" ht="23.05" customHeight="1">
      <c r="A49" s="1"/>
      <c r="B49" s="1"/>
      <c r="C49" s="1"/>
      <c r="D49" s="1"/>
      <c r="E49" s="1"/>
      <c r="F49" s="1"/>
      <c r="G49" s="1"/>
      <c r="H49" s="1"/>
    </row>
    <row r="50" spans="1:8" ht="23.05" customHeight="1">
      <c r="A50" s="1"/>
      <c r="B50" s="1"/>
      <c r="C50" s="1"/>
      <c r="D50" s="1"/>
      <c r="E50" s="1"/>
      <c r="F50" s="1"/>
      <c r="G50" s="1"/>
      <c r="H50" s="1"/>
    </row>
    <row r="51" spans="1:8" ht="23.05" customHeight="1">
      <c r="A51" s="1"/>
      <c r="B51" s="1"/>
      <c r="C51" s="1"/>
      <c r="D51" s="1"/>
      <c r="E51" s="1"/>
      <c r="F51" s="1"/>
      <c r="G51" s="1"/>
      <c r="H51" s="1"/>
    </row>
    <row r="52" spans="1:8" ht="23.05" customHeight="1">
      <c r="A52" s="1"/>
      <c r="B52" s="1"/>
      <c r="C52" s="1"/>
      <c r="D52" s="1"/>
      <c r="E52" s="1"/>
      <c r="F52" s="1"/>
      <c r="G52" s="1"/>
      <c r="H52" s="1"/>
    </row>
    <row r="53" spans="1:8" ht="23.05" customHeight="1">
      <c r="A53" s="1"/>
      <c r="B53" s="1"/>
      <c r="C53" s="1"/>
      <c r="D53" s="1"/>
      <c r="E53" s="1"/>
      <c r="F53" s="1"/>
      <c r="G53" s="1"/>
      <c r="H53" s="1"/>
    </row>
    <row r="54" spans="1:8" ht="23.05" customHeight="1">
      <c r="A54" s="1"/>
      <c r="B54" s="1"/>
      <c r="C54" s="1"/>
      <c r="D54" s="1"/>
      <c r="E54" s="1"/>
      <c r="F54" s="1"/>
      <c r="G54" s="1"/>
      <c r="H54" s="1"/>
    </row>
    <row r="55" spans="1:8" ht="23.05" customHeight="1">
      <c r="A55" s="1"/>
      <c r="B55" s="1"/>
      <c r="C55" s="1"/>
      <c r="D55" s="1"/>
      <c r="E55" s="1"/>
      <c r="F55" s="1"/>
      <c r="G55" s="1"/>
      <c r="H55" s="1"/>
    </row>
    <row r="56" spans="1:8" ht="23.05" customHeight="1">
      <c r="A56" s="1"/>
      <c r="B56" s="1"/>
      <c r="C56" s="1"/>
      <c r="D56" s="1"/>
      <c r="E56" s="1"/>
      <c r="F56" s="1"/>
      <c r="G56" s="1"/>
      <c r="H56" s="1"/>
    </row>
    <row r="57" spans="1:8" ht="23.05" customHeight="1">
      <c r="A57" s="1"/>
      <c r="B57" s="1"/>
      <c r="C57" s="1"/>
      <c r="D57" s="1"/>
      <c r="E57" s="1"/>
      <c r="F57" s="1"/>
      <c r="G57" s="1"/>
      <c r="H57" s="1"/>
    </row>
    <row r="58" spans="1:8" ht="23.05" customHeight="1">
      <c r="A58" s="1"/>
      <c r="B58" s="1"/>
      <c r="C58" s="1"/>
      <c r="D58" s="1"/>
      <c r="E58" s="1"/>
      <c r="F58" s="1"/>
      <c r="G58" s="1"/>
      <c r="H58" s="1"/>
    </row>
    <row r="59" spans="1:8" ht="23.05" customHeight="1">
      <c r="A59" s="1"/>
      <c r="B59" s="1"/>
      <c r="C59" s="1"/>
      <c r="D59" s="1"/>
      <c r="E59" s="1"/>
      <c r="F59" s="1"/>
      <c r="G59" s="1"/>
      <c r="H59" s="1"/>
    </row>
    <row r="60" spans="1:8" ht="23.05" customHeight="1">
      <c r="A60" s="1"/>
      <c r="B60" s="1"/>
      <c r="C60" s="1"/>
      <c r="D60" s="1"/>
      <c r="E60" s="1"/>
      <c r="F60" s="1"/>
      <c r="G60" s="1"/>
      <c r="H60" s="1"/>
    </row>
    <row r="61" spans="1:8" ht="23.05" customHeight="1">
      <c r="A61" s="1"/>
      <c r="B61" s="1"/>
      <c r="C61" s="1"/>
      <c r="D61" s="1"/>
      <c r="E61" s="1"/>
      <c r="F61" s="1"/>
      <c r="G61" s="1"/>
      <c r="H61" s="1"/>
    </row>
    <row r="62" spans="1:8" ht="23.05" customHeight="1">
      <c r="A62" s="1"/>
      <c r="B62" s="1"/>
      <c r="C62" s="1"/>
      <c r="D62" s="1"/>
      <c r="E62" s="1"/>
      <c r="F62" s="1"/>
      <c r="G62" s="1"/>
      <c r="H62" s="1"/>
    </row>
    <row r="63" spans="1:8" ht="23.05" customHeight="1">
      <c r="A63" s="1"/>
      <c r="B63" s="1"/>
      <c r="C63" s="1"/>
      <c r="D63" s="1"/>
      <c r="E63" s="1"/>
      <c r="F63" s="1"/>
      <c r="G63" s="1"/>
      <c r="H63" s="1"/>
    </row>
    <row r="64" spans="1:8" ht="23.05" customHeight="1">
      <c r="A64" s="1"/>
      <c r="B64" s="1"/>
      <c r="C64" s="1"/>
      <c r="D64" s="1"/>
      <c r="E64" s="1"/>
      <c r="F64" s="1"/>
      <c r="G64" s="1"/>
      <c r="H64" s="1"/>
    </row>
    <row r="65" spans="1:8" ht="23.05" customHeight="1">
      <c r="A65" s="1"/>
      <c r="B65" s="1"/>
      <c r="C65" s="1"/>
      <c r="D65" s="1"/>
      <c r="E65" s="1"/>
      <c r="F65" s="1"/>
      <c r="G65" s="1"/>
      <c r="H65" s="1"/>
    </row>
    <row r="66" spans="1:8" ht="23.05" customHeight="1">
      <c r="A66" s="1"/>
      <c r="B66" s="1"/>
      <c r="C66" s="1"/>
      <c r="D66" s="1"/>
      <c r="E66" s="1"/>
      <c r="F66" s="1"/>
      <c r="G66" s="1"/>
      <c r="H66" s="1"/>
    </row>
    <row r="67" spans="1:8" ht="23.05" customHeight="1">
      <c r="A67" s="1"/>
      <c r="B67" s="1"/>
      <c r="C67" s="1"/>
      <c r="D67" s="1"/>
      <c r="E67" s="1"/>
      <c r="F67" s="1"/>
      <c r="G67" s="1"/>
      <c r="H67" s="1"/>
    </row>
    <row r="68" spans="1:8" ht="23.05" customHeight="1">
      <c r="A68" s="1"/>
      <c r="B68" s="1"/>
      <c r="C68" s="1"/>
      <c r="D68" s="1"/>
      <c r="E68" s="1"/>
      <c r="F68" s="1"/>
      <c r="G68" s="1"/>
      <c r="H68" s="1"/>
    </row>
    <row r="69" spans="1:8" ht="23.05" customHeight="1">
      <c r="A69" s="1"/>
      <c r="B69" s="1"/>
      <c r="C69" s="1"/>
      <c r="D69" s="1"/>
      <c r="E69" s="1"/>
      <c r="F69" s="1"/>
      <c r="G69" s="1"/>
      <c r="H69" s="1"/>
    </row>
    <row r="70" spans="1:8" ht="23.05" customHeight="1">
      <c r="A70" s="1"/>
      <c r="B70" s="1"/>
      <c r="C70" s="1"/>
      <c r="D70" s="1"/>
      <c r="E70" s="1"/>
      <c r="F70" s="1"/>
      <c r="G70" s="1"/>
      <c r="H70" s="1"/>
    </row>
  </sheetData>
  <sheetProtection sheet="1" objects="1" scenarios="1"/>
  <mergeCells count="1">
    <mergeCell ref="A1:H2"/>
  </mergeCells>
  <pageMargins left="0.39370078740157477" right="0.39370078740157477" top="0.39370078740157477" bottom="0.59055118110236215" header="0.3" footer="0.19685039370078738"/>
  <pageSetup paperSize="9" scale="92" fitToHeight="0" orientation="landscape" r:id="rId1"/>
  <headerFooter>
    <oddFooter>&amp;CCalcy | Page &amp;P&amp;Rcalcy.com.au</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D6A4F"/>
    <pageSetUpPr fitToPage="1"/>
  </sheetPr>
  <dimension ref="A1:H70"/>
  <sheetViews>
    <sheetView showGridLines="0" zoomScaleNormal="100" workbookViewId="0">
      <pane ySplit="25" topLeftCell="A26" activePane="bottomLeft" state="frozen"/>
      <selection pane="bottomLeft" sqref="A1:H2"/>
    </sheetView>
  </sheetViews>
  <sheetFormatPr defaultRowHeight="14.15"/>
  <cols>
    <col min="1" max="1" width="36" customWidth="1"/>
    <col min="2" max="8" width="17" customWidth="1"/>
  </cols>
  <sheetData>
    <row r="1" spans="1:8" ht="23.05" customHeight="1">
      <c r="A1" s="20" t="s">
        <v>64</v>
      </c>
      <c r="B1" s="20"/>
      <c r="C1" s="20"/>
      <c r="D1" s="20"/>
      <c r="E1" s="20"/>
      <c r="F1" s="20"/>
      <c r="G1" s="20"/>
      <c r="H1" s="20"/>
    </row>
    <row r="2" spans="1:8" ht="23.05" customHeight="1">
      <c r="A2" s="20"/>
      <c r="B2" s="20"/>
      <c r="C2" s="20"/>
      <c r="D2" s="20"/>
      <c r="E2" s="20"/>
      <c r="F2" s="20"/>
      <c r="G2" s="20"/>
      <c r="H2" s="20"/>
    </row>
    <row r="3" spans="1:8" ht="23.05" customHeight="1">
      <c r="A3" s="1"/>
      <c r="B3" s="1"/>
      <c r="C3" s="1"/>
      <c r="D3" s="1"/>
      <c r="E3" s="1"/>
      <c r="F3" s="1"/>
      <c r="G3" s="1"/>
      <c r="H3" s="1"/>
    </row>
    <row r="4" spans="1:8" ht="23.05" customHeight="1">
      <c r="A4" s="1"/>
      <c r="B4" s="1"/>
      <c r="C4" s="1"/>
      <c r="D4" s="1"/>
      <c r="E4" s="1"/>
      <c r="F4" s="1"/>
      <c r="G4" s="1"/>
      <c r="H4" s="1"/>
    </row>
    <row r="5" spans="1:8" ht="23.05" customHeight="1">
      <c r="A5" s="1"/>
      <c r="B5" s="1"/>
      <c r="C5" s="1"/>
      <c r="D5" s="1"/>
      <c r="E5" s="1"/>
      <c r="F5" s="1"/>
      <c r="G5" s="1"/>
      <c r="H5" s="1"/>
    </row>
    <row r="6" spans="1:8" ht="23.05" customHeight="1">
      <c r="A6" s="1"/>
      <c r="B6" s="1"/>
      <c r="C6" s="1"/>
      <c r="D6" s="1"/>
      <c r="E6" s="1"/>
      <c r="F6" s="1"/>
      <c r="G6" s="1"/>
      <c r="H6" s="1"/>
    </row>
    <row r="7" spans="1:8" ht="23.05" customHeight="1">
      <c r="A7" s="1"/>
      <c r="B7" s="1"/>
      <c r="C7" s="1"/>
      <c r="D7" s="1"/>
      <c r="E7" s="1"/>
      <c r="F7" s="1"/>
      <c r="G7" s="1"/>
      <c r="H7" s="1"/>
    </row>
    <row r="8" spans="1:8" ht="23.05" customHeight="1">
      <c r="A8" s="1"/>
      <c r="B8" s="1"/>
      <c r="C8" s="1"/>
      <c r="D8" s="1"/>
      <c r="E8" s="1"/>
      <c r="F8" s="1"/>
      <c r="G8" s="1"/>
      <c r="H8" s="1"/>
    </row>
    <row r="9" spans="1:8" ht="23.05" customHeight="1">
      <c r="A9" s="1"/>
      <c r="B9" s="1"/>
      <c r="C9" s="1"/>
      <c r="D9" s="1"/>
      <c r="E9" s="1"/>
      <c r="F9" s="1"/>
      <c r="G9" s="1"/>
      <c r="H9" s="1"/>
    </row>
    <row r="10" spans="1:8" ht="23.05" customHeight="1">
      <c r="A10" s="1"/>
      <c r="B10" s="1"/>
      <c r="C10" s="1"/>
      <c r="D10" s="1"/>
      <c r="E10" s="1"/>
      <c r="F10" s="1"/>
      <c r="G10" s="1"/>
      <c r="H10" s="1"/>
    </row>
    <row r="11" spans="1:8" ht="23.05" customHeight="1">
      <c r="A11" s="1"/>
      <c r="B11" s="1"/>
      <c r="C11" s="1"/>
      <c r="D11" s="1"/>
      <c r="E11" s="1"/>
      <c r="F11" s="1"/>
      <c r="G11" s="1"/>
      <c r="H11" s="1"/>
    </row>
    <row r="12" spans="1:8" ht="23.05" customHeight="1">
      <c r="A12" s="1"/>
      <c r="B12" s="1"/>
      <c r="C12" s="1"/>
      <c r="D12" s="1"/>
      <c r="E12" s="1"/>
      <c r="F12" s="1"/>
      <c r="G12" s="1"/>
      <c r="H12" s="1"/>
    </row>
    <row r="13" spans="1:8" ht="23.05" customHeight="1">
      <c r="A13" s="1"/>
      <c r="B13" s="1"/>
      <c r="C13" s="1"/>
      <c r="D13" s="1"/>
      <c r="E13" s="1"/>
      <c r="F13" s="1"/>
      <c r="G13" s="1"/>
      <c r="H13" s="1"/>
    </row>
    <row r="14" spans="1:8" ht="23.05" customHeight="1">
      <c r="A14" s="1"/>
      <c r="B14" s="1"/>
      <c r="C14" s="1"/>
      <c r="D14" s="1"/>
      <c r="E14" s="1"/>
      <c r="F14" s="1"/>
      <c r="G14" s="1"/>
      <c r="H14" s="1"/>
    </row>
    <row r="15" spans="1:8" ht="23.05" customHeight="1">
      <c r="A15" s="1"/>
      <c r="B15" s="1"/>
      <c r="C15" s="1"/>
      <c r="D15" s="1"/>
      <c r="E15" s="1"/>
      <c r="F15" s="1"/>
      <c r="G15" s="1"/>
      <c r="H15" s="1"/>
    </row>
    <row r="16" spans="1:8" ht="23.05" customHeight="1">
      <c r="A16" s="1"/>
      <c r="B16" s="1"/>
      <c r="C16" s="1"/>
      <c r="D16" s="1"/>
      <c r="E16" s="1"/>
      <c r="F16" s="1"/>
      <c r="G16" s="1"/>
      <c r="H16" s="1"/>
    </row>
    <row r="17" spans="1:8" ht="23.05" customHeight="1">
      <c r="A17" s="1"/>
      <c r="B17" s="1"/>
      <c r="C17" s="1"/>
      <c r="D17" s="1"/>
      <c r="E17" s="1"/>
      <c r="F17" s="1"/>
      <c r="G17" s="1"/>
      <c r="H17" s="1"/>
    </row>
    <row r="18" spans="1:8" ht="23.05" customHeight="1">
      <c r="A18" s="1"/>
      <c r="B18" s="1"/>
      <c r="C18" s="1"/>
      <c r="D18" s="1"/>
      <c r="E18" s="1"/>
      <c r="F18" s="1"/>
      <c r="G18" s="1"/>
      <c r="H18" s="1"/>
    </row>
    <row r="19" spans="1:8" ht="23.05" customHeight="1">
      <c r="A19" s="1"/>
      <c r="B19" s="1"/>
      <c r="C19" s="1"/>
      <c r="D19" s="1"/>
      <c r="E19" s="1"/>
      <c r="F19" s="1"/>
      <c r="G19" s="1"/>
      <c r="H19" s="1"/>
    </row>
    <row r="20" spans="1:8" ht="23.05" customHeight="1">
      <c r="A20" s="1"/>
      <c r="B20" s="1"/>
      <c r="C20" s="1"/>
      <c r="D20" s="1"/>
      <c r="E20" s="1"/>
      <c r="F20" s="1"/>
      <c r="G20" s="1"/>
      <c r="H20" s="1"/>
    </row>
    <row r="21" spans="1:8" ht="23.05" customHeight="1">
      <c r="A21" s="1"/>
      <c r="B21" s="1"/>
      <c r="C21" s="1"/>
      <c r="D21" s="1"/>
      <c r="E21" s="1"/>
      <c r="F21" s="1"/>
      <c r="G21" s="1"/>
      <c r="H21" s="1"/>
    </row>
    <row r="22" spans="1:8" ht="23.05" customHeight="1">
      <c r="A22" s="1"/>
      <c r="B22" s="1"/>
      <c r="C22" s="1"/>
      <c r="D22" s="1"/>
      <c r="E22" s="1"/>
      <c r="F22" s="1"/>
      <c r="G22" s="1"/>
      <c r="H22" s="1"/>
    </row>
    <row r="23" spans="1:8" ht="23.05" customHeight="1">
      <c r="A23" s="1"/>
      <c r="B23" s="1"/>
      <c r="C23" s="1"/>
      <c r="D23" s="1"/>
      <c r="E23" s="1"/>
      <c r="F23" s="1"/>
      <c r="G23" s="1"/>
      <c r="H23" s="1"/>
    </row>
    <row r="24" spans="1:8" ht="23.05" customHeight="1">
      <c r="A24" s="1"/>
      <c r="B24" s="1"/>
      <c r="C24" s="1"/>
      <c r="D24" s="1"/>
      <c r="E24" s="1"/>
      <c r="F24" s="1"/>
      <c r="G24" s="1"/>
      <c r="H24" s="1"/>
    </row>
    <row r="25" spans="1:8" ht="36" customHeight="1">
      <c r="A25" s="2" t="s">
        <v>59</v>
      </c>
      <c r="B25" s="2" t="s">
        <v>65</v>
      </c>
      <c r="C25" s="1"/>
      <c r="D25" s="1"/>
      <c r="E25" s="1"/>
      <c r="F25" s="1"/>
      <c r="G25" s="1"/>
      <c r="H25" s="1"/>
    </row>
    <row r="26" spans="1:8" ht="23.05" customHeight="1">
      <c r="A26" s="1">
        <v>0</v>
      </c>
      <c r="B26" s="1">
        <f>IF('Current Loan'!$B$13,-'Proposed Loan'!B18,"")</f>
        <v>-1550</v>
      </c>
      <c r="C26" s="1"/>
      <c r="D26" s="1"/>
      <c r="E26" s="1"/>
      <c r="F26" s="1"/>
      <c r="G26" s="1"/>
      <c r="H26" s="1"/>
    </row>
    <row r="27" spans="1:8" ht="23.05" customHeight="1">
      <c r="A27" s="1">
        <v>1</v>
      </c>
      <c r="B27" s="1">
        <f>IF('Current Loan'!$B$13,SUM('Year-by-Year Comparison'!F7:F7)-'Proposed Loan'!B18,"")</f>
        <v>980.64926924580504</v>
      </c>
      <c r="C27" s="1"/>
      <c r="D27" s="1"/>
      <c r="E27" s="1"/>
      <c r="F27" s="1"/>
      <c r="G27" s="1"/>
      <c r="H27" s="1"/>
    </row>
    <row r="28" spans="1:8" ht="23.05" customHeight="1">
      <c r="A28" s="1">
        <v>2</v>
      </c>
      <c r="B28" s="1">
        <f>IF('Current Loan'!$B$13,SUM('Year-by-Year Comparison'!F7:F8)-'Proposed Loan'!B18,"")</f>
        <v>3511.2985384916101</v>
      </c>
      <c r="C28" s="1"/>
      <c r="D28" s="1"/>
      <c r="E28" s="1"/>
      <c r="F28" s="1"/>
      <c r="G28" s="1"/>
      <c r="H28" s="1"/>
    </row>
    <row r="29" spans="1:8" ht="23.05" customHeight="1">
      <c r="A29" s="1">
        <v>3</v>
      </c>
      <c r="B29" s="1">
        <f>IF('Current Loan'!$B$13,SUM('Year-by-Year Comparison'!F7:F9)-'Proposed Loan'!B18,"")</f>
        <v>6041.9478077374151</v>
      </c>
      <c r="C29" s="1"/>
      <c r="D29" s="1"/>
      <c r="E29" s="1"/>
      <c r="F29" s="1"/>
      <c r="G29" s="1"/>
      <c r="H29" s="1"/>
    </row>
    <row r="30" spans="1:8" ht="23.05" customHeight="1">
      <c r="A30" s="1">
        <v>4</v>
      </c>
      <c r="B30" s="1">
        <f>IF('Current Loan'!$B$13,SUM('Year-by-Year Comparison'!F7:F10)-'Proposed Loan'!B18,"")</f>
        <v>8572.5970769832202</v>
      </c>
      <c r="C30" s="1"/>
      <c r="D30" s="1"/>
      <c r="E30" s="1"/>
      <c r="F30" s="1"/>
      <c r="G30" s="1"/>
      <c r="H30" s="1"/>
    </row>
    <row r="31" spans="1:8" ht="23.05" customHeight="1">
      <c r="A31" s="1">
        <v>5</v>
      </c>
      <c r="B31" s="1">
        <f>IF('Current Loan'!$B$13,SUM('Year-by-Year Comparison'!F7:F11)-'Proposed Loan'!B18,"")</f>
        <v>11103.246346229025</v>
      </c>
      <c r="C31" s="1"/>
      <c r="D31" s="1"/>
      <c r="E31" s="1"/>
      <c r="F31" s="1"/>
      <c r="G31" s="1"/>
      <c r="H31" s="1"/>
    </row>
    <row r="32" spans="1:8" ht="23.05" customHeight="1">
      <c r="A32" s="1">
        <v>6</v>
      </c>
      <c r="B32" s="1">
        <f>IF('Current Loan'!$B$13,SUM('Year-by-Year Comparison'!F7:F12)-'Proposed Loan'!B18,"")</f>
        <v>13633.89561547483</v>
      </c>
      <c r="C32" s="1"/>
      <c r="D32" s="1"/>
      <c r="E32" s="1"/>
      <c r="F32" s="1"/>
      <c r="G32" s="1"/>
      <c r="H32" s="1"/>
    </row>
    <row r="33" spans="1:8" ht="23.05" customHeight="1">
      <c r="A33" s="1">
        <v>7</v>
      </c>
      <c r="B33" s="1">
        <f>IF('Current Loan'!$B$13,SUM('Year-by-Year Comparison'!F7:F13)-'Proposed Loan'!B18,"")</f>
        <v>16164.544884720635</v>
      </c>
      <c r="C33" s="1"/>
      <c r="D33" s="1"/>
      <c r="E33" s="1"/>
      <c r="F33" s="1"/>
      <c r="G33" s="1"/>
      <c r="H33" s="1"/>
    </row>
    <row r="34" spans="1:8" ht="23.05" customHeight="1">
      <c r="A34" s="1">
        <v>8</v>
      </c>
      <c r="B34" s="1">
        <f>IF('Current Loan'!$B$13,SUM('Year-by-Year Comparison'!F7:F14)-'Proposed Loan'!B18,"")</f>
        <v>18695.19415396644</v>
      </c>
      <c r="C34" s="1"/>
      <c r="D34" s="1"/>
      <c r="E34" s="1"/>
      <c r="F34" s="1"/>
      <c r="G34" s="1"/>
      <c r="H34" s="1"/>
    </row>
    <row r="35" spans="1:8" ht="23.05" customHeight="1">
      <c r="A35" s="1">
        <v>9</v>
      </c>
      <c r="B35" s="1">
        <f>IF('Current Loan'!$B$13,SUM('Year-by-Year Comparison'!F7:F15)-'Proposed Loan'!B18,"")</f>
        <v>21225.843423212245</v>
      </c>
      <c r="C35" s="1"/>
      <c r="D35" s="1"/>
      <c r="E35" s="1"/>
      <c r="F35" s="1"/>
      <c r="G35" s="1"/>
      <c r="H35" s="1"/>
    </row>
    <row r="36" spans="1:8" ht="23.05" customHeight="1">
      <c r="A36" s="1">
        <v>10</v>
      </c>
      <c r="B36" s="1">
        <f>IF('Current Loan'!$B$13,SUM('Year-by-Year Comparison'!F7:F16)-'Proposed Loan'!B18,"")</f>
        <v>23756.49269245805</v>
      </c>
      <c r="C36" s="1"/>
      <c r="D36" s="1"/>
      <c r="E36" s="1"/>
      <c r="F36" s="1"/>
      <c r="G36" s="1"/>
      <c r="H36" s="1"/>
    </row>
    <row r="37" spans="1:8" ht="23.05" customHeight="1">
      <c r="A37" s="1">
        <v>11</v>
      </c>
      <c r="B37" s="1">
        <f>IF('Current Loan'!$B$13,SUM('Year-by-Year Comparison'!F7:F17)-'Proposed Loan'!B18,"")</f>
        <v>26287.141961703855</v>
      </c>
      <c r="C37" s="1"/>
      <c r="D37" s="1"/>
      <c r="E37" s="1"/>
      <c r="F37" s="1"/>
      <c r="G37" s="1"/>
      <c r="H37" s="1"/>
    </row>
    <row r="38" spans="1:8" ht="23.05" customHeight="1">
      <c r="A38" s="1">
        <v>12</v>
      </c>
      <c r="B38" s="1">
        <f>IF('Current Loan'!$B$13,SUM('Year-by-Year Comparison'!F7:F18)-'Proposed Loan'!B18,"")</f>
        <v>28817.791230949661</v>
      </c>
      <c r="C38" s="1"/>
      <c r="D38" s="1"/>
      <c r="E38" s="1"/>
      <c r="F38" s="1"/>
      <c r="G38" s="1"/>
      <c r="H38" s="1"/>
    </row>
    <row r="39" spans="1:8" ht="23.05" customHeight="1">
      <c r="A39" s="1">
        <v>13</v>
      </c>
      <c r="B39" s="1">
        <f>IF('Current Loan'!$B$13,SUM('Year-by-Year Comparison'!F7:F19)-'Proposed Loan'!B18,"")</f>
        <v>31348.440500195466</v>
      </c>
      <c r="C39" s="1"/>
      <c r="D39" s="1"/>
      <c r="E39" s="1"/>
      <c r="F39" s="1"/>
      <c r="G39" s="1"/>
      <c r="H39" s="1"/>
    </row>
    <row r="40" spans="1:8" ht="23.05" customHeight="1">
      <c r="A40" s="1">
        <v>14</v>
      </c>
      <c r="B40" s="1">
        <f>IF('Current Loan'!$B$13,SUM('Year-by-Year Comparison'!F7:F20)-'Proposed Loan'!B18,"")</f>
        <v>33879.089769441271</v>
      </c>
      <c r="C40" s="1"/>
      <c r="D40" s="1"/>
      <c r="E40" s="1"/>
      <c r="F40" s="1"/>
      <c r="G40" s="1"/>
      <c r="H40" s="1"/>
    </row>
    <row r="41" spans="1:8" ht="23.05" customHeight="1">
      <c r="A41" s="1">
        <v>15</v>
      </c>
      <c r="B41" s="1">
        <f>IF('Current Loan'!$B$13,SUM('Year-by-Year Comparison'!F7:F21)-'Proposed Loan'!B18,"")</f>
        <v>36409.739038687076</v>
      </c>
      <c r="C41" s="1"/>
      <c r="D41" s="1"/>
      <c r="E41" s="1"/>
      <c r="F41" s="1"/>
      <c r="G41" s="1"/>
      <c r="H41" s="1"/>
    </row>
    <row r="42" spans="1:8" ht="23.05" customHeight="1">
      <c r="A42" s="1">
        <v>16</v>
      </c>
      <c r="B42" s="1">
        <f>IF('Current Loan'!$B$13,SUM('Year-by-Year Comparison'!F7:F22)-'Proposed Loan'!B18,"")</f>
        <v>38940.388307932881</v>
      </c>
      <c r="C42" s="1"/>
      <c r="D42" s="1"/>
      <c r="E42" s="1"/>
      <c r="F42" s="1"/>
      <c r="G42" s="1"/>
      <c r="H42" s="1"/>
    </row>
    <row r="43" spans="1:8" ht="23.05" customHeight="1">
      <c r="A43" s="1">
        <v>17</v>
      </c>
      <c r="B43" s="1">
        <f>IF('Current Loan'!$B$13,SUM('Year-by-Year Comparison'!F7:F23)-'Proposed Loan'!B18,"")</f>
        <v>41471.037577178686</v>
      </c>
      <c r="C43" s="1"/>
      <c r="D43" s="1"/>
      <c r="E43" s="1"/>
      <c r="F43" s="1"/>
      <c r="G43" s="1"/>
      <c r="H43" s="1"/>
    </row>
    <row r="44" spans="1:8" ht="23.05" customHeight="1">
      <c r="A44" s="1">
        <v>18</v>
      </c>
      <c r="B44" s="1">
        <f>IF('Current Loan'!$B$13,SUM('Year-by-Year Comparison'!F7:F24)-'Proposed Loan'!B18,"")</f>
        <v>44001.686846424491</v>
      </c>
      <c r="C44" s="1"/>
      <c r="D44" s="1"/>
      <c r="E44" s="1"/>
      <c r="F44" s="1"/>
      <c r="G44" s="1"/>
      <c r="H44" s="1"/>
    </row>
    <row r="45" spans="1:8" ht="23.05" customHeight="1">
      <c r="A45" s="1">
        <v>19</v>
      </c>
      <c r="B45" s="1">
        <f>IF('Current Loan'!$B$13,SUM('Year-by-Year Comparison'!F7:F25)-'Proposed Loan'!B18,"")</f>
        <v>46532.336115670296</v>
      </c>
      <c r="C45" s="1"/>
      <c r="D45" s="1"/>
      <c r="E45" s="1"/>
      <c r="F45" s="1"/>
      <c r="G45" s="1"/>
      <c r="H45" s="1"/>
    </row>
    <row r="46" spans="1:8" ht="23.05" customHeight="1">
      <c r="A46" s="1">
        <v>20</v>
      </c>
      <c r="B46" s="1">
        <f>IF('Current Loan'!$B$13,SUM('Year-by-Year Comparison'!F7:F26)-'Proposed Loan'!B18,"")</f>
        <v>49062.985384916101</v>
      </c>
      <c r="C46" s="1"/>
      <c r="D46" s="1"/>
      <c r="E46" s="1"/>
      <c r="F46" s="1"/>
      <c r="G46" s="1"/>
      <c r="H46" s="1"/>
    </row>
    <row r="47" spans="1:8" ht="23.05" customHeight="1">
      <c r="A47" s="1">
        <v>21</v>
      </c>
      <c r="B47" s="1">
        <f>IF('Current Loan'!$B$13,SUM('Year-by-Year Comparison'!F7:F27)-'Proposed Loan'!B18,"")</f>
        <v>51593.634654161906</v>
      </c>
      <c r="C47" s="1"/>
      <c r="D47" s="1"/>
      <c r="E47" s="1"/>
      <c r="F47" s="1"/>
      <c r="G47" s="1"/>
      <c r="H47" s="1"/>
    </row>
    <row r="48" spans="1:8" ht="23.05" customHeight="1">
      <c r="A48" s="1">
        <v>22</v>
      </c>
      <c r="B48" s="1">
        <f>IF('Current Loan'!$B$13,SUM('Year-by-Year Comparison'!F7:F28)-'Proposed Loan'!B18,"")</f>
        <v>54124.283923407711</v>
      </c>
      <c r="C48" s="1"/>
      <c r="D48" s="1"/>
      <c r="E48" s="1"/>
      <c r="F48" s="1"/>
      <c r="G48" s="1"/>
      <c r="H48" s="1"/>
    </row>
    <row r="49" spans="1:8" ht="23.05" customHeight="1">
      <c r="A49" s="1">
        <v>23</v>
      </c>
      <c r="B49" s="1">
        <f>IF('Current Loan'!$B$13,SUM('Year-by-Year Comparison'!F7:F29)-'Proposed Loan'!B18,"")</f>
        <v>56654.933192653516</v>
      </c>
      <c r="C49" s="1"/>
      <c r="D49" s="1"/>
      <c r="E49" s="1"/>
      <c r="F49" s="1"/>
      <c r="G49" s="1"/>
      <c r="H49" s="1"/>
    </row>
    <row r="50" spans="1:8" ht="23.05" customHeight="1">
      <c r="A50" s="1">
        <v>24</v>
      </c>
      <c r="B50" s="1">
        <f>IF('Current Loan'!$B$13,SUM('Year-by-Year Comparison'!F7:F30)-'Proposed Loan'!B18,"")</f>
        <v>59185.582461899321</v>
      </c>
      <c r="C50" s="1"/>
      <c r="D50" s="1"/>
      <c r="E50" s="1"/>
      <c r="F50" s="1"/>
      <c r="G50" s="1"/>
      <c r="H50" s="1"/>
    </row>
    <row r="51" spans="1:8" ht="23.05" customHeight="1">
      <c r="A51" s="1">
        <v>25</v>
      </c>
      <c r="B51" s="1">
        <f>IF('Current Loan'!$B$13,SUM('Year-by-Year Comparison'!F7:F31)-'Proposed Loan'!B18,"")</f>
        <v>61716.231731145126</v>
      </c>
      <c r="C51" s="1"/>
      <c r="D51" s="1"/>
      <c r="E51" s="1"/>
      <c r="F51" s="1"/>
      <c r="G51" s="1"/>
      <c r="H51" s="1"/>
    </row>
    <row r="52" spans="1:8" ht="23.05" customHeight="1">
      <c r="A52" s="1">
        <v>26</v>
      </c>
      <c r="B52" s="1">
        <f>IF('Current Loan'!$B$13,SUM('Year-by-Year Comparison'!F7:F32)-'Proposed Loan'!B18,"")</f>
        <v>61716.231731145126</v>
      </c>
      <c r="C52" s="1"/>
      <c r="D52" s="1"/>
      <c r="E52" s="1"/>
      <c r="F52" s="1"/>
      <c r="G52" s="1"/>
      <c r="H52" s="1"/>
    </row>
    <row r="53" spans="1:8" ht="23.05" customHeight="1">
      <c r="A53" s="1">
        <v>27</v>
      </c>
      <c r="B53" s="1">
        <f>IF('Current Loan'!$B$13,SUM('Year-by-Year Comparison'!F7:F33)-'Proposed Loan'!B18,"")</f>
        <v>61716.231731145126</v>
      </c>
      <c r="C53" s="1"/>
      <c r="D53" s="1"/>
      <c r="E53" s="1"/>
      <c r="F53" s="1"/>
      <c r="G53" s="1"/>
      <c r="H53" s="1"/>
    </row>
    <row r="54" spans="1:8" ht="23.05" customHeight="1">
      <c r="A54" s="1">
        <v>28</v>
      </c>
      <c r="B54" s="1">
        <f>IF('Current Loan'!$B$13,SUM('Year-by-Year Comparison'!F7:F34)-'Proposed Loan'!B18,"")</f>
        <v>61716.231731145126</v>
      </c>
      <c r="C54" s="1"/>
      <c r="D54" s="1"/>
      <c r="E54" s="1"/>
      <c r="F54" s="1"/>
      <c r="G54" s="1"/>
      <c r="H54" s="1"/>
    </row>
    <row r="55" spans="1:8" ht="23.05" customHeight="1">
      <c r="A55" s="1">
        <v>29</v>
      </c>
      <c r="B55" s="1">
        <f>IF('Current Loan'!$B$13,SUM('Year-by-Year Comparison'!F7:F35)-'Proposed Loan'!B18,"")</f>
        <v>61716.231731145126</v>
      </c>
      <c r="C55" s="1"/>
      <c r="D55" s="1"/>
      <c r="E55" s="1"/>
      <c r="F55" s="1"/>
      <c r="G55" s="1"/>
      <c r="H55" s="1"/>
    </row>
    <row r="56" spans="1:8" ht="23.05" customHeight="1">
      <c r="A56" s="1">
        <v>30</v>
      </c>
      <c r="B56" s="1">
        <f>IF('Current Loan'!$B$13,SUM('Year-by-Year Comparison'!F7:F36)-'Proposed Loan'!B18,"")</f>
        <v>61716.231731145126</v>
      </c>
      <c r="C56" s="1"/>
      <c r="D56" s="1"/>
      <c r="E56" s="1"/>
      <c r="F56" s="1"/>
      <c r="G56" s="1"/>
      <c r="H56" s="1"/>
    </row>
    <row r="57" spans="1:8" ht="23.05" customHeight="1">
      <c r="A57" s="1">
        <v>31</v>
      </c>
      <c r="B57" s="1">
        <f>IF('Current Loan'!$B$13,SUM('Year-by-Year Comparison'!F7:F37)-'Proposed Loan'!B18,"")</f>
        <v>61716.231731145126</v>
      </c>
      <c r="C57" s="1"/>
      <c r="D57" s="1"/>
      <c r="E57" s="1"/>
      <c r="F57" s="1"/>
      <c r="G57" s="1"/>
      <c r="H57" s="1"/>
    </row>
    <row r="58" spans="1:8" ht="23.05" customHeight="1">
      <c r="A58" s="1">
        <v>32</v>
      </c>
      <c r="B58" s="1">
        <f>IF('Current Loan'!$B$13,SUM('Year-by-Year Comparison'!F7:F38)-'Proposed Loan'!B18,"")</f>
        <v>61716.231731145126</v>
      </c>
      <c r="C58" s="1"/>
      <c r="D58" s="1"/>
      <c r="E58" s="1"/>
      <c r="F58" s="1"/>
      <c r="G58" s="1"/>
      <c r="H58" s="1"/>
    </row>
    <row r="59" spans="1:8" ht="23.05" customHeight="1">
      <c r="A59" s="1">
        <v>33</v>
      </c>
      <c r="B59" s="1">
        <f>IF('Current Loan'!$B$13,SUM('Year-by-Year Comparison'!F7:F39)-'Proposed Loan'!B18,"")</f>
        <v>61716.231731145126</v>
      </c>
      <c r="C59" s="1"/>
      <c r="D59" s="1"/>
      <c r="E59" s="1"/>
      <c r="F59" s="1"/>
      <c r="G59" s="1"/>
      <c r="H59" s="1"/>
    </row>
    <row r="60" spans="1:8" ht="23.05" customHeight="1">
      <c r="A60" s="1">
        <v>34</v>
      </c>
      <c r="B60" s="1">
        <f>IF('Current Loan'!$B$13,SUM('Year-by-Year Comparison'!F7:F40)-'Proposed Loan'!B18,"")</f>
        <v>61716.231731145126</v>
      </c>
      <c r="C60" s="1"/>
      <c r="D60" s="1"/>
      <c r="E60" s="1"/>
      <c r="F60" s="1"/>
      <c r="G60" s="1"/>
      <c r="H60" s="1"/>
    </row>
    <row r="61" spans="1:8" ht="23.05" customHeight="1">
      <c r="A61" s="1">
        <v>35</v>
      </c>
      <c r="B61" s="1">
        <f>IF('Current Loan'!$B$13,SUM('Year-by-Year Comparison'!F7:F41)-'Proposed Loan'!B18,"")</f>
        <v>61716.231731145126</v>
      </c>
      <c r="C61" s="1"/>
      <c r="D61" s="1"/>
      <c r="E61" s="1"/>
      <c r="F61" s="1"/>
      <c r="G61" s="1"/>
      <c r="H61" s="1"/>
    </row>
    <row r="62" spans="1:8" ht="23.05" customHeight="1">
      <c r="A62" s="1">
        <v>36</v>
      </c>
      <c r="B62" s="1">
        <f>IF('Current Loan'!$B$13,SUM('Year-by-Year Comparison'!F7:F42)-'Proposed Loan'!B18,"")</f>
        <v>61716.231731145126</v>
      </c>
      <c r="C62" s="1"/>
      <c r="D62" s="1"/>
      <c r="E62" s="1"/>
      <c r="F62" s="1"/>
      <c r="G62" s="1"/>
      <c r="H62" s="1"/>
    </row>
    <row r="63" spans="1:8" ht="23.05" customHeight="1">
      <c r="A63" s="1">
        <v>37</v>
      </c>
      <c r="B63" s="1">
        <f>IF('Current Loan'!$B$13,SUM('Year-by-Year Comparison'!F7:F43)-'Proposed Loan'!B18,"")</f>
        <v>61716.231731145126</v>
      </c>
      <c r="C63" s="1"/>
      <c r="D63" s="1"/>
      <c r="E63" s="1"/>
      <c r="F63" s="1"/>
      <c r="G63" s="1"/>
      <c r="H63" s="1"/>
    </row>
    <row r="64" spans="1:8" ht="23.05" customHeight="1">
      <c r="A64" s="1">
        <v>38</v>
      </c>
      <c r="B64" s="1">
        <f>IF('Current Loan'!$B$13,SUM('Year-by-Year Comparison'!F7:F44)-'Proposed Loan'!B18,"")</f>
        <v>61716.231731145126</v>
      </c>
      <c r="C64" s="1"/>
      <c r="D64" s="1"/>
      <c r="E64" s="1"/>
      <c r="F64" s="1"/>
      <c r="G64" s="1"/>
      <c r="H64" s="1"/>
    </row>
    <row r="65" spans="1:8" ht="23.05" customHeight="1">
      <c r="A65" s="1">
        <v>39</v>
      </c>
      <c r="B65" s="1">
        <f>IF('Current Loan'!$B$13,SUM('Year-by-Year Comparison'!F7:F45)-'Proposed Loan'!B18,"")</f>
        <v>61716.231731145126</v>
      </c>
      <c r="C65" s="1"/>
      <c r="D65" s="1"/>
      <c r="E65" s="1"/>
      <c r="F65" s="1"/>
      <c r="G65" s="1"/>
      <c r="H65" s="1"/>
    </row>
    <row r="66" spans="1:8" ht="23.05" customHeight="1">
      <c r="A66" s="1">
        <v>40</v>
      </c>
      <c r="B66" s="1">
        <f>IF('Current Loan'!$B$13,SUM('Year-by-Year Comparison'!F7:F46)-'Proposed Loan'!B18,"")</f>
        <v>61716.231731145126</v>
      </c>
      <c r="C66" s="1"/>
      <c r="D66" s="1"/>
      <c r="E66" s="1"/>
      <c r="F66" s="1"/>
      <c r="G66" s="1"/>
      <c r="H66" s="1"/>
    </row>
    <row r="67" spans="1:8" ht="23.05" customHeight="1">
      <c r="A67" s="1"/>
      <c r="B67" s="1"/>
      <c r="C67" s="1"/>
      <c r="D67" s="1"/>
      <c r="E67" s="1"/>
      <c r="F67" s="1"/>
      <c r="G67" s="1"/>
      <c r="H67" s="1"/>
    </row>
    <row r="68" spans="1:8" ht="23.05" customHeight="1">
      <c r="A68" s="1"/>
      <c r="B68" s="1"/>
      <c r="C68" s="1"/>
      <c r="D68" s="1"/>
      <c r="E68" s="1"/>
      <c r="F68" s="1"/>
      <c r="G68" s="1"/>
      <c r="H68" s="1"/>
    </row>
    <row r="69" spans="1:8" ht="23.05" customHeight="1">
      <c r="A69" s="1"/>
      <c r="B69" s="1"/>
      <c r="C69" s="1"/>
      <c r="D69" s="1"/>
      <c r="E69" s="1"/>
      <c r="F69" s="1"/>
      <c r="G69" s="1"/>
      <c r="H69" s="1"/>
    </row>
    <row r="70" spans="1:8" ht="23.05" customHeight="1">
      <c r="A70" s="1"/>
      <c r="B70" s="1"/>
      <c r="C70" s="1"/>
      <c r="D70" s="1"/>
      <c r="E70" s="1"/>
      <c r="F70" s="1"/>
      <c r="G70" s="1"/>
      <c r="H70" s="1"/>
    </row>
  </sheetData>
  <sheetProtection sheet="1" objects="1" scenarios="1"/>
  <mergeCells count="1">
    <mergeCell ref="A1:H2"/>
  </mergeCells>
  <pageMargins left="0.39370078740157477" right="0.39370078740157477" top="0.39370078740157477" bottom="0.59055118110236215" header="0.3" footer="0.19685039370078738"/>
  <pageSetup paperSize="9" scale="82" orientation="landscape" r:id="rId1"/>
  <headerFooter>
    <oddFooter>&amp;CCalcy | Page &amp;P&amp;Rcalcy.com.au</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D6A4F"/>
    <pageSetUpPr fitToPage="1"/>
  </sheetPr>
  <dimension ref="A1:H70"/>
  <sheetViews>
    <sheetView showGridLines="0" zoomScaleNormal="100" workbookViewId="0">
      <selection sqref="A1:H2"/>
    </sheetView>
  </sheetViews>
  <sheetFormatPr defaultRowHeight="14.15"/>
  <cols>
    <col min="1" max="1" width="36" customWidth="1"/>
    <col min="2" max="8" width="17" customWidth="1"/>
  </cols>
  <sheetData>
    <row r="1" spans="1:8" ht="18" customHeight="1">
      <c r="A1" s="16" t="s">
        <v>66</v>
      </c>
      <c r="B1" s="16"/>
      <c r="C1" s="16"/>
      <c r="D1" s="16"/>
      <c r="E1" s="16"/>
      <c r="F1" s="16"/>
      <c r="G1" s="16"/>
      <c r="H1" s="16"/>
    </row>
    <row r="2" spans="1:8" ht="18" customHeight="1">
      <c r="A2" s="16"/>
      <c r="B2" s="16"/>
      <c r="C2" s="16"/>
      <c r="D2" s="16"/>
      <c r="E2" s="16"/>
      <c r="F2" s="16"/>
      <c r="G2" s="16"/>
      <c r="H2" s="16"/>
    </row>
    <row r="3" spans="1:8" ht="4" customHeight="1">
      <c r="A3" s="4"/>
      <c r="B3" s="4"/>
      <c r="C3" s="4"/>
      <c r="D3" s="4"/>
      <c r="E3" s="4"/>
      <c r="F3" s="4"/>
      <c r="G3" s="4"/>
      <c r="H3" s="4"/>
    </row>
    <row r="4" spans="1:8" ht="4" customHeight="1">
      <c r="A4" s="4"/>
      <c r="B4" s="4"/>
      <c r="C4" s="4"/>
      <c r="D4" s="4"/>
      <c r="E4" s="4"/>
      <c r="F4" s="4"/>
      <c r="G4" s="4"/>
      <c r="H4" s="4"/>
    </row>
    <row r="5" spans="1:8" ht="18" customHeight="1">
      <c r="A5" s="18" t="s">
        <v>67</v>
      </c>
      <c r="B5" s="18"/>
      <c r="C5" s="18"/>
      <c r="D5" s="18"/>
      <c r="E5" s="18"/>
      <c r="F5" s="18"/>
      <c r="G5" s="18"/>
      <c r="H5" s="18"/>
    </row>
    <row r="6" spans="1:8" ht="18" customHeight="1">
      <c r="A6" s="18"/>
      <c r="B6" s="18"/>
      <c r="C6" s="18"/>
      <c r="D6" s="18"/>
      <c r="E6" s="18"/>
      <c r="F6" s="18"/>
      <c r="G6" s="18"/>
      <c r="H6" s="18"/>
    </row>
    <row r="7" spans="1:8" ht="18" customHeight="1">
      <c r="A7" s="18"/>
      <c r="B7" s="18"/>
      <c r="C7" s="18"/>
      <c r="D7" s="18"/>
      <c r="E7" s="18"/>
      <c r="F7" s="18"/>
      <c r="G7" s="18"/>
      <c r="H7" s="18"/>
    </row>
    <row r="8" spans="1:8" ht="4" customHeight="1">
      <c r="A8" s="4"/>
      <c r="B8" s="4"/>
      <c r="C8" s="4"/>
      <c r="D8" s="4"/>
      <c r="E8" s="4"/>
      <c r="F8" s="4"/>
      <c r="G8" s="4"/>
      <c r="H8" s="4"/>
    </row>
    <row r="9" spans="1:8" ht="4" customHeight="1">
      <c r="A9" s="4"/>
      <c r="B9" s="4"/>
      <c r="C9" s="4"/>
      <c r="D9" s="4"/>
      <c r="E9" s="4"/>
      <c r="F9" s="4"/>
      <c r="G9" s="4"/>
      <c r="H9" s="4"/>
    </row>
    <row r="10" spans="1:8" ht="18" customHeight="1">
      <c r="A10" s="18" t="s">
        <v>68</v>
      </c>
      <c r="B10" s="18"/>
      <c r="C10" s="18"/>
      <c r="D10" s="18"/>
      <c r="E10" s="18"/>
      <c r="F10" s="18"/>
      <c r="G10" s="18"/>
      <c r="H10" s="18"/>
    </row>
    <row r="11" spans="1:8" ht="18" customHeight="1">
      <c r="A11" s="18"/>
      <c r="B11" s="18"/>
      <c r="C11" s="18"/>
      <c r="D11" s="18"/>
      <c r="E11" s="18"/>
      <c r="F11" s="18"/>
      <c r="G11" s="18"/>
      <c r="H11" s="18"/>
    </row>
    <row r="12" spans="1:8" ht="18" customHeight="1">
      <c r="A12" s="18"/>
      <c r="B12" s="18"/>
      <c r="C12" s="18"/>
      <c r="D12" s="18"/>
      <c r="E12" s="18"/>
      <c r="F12" s="18"/>
      <c r="G12" s="18"/>
      <c r="H12" s="18"/>
    </row>
    <row r="13" spans="1:8" ht="4" customHeight="1">
      <c r="A13" s="4"/>
      <c r="B13" s="4"/>
      <c r="C13" s="4"/>
      <c r="D13" s="4"/>
      <c r="E13" s="4"/>
      <c r="F13" s="4"/>
      <c r="G13" s="4"/>
      <c r="H13" s="4"/>
    </row>
    <row r="14" spans="1:8" ht="4" customHeight="1">
      <c r="A14" s="4"/>
      <c r="B14" s="4"/>
      <c r="C14" s="4"/>
      <c r="D14" s="4"/>
      <c r="E14" s="4"/>
      <c r="F14" s="4"/>
      <c r="G14" s="4"/>
      <c r="H14" s="4"/>
    </row>
    <row r="15" spans="1:8" ht="18" customHeight="1">
      <c r="A15" s="18" t="s">
        <v>69</v>
      </c>
      <c r="B15" s="18"/>
      <c r="C15" s="18"/>
      <c r="D15" s="18"/>
      <c r="E15" s="18"/>
      <c r="F15" s="18"/>
      <c r="G15" s="18"/>
      <c r="H15" s="18"/>
    </row>
    <row r="16" spans="1:8" ht="18" customHeight="1">
      <c r="A16" s="18"/>
      <c r="B16" s="18"/>
      <c r="C16" s="18"/>
      <c r="D16" s="18"/>
      <c r="E16" s="18"/>
      <c r="F16" s="18"/>
      <c r="G16" s="18"/>
      <c r="H16" s="18"/>
    </row>
    <row r="17" spans="1:8" ht="18" customHeight="1">
      <c r="A17" s="18"/>
      <c r="B17" s="18"/>
      <c r="C17" s="18"/>
      <c r="D17" s="18"/>
      <c r="E17" s="18"/>
      <c r="F17" s="18"/>
      <c r="G17" s="18"/>
      <c r="H17" s="18"/>
    </row>
    <row r="18" spans="1:8" ht="4" customHeight="1">
      <c r="A18" s="4"/>
      <c r="B18" s="4"/>
      <c r="C18" s="4"/>
      <c r="D18" s="4"/>
      <c r="E18" s="4"/>
      <c r="F18" s="4"/>
      <c r="G18" s="4"/>
      <c r="H18" s="4"/>
    </row>
    <row r="19" spans="1:8" ht="4" customHeight="1">
      <c r="A19" s="4"/>
      <c r="B19" s="4"/>
      <c r="C19" s="4"/>
      <c r="D19" s="4"/>
      <c r="E19" s="4"/>
      <c r="F19" s="4"/>
      <c r="G19" s="4"/>
      <c r="H19" s="4"/>
    </row>
    <row r="20" spans="1:8" ht="18" customHeight="1">
      <c r="A20" s="18" t="s">
        <v>70</v>
      </c>
      <c r="B20" s="18"/>
      <c r="C20" s="18"/>
      <c r="D20" s="18"/>
      <c r="E20" s="18"/>
      <c r="F20" s="18"/>
      <c r="G20" s="18"/>
      <c r="H20" s="18"/>
    </row>
    <row r="21" spans="1:8" ht="18" customHeight="1">
      <c r="A21" s="18"/>
      <c r="B21" s="18"/>
      <c r="C21" s="18"/>
      <c r="D21" s="18"/>
      <c r="E21" s="18"/>
      <c r="F21" s="18"/>
      <c r="G21" s="18"/>
      <c r="H21" s="18"/>
    </row>
    <row r="22" spans="1:8" ht="18" customHeight="1">
      <c r="A22" s="18"/>
      <c r="B22" s="18"/>
      <c r="C22" s="18"/>
      <c r="D22" s="18"/>
      <c r="E22" s="18"/>
      <c r="F22" s="18"/>
      <c r="G22" s="18"/>
      <c r="H22" s="18"/>
    </row>
    <row r="23" spans="1:8" ht="4" customHeight="1">
      <c r="A23" s="4"/>
      <c r="B23" s="4"/>
      <c r="C23" s="4"/>
      <c r="D23" s="4"/>
      <c r="E23" s="4"/>
      <c r="F23" s="4"/>
      <c r="G23" s="4"/>
      <c r="H23" s="4"/>
    </row>
    <row r="24" spans="1:8" ht="4" customHeight="1">
      <c r="A24" s="4"/>
      <c r="B24" s="4"/>
      <c r="C24" s="4"/>
      <c r="D24" s="4"/>
      <c r="E24" s="4"/>
      <c r="F24" s="4"/>
      <c r="G24" s="4"/>
      <c r="H24" s="4"/>
    </row>
    <row r="25" spans="1:8" ht="4" customHeight="1">
      <c r="A25" s="4"/>
      <c r="B25" s="4"/>
      <c r="C25" s="4"/>
      <c r="D25" s="4"/>
      <c r="E25" s="4"/>
      <c r="F25" s="4"/>
      <c r="G25" s="4"/>
      <c r="H25" s="4"/>
    </row>
    <row r="26" spans="1:8" ht="18" customHeight="1">
      <c r="A26" s="18" t="s">
        <v>71</v>
      </c>
      <c r="B26" s="18"/>
      <c r="C26" s="18"/>
      <c r="D26" s="18"/>
      <c r="E26" s="18"/>
      <c r="F26" s="18"/>
      <c r="G26" s="18"/>
      <c r="H26" s="18"/>
    </row>
    <row r="27" spans="1:8" ht="18" customHeight="1">
      <c r="A27" s="18"/>
      <c r="B27" s="18"/>
      <c r="C27" s="18"/>
      <c r="D27" s="18"/>
      <c r="E27" s="18"/>
      <c r="F27" s="18"/>
      <c r="G27" s="18"/>
      <c r="H27" s="18"/>
    </row>
    <row r="28" spans="1:8" ht="18" customHeight="1">
      <c r="A28" s="18"/>
      <c r="B28" s="18"/>
      <c r="C28" s="18"/>
      <c r="D28" s="18"/>
      <c r="E28" s="18"/>
      <c r="F28" s="18"/>
      <c r="G28" s="18"/>
      <c r="H28" s="18"/>
    </row>
    <row r="29" spans="1:8" ht="4" customHeight="1">
      <c r="A29" s="4"/>
      <c r="B29" s="4"/>
      <c r="C29" s="4"/>
      <c r="D29" s="4"/>
      <c r="E29" s="4"/>
      <c r="F29" s="4"/>
      <c r="G29" s="4"/>
      <c r="H29" s="4"/>
    </row>
    <row r="30" spans="1:8" ht="4" customHeight="1">
      <c r="A30" s="4"/>
      <c r="B30" s="4"/>
      <c r="C30" s="4"/>
      <c r="D30" s="4"/>
      <c r="E30" s="4"/>
      <c r="F30" s="4"/>
      <c r="G30" s="4"/>
      <c r="H30" s="4"/>
    </row>
    <row r="31" spans="1:8" ht="18" customHeight="1">
      <c r="A31" s="18" t="s">
        <v>72</v>
      </c>
      <c r="B31" s="18"/>
      <c r="C31" s="18"/>
      <c r="D31" s="18"/>
      <c r="E31" s="18"/>
      <c r="F31" s="18"/>
      <c r="G31" s="18"/>
      <c r="H31" s="18"/>
    </row>
    <row r="32" spans="1:8" ht="18" customHeight="1">
      <c r="A32" s="18"/>
      <c r="B32" s="18"/>
      <c r="C32" s="18"/>
      <c r="D32" s="18"/>
      <c r="E32" s="18"/>
      <c r="F32" s="18"/>
      <c r="G32" s="18"/>
      <c r="H32" s="18"/>
    </row>
    <row r="33" spans="1:8" ht="18" customHeight="1">
      <c r="A33" s="18"/>
      <c r="B33" s="18"/>
      <c r="C33" s="18"/>
      <c r="D33" s="18"/>
      <c r="E33" s="18"/>
      <c r="F33" s="18"/>
      <c r="G33" s="18"/>
      <c r="H33" s="18"/>
    </row>
    <row r="34" spans="1:8" ht="4" customHeight="1">
      <c r="A34" s="4"/>
      <c r="B34" s="4"/>
      <c r="C34" s="4"/>
      <c r="D34" s="4"/>
      <c r="E34" s="4"/>
      <c r="F34" s="4"/>
      <c r="G34" s="4"/>
      <c r="H34" s="4"/>
    </row>
    <row r="35" spans="1:8" ht="4" customHeight="1">
      <c r="A35" s="4"/>
      <c r="B35" s="4"/>
      <c r="C35" s="4"/>
      <c r="D35" s="4"/>
      <c r="E35" s="4"/>
      <c r="F35" s="4"/>
      <c r="G35" s="4"/>
      <c r="H35" s="4"/>
    </row>
    <row r="36" spans="1:8" ht="18" customHeight="1">
      <c r="A36" s="18" t="s">
        <v>73</v>
      </c>
      <c r="B36" s="18"/>
      <c r="C36" s="18"/>
      <c r="D36" s="18"/>
      <c r="E36" s="18"/>
      <c r="F36" s="18"/>
      <c r="G36" s="18"/>
      <c r="H36" s="18"/>
    </row>
    <row r="37" spans="1:8" ht="18" customHeight="1">
      <c r="A37" s="18"/>
      <c r="B37" s="18"/>
      <c r="C37" s="18"/>
      <c r="D37" s="18"/>
      <c r="E37" s="18"/>
      <c r="F37" s="18"/>
      <c r="G37" s="18"/>
      <c r="H37" s="18"/>
    </row>
    <row r="38" spans="1:8" ht="18" customHeight="1">
      <c r="A38" s="18"/>
      <c r="B38" s="18"/>
      <c r="C38" s="18"/>
      <c r="D38" s="18"/>
      <c r="E38" s="18"/>
      <c r="F38" s="18"/>
      <c r="G38" s="18"/>
      <c r="H38" s="18"/>
    </row>
    <row r="39" spans="1:8" ht="4" customHeight="1">
      <c r="A39" s="4"/>
      <c r="B39" s="4"/>
      <c r="C39" s="4"/>
      <c r="D39" s="4"/>
      <c r="E39" s="4"/>
      <c r="F39" s="4"/>
      <c r="G39" s="4"/>
      <c r="H39" s="4"/>
    </row>
    <row r="40" spans="1:8" ht="23.05" customHeight="1">
      <c r="A40" s="1"/>
      <c r="B40" s="1"/>
      <c r="C40" s="1"/>
      <c r="D40" s="1"/>
      <c r="E40" s="1"/>
      <c r="F40" s="1"/>
      <c r="G40" s="1"/>
      <c r="H40" s="1"/>
    </row>
    <row r="41" spans="1:8" ht="23.05" customHeight="1">
      <c r="A41" s="1"/>
      <c r="B41" s="1"/>
      <c r="C41" s="1"/>
      <c r="D41" s="1"/>
      <c r="E41" s="1"/>
      <c r="F41" s="1"/>
      <c r="G41" s="1"/>
      <c r="H41" s="1"/>
    </row>
    <row r="42" spans="1:8" ht="23.05" customHeight="1">
      <c r="A42" s="1"/>
      <c r="B42" s="1"/>
      <c r="C42" s="1"/>
      <c r="D42" s="1"/>
      <c r="E42" s="1"/>
      <c r="F42" s="1"/>
      <c r="G42" s="1"/>
      <c r="H42" s="1"/>
    </row>
    <row r="43" spans="1:8" ht="23.05" customHeight="1">
      <c r="A43" s="1"/>
      <c r="B43" s="1"/>
      <c r="C43" s="1"/>
      <c r="D43" s="1"/>
      <c r="E43" s="1"/>
      <c r="F43" s="1"/>
      <c r="G43" s="1"/>
      <c r="H43" s="1"/>
    </row>
    <row r="44" spans="1:8" ht="23.05" customHeight="1">
      <c r="A44" s="1"/>
      <c r="B44" s="1"/>
      <c r="C44" s="1"/>
      <c r="D44" s="1"/>
      <c r="E44" s="1"/>
      <c r="F44" s="1"/>
      <c r="G44" s="1"/>
      <c r="H44" s="1"/>
    </row>
    <row r="45" spans="1:8" ht="23.05" customHeight="1">
      <c r="A45" s="1"/>
      <c r="B45" s="1"/>
      <c r="C45" s="1"/>
      <c r="D45" s="1"/>
      <c r="E45" s="1"/>
      <c r="F45" s="1"/>
      <c r="G45" s="1"/>
      <c r="H45" s="1"/>
    </row>
    <row r="46" spans="1:8" ht="23.05" customHeight="1">
      <c r="A46" s="1"/>
      <c r="B46" s="1"/>
      <c r="C46" s="1"/>
      <c r="D46" s="1"/>
      <c r="E46" s="1"/>
      <c r="F46" s="1"/>
      <c r="G46" s="1"/>
      <c r="H46" s="1"/>
    </row>
    <row r="47" spans="1:8" ht="23.05" customHeight="1">
      <c r="A47" s="1"/>
      <c r="B47" s="1"/>
      <c r="C47" s="1"/>
      <c r="D47" s="1"/>
      <c r="E47" s="1"/>
      <c r="F47" s="1"/>
      <c r="G47" s="1"/>
      <c r="H47" s="1"/>
    </row>
    <row r="48" spans="1:8" ht="23.05" customHeight="1">
      <c r="A48" s="1"/>
      <c r="B48" s="1"/>
      <c r="C48" s="1"/>
      <c r="D48" s="1"/>
      <c r="E48" s="1"/>
      <c r="F48" s="1"/>
      <c r="G48" s="1"/>
      <c r="H48" s="1"/>
    </row>
    <row r="49" spans="1:8" ht="23.05" customHeight="1">
      <c r="A49" s="1"/>
      <c r="B49" s="1"/>
      <c r="C49" s="1"/>
      <c r="D49" s="1"/>
      <c r="E49" s="1"/>
      <c r="F49" s="1"/>
      <c r="G49" s="1"/>
      <c r="H49" s="1"/>
    </row>
    <row r="50" spans="1:8" ht="23.05" customHeight="1">
      <c r="A50" s="1"/>
      <c r="B50" s="1"/>
      <c r="C50" s="1"/>
      <c r="D50" s="1"/>
      <c r="E50" s="1"/>
      <c r="F50" s="1"/>
      <c r="G50" s="1"/>
      <c r="H50" s="1"/>
    </row>
    <row r="51" spans="1:8" ht="23.05" customHeight="1">
      <c r="A51" s="1"/>
      <c r="B51" s="1"/>
      <c r="C51" s="1"/>
      <c r="D51" s="1"/>
      <c r="E51" s="1"/>
      <c r="F51" s="1"/>
      <c r="G51" s="1"/>
      <c r="H51" s="1"/>
    </row>
    <row r="52" spans="1:8" ht="23.05" customHeight="1">
      <c r="A52" s="1"/>
      <c r="B52" s="1"/>
      <c r="C52" s="1"/>
      <c r="D52" s="1"/>
      <c r="E52" s="1"/>
      <c r="F52" s="1"/>
      <c r="G52" s="1"/>
      <c r="H52" s="1"/>
    </row>
    <row r="53" spans="1:8" ht="23.05" customHeight="1">
      <c r="A53" s="1"/>
      <c r="B53" s="1"/>
      <c r="C53" s="1"/>
      <c r="D53" s="1"/>
      <c r="E53" s="1"/>
      <c r="F53" s="1"/>
      <c r="G53" s="1"/>
      <c r="H53" s="1"/>
    </row>
    <row r="54" spans="1:8" ht="23.05" customHeight="1">
      <c r="A54" s="1"/>
      <c r="B54" s="1"/>
      <c r="C54" s="1"/>
      <c r="D54" s="1"/>
      <c r="E54" s="1"/>
      <c r="F54" s="1"/>
      <c r="G54" s="1"/>
      <c r="H54" s="1"/>
    </row>
    <row r="55" spans="1:8" ht="23.05" customHeight="1">
      <c r="A55" s="1"/>
      <c r="B55" s="1"/>
      <c r="C55" s="1"/>
      <c r="D55" s="1"/>
      <c r="E55" s="1"/>
      <c r="F55" s="1"/>
      <c r="G55" s="1"/>
      <c r="H55" s="1"/>
    </row>
    <row r="56" spans="1:8" ht="23.05" customHeight="1">
      <c r="A56" s="1"/>
      <c r="B56" s="1"/>
      <c r="C56" s="1"/>
      <c r="D56" s="1"/>
      <c r="E56" s="1"/>
      <c r="F56" s="1"/>
      <c r="G56" s="1"/>
      <c r="H56" s="1"/>
    </row>
    <row r="57" spans="1:8" ht="23.05" customHeight="1">
      <c r="A57" s="1"/>
      <c r="B57" s="1"/>
      <c r="C57" s="1"/>
      <c r="D57" s="1"/>
      <c r="E57" s="1"/>
      <c r="F57" s="1"/>
      <c r="G57" s="1"/>
      <c r="H57" s="1"/>
    </row>
    <row r="58" spans="1:8" ht="23.05" customHeight="1">
      <c r="A58" s="1"/>
      <c r="B58" s="1"/>
      <c r="C58" s="1"/>
      <c r="D58" s="1"/>
      <c r="E58" s="1"/>
      <c r="F58" s="1"/>
      <c r="G58" s="1"/>
      <c r="H58" s="1"/>
    </row>
    <row r="59" spans="1:8" ht="23.05" customHeight="1">
      <c r="A59" s="1"/>
      <c r="B59" s="1"/>
      <c r="C59" s="1"/>
      <c r="D59" s="1"/>
      <c r="E59" s="1"/>
      <c r="F59" s="1"/>
      <c r="G59" s="1"/>
      <c r="H59" s="1"/>
    </row>
    <row r="60" spans="1:8" ht="23.05" customHeight="1">
      <c r="A60" s="1"/>
      <c r="B60" s="1"/>
      <c r="C60" s="1"/>
      <c r="D60" s="1"/>
      <c r="E60" s="1"/>
      <c r="F60" s="1"/>
      <c r="G60" s="1"/>
      <c r="H60" s="1"/>
    </row>
    <row r="61" spans="1:8" ht="23.05" customHeight="1">
      <c r="A61" s="1"/>
      <c r="B61" s="1"/>
      <c r="C61" s="1"/>
      <c r="D61" s="1"/>
      <c r="E61" s="1"/>
      <c r="F61" s="1"/>
      <c r="G61" s="1"/>
      <c r="H61" s="1"/>
    </row>
    <row r="62" spans="1:8" ht="23.05" customHeight="1">
      <c r="A62" s="1"/>
      <c r="B62" s="1"/>
      <c r="C62" s="1"/>
      <c r="D62" s="1"/>
      <c r="E62" s="1"/>
      <c r="F62" s="1"/>
      <c r="G62" s="1"/>
      <c r="H62" s="1"/>
    </row>
    <row r="63" spans="1:8" ht="23.05" customHeight="1">
      <c r="A63" s="1"/>
      <c r="B63" s="1"/>
      <c r="C63" s="1"/>
      <c r="D63" s="1"/>
      <c r="E63" s="1"/>
      <c r="F63" s="1"/>
      <c r="G63" s="1"/>
      <c r="H63" s="1"/>
    </row>
    <row r="64" spans="1:8" ht="23.05" customHeight="1">
      <c r="A64" s="1"/>
      <c r="B64" s="1"/>
      <c r="C64" s="1"/>
      <c r="D64" s="1"/>
      <c r="E64" s="1"/>
      <c r="F64" s="1"/>
      <c r="G64" s="1"/>
      <c r="H64" s="1"/>
    </row>
    <row r="65" spans="1:8" ht="23.05" customHeight="1">
      <c r="A65" s="1"/>
      <c r="B65" s="1"/>
      <c r="C65" s="1"/>
      <c r="D65" s="1"/>
      <c r="E65" s="1"/>
      <c r="F65" s="1"/>
      <c r="G65" s="1"/>
      <c r="H65" s="1"/>
    </row>
    <row r="66" spans="1:8" ht="23.05" customHeight="1">
      <c r="A66" s="1"/>
      <c r="B66" s="1"/>
      <c r="C66" s="1"/>
      <c r="D66" s="1"/>
      <c r="E66" s="1"/>
      <c r="F66" s="1"/>
      <c r="G66" s="1"/>
      <c r="H66" s="1"/>
    </row>
    <row r="67" spans="1:8" ht="23.05" customHeight="1">
      <c r="A67" s="1"/>
      <c r="B67" s="1"/>
      <c r="C67" s="1"/>
      <c r="D67" s="1"/>
      <c r="E67" s="1"/>
      <c r="F67" s="1"/>
      <c r="G67" s="1"/>
      <c r="H67" s="1"/>
    </row>
    <row r="68" spans="1:8" ht="23.05" customHeight="1">
      <c r="A68" s="1"/>
      <c r="B68" s="1"/>
      <c r="C68" s="1"/>
      <c r="D68" s="1"/>
      <c r="E68" s="1"/>
      <c r="F68" s="1"/>
      <c r="G68" s="1"/>
      <c r="H68" s="1"/>
    </row>
    <row r="69" spans="1:8" ht="23.05" customHeight="1">
      <c r="A69" s="1"/>
      <c r="B69" s="1"/>
      <c r="C69" s="1"/>
      <c r="D69" s="1"/>
      <c r="E69" s="1"/>
      <c r="F69" s="1"/>
      <c r="G69" s="1"/>
      <c r="H69" s="1"/>
    </row>
    <row r="70" spans="1:8" ht="23.05" customHeight="1">
      <c r="A70" s="1"/>
      <c r="B70" s="1"/>
      <c r="C70" s="1"/>
      <c r="D70" s="1"/>
      <c r="E70" s="1"/>
      <c r="F70" s="1"/>
      <c r="G70" s="1"/>
      <c r="H70" s="1"/>
    </row>
  </sheetData>
  <sheetProtection sheet="1" objects="1" scenarios="1"/>
  <mergeCells count="8">
    <mergeCell ref="A36:H38"/>
    <mergeCell ref="A26:H28"/>
    <mergeCell ref="A31:H33"/>
    <mergeCell ref="A1:H2"/>
    <mergeCell ref="A5:H7"/>
    <mergeCell ref="A10:H12"/>
    <mergeCell ref="A15:H17"/>
    <mergeCell ref="A20:H22"/>
  </mergeCells>
  <pageMargins left="0.39370078740157477" right="0.39370078740157477" top="0.39370078740157477" bottom="0.59055118110236215" header="0.3" footer="0.19685039370078738"/>
  <pageSetup paperSize="9" scale="82" orientation="landscape" r:id="rId1"/>
  <headerFooter>
    <oddFooter>&amp;CCalcy | Page &amp;P&amp;Rcalcy.com.au</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Dashboard</vt:lpstr>
      <vt:lpstr>Current Loan</vt:lpstr>
      <vt:lpstr>Proposed Loan</vt:lpstr>
      <vt:lpstr>Break-Even Analysis</vt:lpstr>
      <vt:lpstr>Year-by-Year Comparison</vt:lpstr>
      <vt:lpstr>Charts</vt:lpstr>
      <vt:lpstr>Instructions</vt:lpstr>
      <vt:lpstr>Charts!Print_Area</vt:lpstr>
      <vt:lpstr>'Current Loan'!Print_Area</vt:lpstr>
      <vt:lpstr>Dashboard!Print_Area</vt:lpstr>
      <vt:lpstr>Instructions!Print_Area</vt:lpstr>
      <vt:lpstr>'Proposed Loan'!Print_Area</vt:lpstr>
      <vt:lpstr>'Break-Even Analysis'!Print_Titles</vt:lpstr>
      <vt:lpstr>'Year-by-Year Comparison'!Print_Titles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terms="http://purl.org/dc/terms/" xmlns:xsi="http://www.w3.org/2001/XMLSchema-instance">
  <cp:lastPrinted>2026-10-17T07:43:53Z</cp:lastPrinted>
  <dcterms:modified xsi:type="dcterms:W3CDTF">2026-10-17T07:43:53Z</dcterms:modified>
</cp:coreProperties>
</file>