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SIV\.codex\worktrees\calcy-spreadsheet-phase1\rate-finder-plus\outputs\spreadsheet-phase1\"/>
    </mc:Choice>
  </mc:AlternateContent>
  <xr:revisionPtr revIDLastSave="0" documentId="13_ncr:1_{05AA4C8E-5D45-4A2B-B85D-75AFF80BEFF9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Dashboard" sheetId="1" r:id="rId1"/>
    <sheet name="Mortgage Inputs" sheetId="2" r:id="rId2"/>
    <sheet name="Offset Inputs" sheetId="3" r:id="rId3"/>
    <sheet name="Monthly Projection" sheetId="4" r:id="rId4"/>
    <sheet name="Comparison" sheetId="5" r:id="rId5"/>
    <sheet name="Charts" sheetId="6" r:id="rId6"/>
    <sheet name="Instructions" sheetId="7" r:id="rId7"/>
  </sheets>
  <definedNames>
    <definedName name="_xlnm.Print_Area" localSheetId="5">Charts!$A$1:$H$36</definedName>
    <definedName name="_xlnm.Print_Area" localSheetId="4">OFFSET(Comparison!$A$1,0,0,MAX(7,COUNT(Comparison!$A$7:$A$1086)+6),6)</definedName>
    <definedName name="_xlnm.Print_Area" localSheetId="0">Dashboard!$A$1:$H$28</definedName>
    <definedName name="_xlnm.Print_Area" localSheetId="6">Instructions!$A$1:$H$32</definedName>
    <definedName name="_xlnm.Print_Area" localSheetId="3">OFFSET('Monthly Projection'!$A$1,0,0,MAX(7,Dashboard!$B$13+6),8)</definedName>
    <definedName name="_xlnm.Print_Area" localSheetId="1">'Mortgage Inputs'!$A$1:$H$28</definedName>
    <definedName name="_xlnm.Print_Area" localSheetId="2">'Offset Inputs'!$A$1:$H$28</definedName>
    <definedName name="_xlnm.Print_Titles" localSheetId="4">Comparison!$1:$6</definedName>
    <definedName name="_xlnm.Print_Titles" localSheetId="3">'Monthly Projection'!$1:$6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4" i="2" l="1"/>
  <c r="B12" i="2"/>
  <c r="A4" i="1" s="1"/>
  <c r="C12" i="2" l="1"/>
  <c r="B16" i="2"/>
  <c r="C41" i="6"/>
  <c r="B41" i="6"/>
  <c r="A7" i="5"/>
  <c r="B15" i="2"/>
  <c r="B14" i="1"/>
  <c r="A7" i="4"/>
  <c r="B17" i="2" l="1"/>
  <c r="B7" i="1" s="1"/>
  <c r="B15" i="1"/>
  <c r="B7" i="5"/>
  <c r="D7" i="4"/>
  <c r="H7" i="4" s="1"/>
  <c r="C7" i="4"/>
  <c r="B7" i="4"/>
  <c r="E7" i="4" l="1"/>
  <c r="F7" i="4" s="1"/>
  <c r="G7" i="4" s="1"/>
  <c r="F7" i="5" s="1"/>
  <c r="C7" i="5"/>
  <c r="A8" i="4" l="1"/>
  <c r="C8" i="4" s="1"/>
  <c r="D7" i="5"/>
  <c r="E7" i="5" s="1"/>
  <c r="A8" i="5" s="1"/>
  <c r="B8" i="4" l="1"/>
  <c r="D8" i="4"/>
  <c r="H8" i="4" s="1"/>
  <c r="B8" i="5"/>
  <c r="C8" i="5" s="1"/>
  <c r="E8" i="4" l="1"/>
  <c r="D8" i="5"/>
  <c r="E8" i="5" s="1"/>
  <c r="A9" i="5" s="1"/>
  <c r="F8" i="4"/>
  <c r="G8" i="4" s="1"/>
  <c r="A9" i="4" l="1"/>
  <c r="F8" i="5"/>
  <c r="B9" i="5"/>
  <c r="C9" i="5" s="1"/>
  <c r="D9" i="5" l="1"/>
  <c r="E9" i="5" s="1"/>
  <c r="A10" i="5" s="1"/>
  <c r="B9" i="4"/>
  <c r="C9" i="4"/>
  <c r="D9" i="4"/>
  <c r="H9" i="4" s="1"/>
  <c r="E9" i="4" l="1"/>
  <c r="B10" i="5"/>
  <c r="C10" i="5" l="1"/>
  <c r="D10" i="5" s="1"/>
  <c r="E10" i="5" s="1"/>
  <c r="A11" i="5" s="1"/>
  <c r="F9" i="4"/>
  <c r="G9" i="4" s="1"/>
  <c r="B11" i="5" l="1"/>
  <c r="C11" i="5" s="1"/>
  <c r="D11" i="5" s="1"/>
  <c r="A10" i="4"/>
  <c r="F9" i="5"/>
  <c r="E11" i="5" l="1"/>
  <c r="A12" i="5" s="1"/>
  <c r="D10" i="4"/>
  <c r="H10" i="4"/>
  <c r="C10" i="4"/>
  <c r="B10" i="4"/>
  <c r="E10" i="4" l="1"/>
  <c r="F10" i="4" s="1"/>
  <c r="G10" i="4" s="1"/>
  <c r="B12" i="5"/>
  <c r="C12" i="5" s="1"/>
  <c r="D12" i="5" s="1"/>
  <c r="E12" i="5" l="1"/>
  <c r="A13" i="5" s="1"/>
  <c r="A11" i="4"/>
  <c r="F10" i="5"/>
  <c r="B13" i="5" l="1"/>
  <c r="C13" i="5" s="1"/>
  <c r="D13" i="5" s="1"/>
  <c r="E13" i="5" s="1"/>
  <c r="A14" i="5" s="1"/>
  <c r="D11" i="4"/>
  <c r="H11" i="4" s="1"/>
  <c r="C11" i="4"/>
  <c r="B11" i="4"/>
  <c r="E11" i="4" l="1"/>
  <c r="F11" i="4" s="1"/>
  <c r="G11" i="4" s="1"/>
  <c r="A12" i="4" s="1"/>
  <c r="B14" i="5"/>
  <c r="F11" i="5" l="1"/>
  <c r="C14" i="5"/>
  <c r="D14" i="5" s="1"/>
  <c r="E14" i="5" s="1"/>
  <c r="A15" i="5" s="1"/>
  <c r="B12" i="4"/>
  <c r="C12" i="4"/>
  <c r="D12" i="4"/>
  <c r="H12" i="4" s="1"/>
  <c r="E12" i="4" l="1"/>
  <c r="F12" i="4" s="1"/>
  <c r="G12" i="4" s="1"/>
  <c r="A13" i="4" s="1"/>
  <c r="B15" i="5"/>
  <c r="F12" i="5" l="1"/>
  <c r="D13" i="4"/>
  <c r="H13" i="4" s="1"/>
  <c r="C13" i="4"/>
  <c r="B13" i="4"/>
  <c r="C15" i="5"/>
  <c r="D15" i="5" s="1"/>
  <c r="E15" i="5" s="1"/>
  <c r="A16" i="5" s="1"/>
  <c r="E13" i="4" l="1"/>
  <c r="F13" i="4" s="1"/>
  <c r="G13" i="4" s="1"/>
  <c r="A14" i="4" s="1"/>
  <c r="B16" i="5"/>
  <c r="F13" i="5" l="1"/>
  <c r="B14" i="4"/>
  <c r="D14" i="4"/>
  <c r="H14" i="4" s="1"/>
  <c r="C14" i="4"/>
  <c r="C16" i="5"/>
  <c r="D16" i="5" s="1"/>
  <c r="E16" i="5" s="1"/>
  <c r="A17" i="5" s="1"/>
  <c r="E14" i="4" l="1"/>
  <c r="F14" i="4" s="1"/>
  <c r="G14" i="4" s="1"/>
  <c r="A15" i="4" s="1"/>
  <c r="B17" i="5"/>
  <c r="F14" i="5" l="1"/>
  <c r="C17" i="5"/>
  <c r="D17" i="5" s="1"/>
  <c r="E17" i="5" s="1"/>
  <c r="A18" i="5" s="1"/>
  <c r="B15" i="4"/>
  <c r="D15" i="4"/>
  <c r="H15" i="4" s="1"/>
  <c r="C15" i="4"/>
  <c r="E15" i="4" s="1"/>
  <c r="F15" i="4" s="1"/>
  <c r="B18" i="5" l="1"/>
  <c r="G15" i="4"/>
  <c r="A16" i="4" l="1"/>
  <c r="F15" i="5"/>
  <c r="C18" i="5"/>
  <c r="D18" i="5" s="1"/>
  <c r="E18" i="5" s="1"/>
  <c r="C16" i="4" l="1"/>
  <c r="B16" i="4"/>
  <c r="D16" i="4"/>
  <c r="H16" i="4" s="1"/>
  <c r="A19" i="5"/>
  <c r="B42" i="6"/>
  <c r="B19" i="5" l="1"/>
  <c r="E16" i="4"/>
  <c r="F16" i="4" s="1"/>
  <c r="G16" i="4" s="1"/>
  <c r="A17" i="4" l="1"/>
  <c r="F16" i="5"/>
  <c r="C19" i="5"/>
  <c r="D19" i="5" s="1"/>
  <c r="E19" i="5" s="1"/>
  <c r="A20" i="5" s="1"/>
  <c r="B20" i="5" l="1"/>
  <c r="C17" i="4"/>
  <c r="B17" i="4"/>
  <c r="D17" i="4"/>
  <c r="H17" i="4" s="1"/>
  <c r="E17" i="4" l="1"/>
  <c r="F17" i="4" s="1"/>
  <c r="G17" i="4" s="1"/>
  <c r="A18" i="4" s="1"/>
  <c r="C20" i="5"/>
  <c r="D20" i="5" s="1"/>
  <c r="E20" i="5" s="1"/>
  <c r="A21" i="5" s="1"/>
  <c r="F17" i="5" l="1"/>
  <c r="B21" i="5"/>
  <c r="C21" i="5" s="1"/>
  <c r="D21" i="5" s="1"/>
  <c r="B18" i="4"/>
  <c r="D18" i="4"/>
  <c r="H18" i="4" s="1"/>
  <c r="C18" i="4"/>
  <c r="E18" i="4" s="1"/>
  <c r="F18" i="4" s="1"/>
  <c r="G18" i="4" s="1"/>
  <c r="A19" i="4" l="1"/>
  <c r="C42" i="6"/>
  <c r="F18" i="5"/>
  <c r="E21" i="5"/>
  <c r="A22" i="5" s="1"/>
  <c r="B22" i="5" l="1"/>
  <c r="D19" i="4"/>
  <c r="H19" i="4" s="1"/>
  <c r="B19" i="4"/>
  <c r="C19" i="4"/>
  <c r="E19" i="4" l="1"/>
  <c r="F19" i="4" s="1"/>
  <c r="G19" i="4" s="1"/>
  <c r="C22" i="5"/>
  <c r="D22" i="5" s="1"/>
  <c r="E22" i="5" s="1"/>
  <c r="A23" i="5" s="1"/>
  <c r="A20" i="4" l="1"/>
  <c r="F19" i="5"/>
  <c r="B23" i="5"/>
  <c r="C23" i="5" s="1"/>
  <c r="D23" i="5" s="1"/>
  <c r="E23" i="5" s="1"/>
  <c r="A24" i="5" s="1"/>
  <c r="B24" i="5" l="1"/>
  <c r="C24" i="5" s="1"/>
  <c r="D24" i="5" s="1"/>
  <c r="E24" i="5" s="1"/>
  <c r="A25" i="5" s="1"/>
  <c r="D20" i="4"/>
  <c r="H20" i="4" s="1"/>
  <c r="C20" i="4"/>
  <c r="B20" i="4"/>
  <c r="E20" i="4" l="1"/>
  <c r="F20" i="4" s="1"/>
  <c r="G20" i="4" s="1"/>
  <c r="B25" i="5"/>
  <c r="C25" i="5" s="1"/>
  <c r="D25" i="5" s="1"/>
  <c r="A21" i="4" l="1"/>
  <c r="B21" i="4" s="1"/>
  <c r="F20" i="5"/>
  <c r="E25" i="5"/>
  <c r="A26" i="5" s="1"/>
  <c r="C21" i="4" l="1"/>
  <c r="D21" i="4"/>
  <c r="B26" i="5"/>
  <c r="C26" i="5" s="1"/>
  <c r="D26" i="5" s="1"/>
  <c r="E21" i="4" l="1"/>
  <c r="F21" i="4" s="1"/>
  <c r="G21" i="4" s="1"/>
  <c r="A22" i="4" s="1"/>
  <c r="H21" i="4"/>
  <c r="E26" i="5"/>
  <c r="A27" i="5" s="1"/>
  <c r="D22" i="4" l="1"/>
  <c r="H22" i="4" s="1"/>
  <c r="C22" i="4"/>
  <c r="E22" i="4" s="1"/>
  <c r="F22" i="4" s="1"/>
  <c r="G22" i="4" s="1"/>
  <c r="B22" i="4"/>
  <c r="F21" i="5"/>
  <c r="B27" i="5"/>
  <c r="C27" i="5" s="1"/>
  <c r="D27" i="5" s="1"/>
  <c r="E27" i="5" s="1"/>
  <c r="A28" i="5" s="1"/>
  <c r="B28" i="5" l="1"/>
  <c r="C28" i="5" s="1"/>
  <c r="D28" i="5" s="1"/>
  <c r="E28" i="5" s="1"/>
  <c r="A29" i="5" s="1"/>
  <c r="A23" i="4"/>
  <c r="F22" i="5"/>
  <c r="B29" i="5" l="1"/>
  <c r="C29" i="5" s="1"/>
  <c r="D29" i="5" s="1"/>
  <c r="E29" i="5" s="1"/>
  <c r="A30" i="5" s="1"/>
  <c r="B23" i="4"/>
  <c r="C23" i="4"/>
  <c r="D23" i="4"/>
  <c r="H23" i="4" s="1"/>
  <c r="B30" i="5" l="1"/>
  <c r="E23" i="4"/>
  <c r="F23" i="4" s="1"/>
  <c r="G23" i="4" s="1"/>
  <c r="A24" i="4" l="1"/>
  <c r="F23" i="5"/>
  <c r="C30" i="5"/>
  <c r="D30" i="5" s="1"/>
  <c r="E30" i="5" s="1"/>
  <c r="B43" i="6" l="1"/>
  <c r="A31" i="5"/>
  <c r="C24" i="4"/>
  <c r="D24" i="4"/>
  <c r="H24" i="4" s="1"/>
  <c r="B24" i="4"/>
  <c r="E24" i="4" l="1"/>
  <c r="F24" i="4" s="1"/>
  <c r="G24" i="4" s="1"/>
  <c r="B31" i="5"/>
  <c r="C31" i="5" s="1"/>
  <c r="D31" i="5" s="1"/>
  <c r="E31" i="5" s="1"/>
  <c r="A32" i="5" s="1"/>
  <c r="B32" i="5" l="1"/>
  <c r="C32" i="5" s="1"/>
  <c r="D32" i="5" s="1"/>
  <c r="E32" i="5" s="1"/>
  <c r="A33" i="5" s="1"/>
  <c r="A25" i="4"/>
  <c r="F24" i="5"/>
  <c r="B33" i="5" l="1"/>
  <c r="C33" i="5" s="1"/>
  <c r="D33" i="5" s="1"/>
  <c r="D25" i="4"/>
  <c r="H25" i="4" s="1"/>
  <c r="B25" i="4"/>
  <c r="C25" i="4"/>
  <c r="E33" i="5" l="1"/>
  <c r="A34" i="5" s="1"/>
  <c r="E25" i="4"/>
  <c r="F25" i="4" s="1"/>
  <c r="G25" i="4" s="1"/>
  <c r="A26" i="4" l="1"/>
  <c r="F25" i="5"/>
  <c r="B34" i="5"/>
  <c r="C34" i="5" s="1"/>
  <c r="D34" i="5" s="1"/>
  <c r="E34" i="5" s="1"/>
  <c r="A35" i="5" s="1"/>
  <c r="B35" i="5" l="1"/>
  <c r="C35" i="5" s="1"/>
  <c r="D35" i="5" s="1"/>
  <c r="E35" i="5" s="1"/>
  <c r="A36" i="5" s="1"/>
  <c r="B26" i="4"/>
  <c r="D26" i="4"/>
  <c r="H26" i="4" s="1"/>
  <c r="C26" i="4"/>
  <c r="E26" i="4" l="1"/>
  <c r="F26" i="4" s="1"/>
  <c r="G26" i="4" s="1"/>
  <c r="B36" i="5"/>
  <c r="C36" i="5" s="1"/>
  <c r="D36" i="5" s="1"/>
  <c r="E36" i="5" s="1"/>
  <c r="A37" i="5" s="1"/>
  <c r="B37" i="5" l="1"/>
  <c r="A27" i="4"/>
  <c r="F26" i="5"/>
  <c r="C37" i="5" l="1"/>
  <c r="D37" i="5" s="1"/>
  <c r="E37" i="5" s="1"/>
  <c r="A38" i="5" s="1"/>
  <c r="D27" i="4"/>
  <c r="H27" i="4" s="1"/>
  <c r="C27" i="4"/>
  <c r="B27" i="4"/>
  <c r="B38" i="5" l="1"/>
  <c r="C38" i="5" s="1"/>
  <c r="D38" i="5" s="1"/>
  <c r="E38" i="5" s="1"/>
  <c r="A39" i="5" s="1"/>
  <c r="B39" i="5" s="1"/>
  <c r="C39" i="5" s="1"/>
  <c r="D39" i="5" s="1"/>
  <c r="E27" i="4"/>
  <c r="F27" i="4" s="1"/>
  <c r="G27" i="4" s="1"/>
  <c r="A28" i="4" l="1"/>
  <c r="F27" i="5"/>
  <c r="E39" i="5"/>
  <c r="A40" i="5" s="1"/>
  <c r="B28" i="4" l="1"/>
  <c r="D28" i="4"/>
  <c r="H28" i="4" s="1"/>
  <c r="C28" i="4"/>
  <c r="B40" i="5"/>
  <c r="E28" i="4" l="1"/>
  <c r="F28" i="4" s="1"/>
  <c r="G28" i="4" s="1"/>
  <c r="C40" i="5"/>
  <c r="D40" i="5" s="1"/>
  <c r="E40" i="5" s="1"/>
  <c r="A41" i="5" s="1"/>
  <c r="A29" i="4" l="1"/>
  <c r="F28" i="5"/>
  <c r="B41" i="5"/>
  <c r="B29" i="4" l="1"/>
  <c r="D29" i="4"/>
  <c r="H29" i="4" s="1"/>
  <c r="C29" i="4"/>
  <c r="C41" i="5"/>
  <c r="D41" i="5" s="1"/>
  <c r="E41" i="5" s="1"/>
  <c r="A42" i="5" s="1"/>
  <c r="E29" i="4" l="1"/>
  <c r="F29" i="4" s="1"/>
  <c r="G29" i="4" s="1"/>
  <c r="B42" i="5"/>
  <c r="C42" i="5" s="1"/>
  <c r="D42" i="5" s="1"/>
  <c r="E42" i="5" s="1"/>
  <c r="B44" i="6" l="1"/>
  <c r="A43" i="5"/>
  <c r="A30" i="4"/>
  <c r="F29" i="5"/>
  <c r="B30" i="4" l="1"/>
  <c r="C30" i="4"/>
  <c r="D30" i="4"/>
  <c r="H30" i="4" s="1"/>
  <c r="B43" i="5"/>
  <c r="C43" i="5" s="1"/>
  <c r="D43" i="5" s="1"/>
  <c r="E30" i="4" l="1"/>
  <c r="F30" i="4" s="1"/>
  <c r="G30" i="4" s="1"/>
  <c r="E43" i="5"/>
  <c r="A44" i="5" s="1"/>
  <c r="B44" i="5" l="1"/>
  <c r="C44" i="5" s="1"/>
  <c r="D44" i="5" s="1"/>
  <c r="E44" i="5" s="1"/>
  <c r="A45" i="5" s="1"/>
  <c r="C43" i="6"/>
  <c r="A31" i="4"/>
  <c r="F30" i="5"/>
  <c r="B45" i="5" l="1"/>
  <c r="C45" i="5" s="1"/>
  <c r="D45" i="5" s="1"/>
  <c r="E45" i="5" s="1"/>
  <c r="A46" i="5" s="1"/>
  <c r="C31" i="4"/>
  <c r="B31" i="4"/>
  <c r="D31" i="4"/>
  <c r="H31" i="4" s="1"/>
  <c r="E31" i="4" l="1"/>
  <c r="F31" i="4" s="1"/>
  <c r="G31" i="4" s="1"/>
  <c r="A32" i="4" s="1"/>
  <c r="B46" i="5"/>
  <c r="C46" i="5" s="1"/>
  <c r="D46" i="5" s="1"/>
  <c r="F31" i="5" l="1"/>
  <c r="E46" i="5"/>
  <c r="A47" i="5" s="1"/>
  <c r="B32" i="4"/>
  <c r="D32" i="4"/>
  <c r="H32" i="4" s="1"/>
  <c r="C32" i="4"/>
  <c r="E32" i="4" l="1"/>
  <c r="F32" i="4" s="1"/>
  <c r="G32" i="4" s="1"/>
  <c r="B47" i="5"/>
  <c r="C47" i="5" s="1"/>
  <c r="D47" i="5" s="1"/>
  <c r="E47" i="5" s="1"/>
  <c r="A48" i="5" s="1"/>
  <c r="B48" i="5" l="1"/>
  <c r="A33" i="4"/>
  <c r="F32" i="5"/>
  <c r="D33" i="4" l="1"/>
  <c r="H33" i="4" s="1"/>
  <c r="C33" i="4"/>
  <c r="B33" i="4"/>
  <c r="C48" i="5"/>
  <c r="D48" i="5" s="1"/>
  <c r="E48" i="5" s="1"/>
  <c r="A49" i="5" s="1"/>
  <c r="E33" i="4" l="1"/>
  <c r="F33" i="4" s="1"/>
  <c r="G33" i="4" s="1"/>
  <c r="B49" i="5"/>
  <c r="C49" i="5" s="1"/>
  <c r="D49" i="5" s="1"/>
  <c r="E49" i="5" l="1"/>
  <c r="A50" i="5" s="1"/>
  <c r="A34" i="4"/>
  <c r="F33" i="5"/>
  <c r="D34" i="4" l="1"/>
  <c r="H34" i="4" s="1"/>
  <c r="B34" i="4"/>
  <c r="C34" i="4"/>
  <c r="B50" i="5"/>
  <c r="C50" i="5" s="1"/>
  <c r="D50" i="5" s="1"/>
  <c r="E34" i="4" l="1"/>
  <c r="F34" i="4" s="1"/>
  <c r="G34" i="4" s="1"/>
  <c r="F34" i="5" s="1"/>
  <c r="A35" i="4"/>
  <c r="E50" i="5"/>
  <c r="A51" i="5" s="1"/>
  <c r="B35" i="4" l="1"/>
  <c r="D35" i="4"/>
  <c r="H35" i="4" s="1"/>
  <c r="C35" i="4"/>
  <c r="B51" i="5"/>
  <c r="E35" i="4" l="1"/>
  <c r="F35" i="4" s="1"/>
  <c r="G35" i="4" s="1"/>
  <c r="C51" i="5"/>
  <c r="D51" i="5" s="1"/>
  <c r="E51" i="5" s="1"/>
  <c r="A52" i="5" s="1"/>
  <c r="B52" i="5" l="1"/>
  <c r="A36" i="4"/>
  <c r="F35" i="5"/>
  <c r="C52" i="5" l="1"/>
  <c r="D52" i="5" s="1"/>
  <c r="E52" i="5" s="1"/>
  <c r="A53" i="5" s="1"/>
  <c r="D36" i="4"/>
  <c r="C36" i="4"/>
  <c r="B36" i="4"/>
  <c r="H36" i="4"/>
  <c r="E36" i="4" l="1"/>
  <c r="F36" i="4" s="1"/>
  <c r="G36" i="4" s="1"/>
  <c r="A37" i="4" s="1"/>
  <c r="B53" i="5"/>
  <c r="F36" i="5" l="1"/>
  <c r="C53" i="5"/>
  <c r="D53" i="5" s="1"/>
  <c r="E53" i="5" s="1"/>
  <c r="A54" i="5" s="1"/>
  <c r="C37" i="4"/>
  <c r="D37" i="4"/>
  <c r="B37" i="4"/>
  <c r="H37" i="4"/>
  <c r="E37" i="4" l="1"/>
  <c r="F37" i="4" s="1"/>
  <c r="G37" i="4" s="1"/>
  <c r="A38" i="4" s="1"/>
  <c r="B54" i="5"/>
  <c r="C54" i="5" s="1"/>
  <c r="D54" i="5" s="1"/>
  <c r="E54" i="5" s="1"/>
  <c r="F37" i="5" l="1"/>
  <c r="B45" i="6"/>
  <c r="A55" i="5"/>
  <c r="B38" i="4"/>
  <c r="D38" i="4"/>
  <c r="H38" i="4" s="1"/>
  <c r="C38" i="4"/>
  <c r="E38" i="4" l="1"/>
  <c r="F38" i="4" s="1"/>
  <c r="G38" i="4" s="1"/>
  <c r="B55" i="5"/>
  <c r="C55" i="5" l="1"/>
  <c r="D55" i="5" s="1"/>
  <c r="E55" i="5" s="1"/>
  <c r="A56" i="5" s="1"/>
  <c r="A39" i="4"/>
  <c r="F38" i="5"/>
  <c r="C39" i="4" l="1"/>
  <c r="B39" i="4"/>
  <c r="D39" i="4"/>
  <c r="H39" i="4" s="1"/>
  <c r="B56" i="5"/>
  <c r="E39" i="4" l="1"/>
  <c r="F39" i="4" s="1"/>
  <c r="G39" i="4" s="1"/>
  <c r="C56" i="5"/>
  <c r="D56" i="5" s="1"/>
  <c r="E56" i="5" s="1"/>
  <c r="A57" i="5" s="1"/>
  <c r="B57" i="5" l="1"/>
  <c r="C57" i="5" s="1"/>
  <c r="D57" i="5" s="1"/>
  <c r="E57" i="5" s="1"/>
  <c r="A58" i="5" s="1"/>
  <c r="A40" i="4"/>
  <c r="F39" i="5"/>
  <c r="B58" i="5" l="1"/>
  <c r="D40" i="4"/>
  <c r="H40" i="4"/>
  <c r="C40" i="4"/>
  <c r="E40" i="4" s="1"/>
  <c r="F40" i="4" s="1"/>
  <c r="G40" i="4" s="1"/>
  <c r="B40" i="4"/>
  <c r="A41" i="4" l="1"/>
  <c r="F40" i="5"/>
  <c r="C58" i="5"/>
  <c r="D58" i="5" s="1"/>
  <c r="E58" i="5" s="1"/>
  <c r="A59" i="5" s="1"/>
  <c r="B59" i="5" l="1"/>
  <c r="C59" i="5" s="1"/>
  <c r="D59" i="5" s="1"/>
  <c r="B41" i="4"/>
  <c r="C41" i="4"/>
  <c r="D41" i="4"/>
  <c r="H41" i="4" s="1"/>
  <c r="E41" i="4" l="1"/>
  <c r="F41" i="4" s="1"/>
  <c r="G41" i="4" s="1"/>
  <c r="E59" i="5"/>
  <c r="A60" i="5" s="1"/>
  <c r="A42" i="4" l="1"/>
  <c r="F41" i="5"/>
  <c r="B60" i="5"/>
  <c r="C60" i="5" s="1"/>
  <c r="D60" i="5" s="1"/>
  <c r="E60" i="5" l="1"/>
  <c r="A61" i="5" s="1"/>
  <c r="C42" i="4"/>
  <c r="D42" i="4"/>
  <c r="H42" i="4" s="1"/>
  <c r="B42" i="4"/>
  <c r="E42" i="4" l="1"/>
  <c r="F42" i="4" s="1"/>
  <c r="G42" i="4" s="1"/>
  <c r="C44" i="6" s="1"/>
  <c r="B61" i="5"/>
  <c r="C61" i="5" s="1"/>
  <c r="D61" i="5" s="1"/>
  <c r="E61" i="5" s="1"/>
  <c r="A62" i="5" s="1"/>
  <c r="F42" i="5" l="1"/>
  <c r="A43" i="4"/>
  <c r="B62" i="5"/>
  <c r="C62" i="5" s="1"/>
  <c r="D62" i="5" s="1"/>
  <c r="E62" i="5" s="1"/>
  <c r="A63" i="5" s="1"/>
  <c r="B43" i="4" l="1"/>
  <c r="D43" i="4"/>
  <c r="H43" i="4" s="1"/>
  <c r="C43" i="4"/>
  <c r="E43" i="4" s="1"/>
  <c r="F43" i="4" s="1"/>
  <c r="G43" i="4" s="1"/>
  <c r="B63" i="5"/>
  <c r="C63" i="5" s="1"/>
  <c r="D63" i="5" s="1"/>
  <c r="E63" i="5" s="1"/>
  <c r="A64" i="5" s="1"/>
  <c r="A44" i="4" l="1"/>
  <c r="F43" i="5"/>
  <c r="B64" i="5"/>
  <c r="C64" i="5" s="1"/>
  <c r="D64" i="5" s="1"/>
  <c r="E64" i="5" s="1"/>
  <c r="A65" i="5" s="1"/>
  <c r="B65" i="5" l="1"/>
  <c r="C65" i="5" s="1"/>
  <c r="D65" i="5" s="1"/>
  <c r="E65" i="5" s="1"/>
  <c r="A66" i="5" s="1"/>
  <c r="B44" i="4"/>
  <c r="D44" i="4"/>
  <c r="H44" i="4" s="1"/>
  <c r="C44" i="4"/>
  <c r="B66" i="5" l="1"/>
  <c r="C66" i="5" s="1"/>
  <c r="D66" i="5" s="1"/>
  <c r="E66" i="5" s="1"/>
  <c r="E44" i="4"/>
  <c r="F44" i="4" s="1"/>
  <c r="G44" i="4" s="1"/>
  <c r="A45" i="4" l="1"/>
  <c r="F44" i="5"/>
  <c r="A67" i="5"/>
  <c r="B46" i="6"/>
  <c r="B67" i="5" l="1"/>
  <c r="D45" i="4"/>
  <c r="H45" i="4" s="1"/>
  <c r="C45" i="4"/>
  <c r="E45" i="4" s="1"/>
  <c r="F45" i="4" s="1"/>
  <c r="G45" i="4" s="1"/>
  <c r="B45" i="4"/>
  <c r="A46" i="4" l="1"/>
  <c r="F45" i="5"/>
  <c r="C67" i="5"/>
  <c r="D67" i="5" s="1"/>
  <c r="E67" i="5" s="1"/>
  <c r="A68" i="5" s="1"/>
  <c r="B68" i="5" l="1"/>
  <c r="C68" i="5" s="1"/>
  <c r="D68" i="5" s="1"/>
  <c r="E68" i="5" s="1"/>
  <c r="A69" i="5" s="1"/>
  <c r="B46" i="4"/>
  <c r="D46" i="4"/>
  <c r="H46" i="4" s="1"/>
  <c r="C46" i="4"/>
  <c r="E46" i="4" l="1"/>
  <c r="F46" i="4" s="1"/>
  <c r="G46" i="4" s="1"/>
  <c r="A47" i="4" s="1"/>
  <c r="B69" i="5"/>
  <c r="C69" i="5" s="1"/>
  <c r="D69" i="5" s="1"/>
  <c r="F46" i="5" l="1"/>
  <c r="E69" i="5"/>
  <c r="A70" i="5" s="1"/>
  <c r="B47" i="4"/>
  <c r="C47" i="4"/>
  <c r="D47" i="4"/>
  <c r="H47" i="4" s="1"/>
  <c r="E47" i="4" l="1"/>
  <c r="F47" i="4" s="1"/>
  <c r="G47" i="4" s="1"/>
  <c r="B70" i="5"/>
  <c r="C70" i="5" s="1"/>
  <c r="D70" i="5" s="1"/>
  <c r="E70" i="5" l="1"/>
  <c r="A71" i="5" s="1"/>
  <c r="A48" i="4"/>
  <c r="F47" i="5"/>
  <c r="B48" i="4" l="1"/>
  <c r="D48" i="4"/>
  <c r="H48" i="4" s="1"/>
  <c r="C48" i="4"/>
  <c r="B71" i="5"/>
  <c r="C71" i="5" s="1"/>
  <c r="D71" i="5" s="1"/>
  <c r="E48" i="4" l="1"/>
  <c r="F48" i="4" s="1"/>
  <c r="G48" i="4" s="1"/>
  <c r="A49" i="4" s="1"/>
  <c r="E71" i="5"/>
  <c r="A72" i="5" s="1"/>
  <c r="F48" i="5" l="1"/>
  <c r="B72" i="5"/>
  <c r="C72" i="5" s="1"/>
  <c r="D72" i="5" s="1"/>
  <c r="E72" i="5" s="1"/>
  <c r="A73" i="5" s="1"/>
  <c r="C49" i="4"/>
  <c r="D49" i="4"/>
  <c r="H49" i="4" s="1"/>
  <c r="B49" i="4"/>
  <c r="E49" i="4" l="1"/>
  <c r="F49" i="4" s="1"/>
  <c r="G49" i="4" s="1"/>
  <c r="B73" i="5"/>
  <c r="F49" i="5" l="1"/>
  <c r="A50" i="4"/>
  <c r="B50" i="4" s="1"/>
  <c r="C73" i="5"/>
  <c r="D73" i="5" s="1"/>
  <c r="E73" i="5" s="1"/>
  <c r="A74" i="5" s="1"/>
  <c r="C50" i="4" l="1"/>
  <c r="D50" i="4"/>
  <c r="H50" i="4" s="1"/>
  <c r="B74" i="5"/>
  <c r="E50" i="4" l="1"/>
  <c r="F50" i="4" s="1"/>
  <c r="G50" i="4" s="1"/>
  <c r="A51" i="4" s="1"/>
  <c r="C74" i="5"/>
  <c r="D74" i="5" s="1"/>
  <c r="E74" i="5" s="1"/>
  <c r="A75" i="5" s="1"/>
  <c r="F50" i="5" l="1"/>
  <c r="B51" i="4"/>
  <c r="C51" i="4"/>
  <c r="D51" i="4"/>
  <c r="H51" i="4" s="1"/>
  <c r="B75" i="5"/>
  <c r="E51" i="4" l="1"/>
  <c r="F51" i="4" s="1"/>
  <c r="G51" i="4" s="1"/>
  <c r="A52" i="4" s="1"/>
  <c r="C75" i="5"/>
  <c r="D75" i="5" s="1"/>
  <c r="E75" i="5" s="1"/>
  <c r="A76" i="5" s="1"/>
  <c r="F51" i="5" l="1"/>
  <c r="B76" i="5"/>
  <c r="C76" i="5" s="1"/>
  <c r="D76" i="5" s="1"/>
  <c r="E76" i="5" s="1"/>
  <c r="A77" i="5" s="1"/>
  <c r="D52" i="4"/>
  <c r="H52" i="4" s="1"/>
  <c r="B52" i="4"/>
  <c r="C52" i="4"/>
  <c r="E52" i="4" l="1"/>
  <c r="F52" i="4" s="1"/>
  <c r="G52" i="4" s="1"/>
  <c r="A53" i="4" s="1"/>
  <c r="B77" i="5"/>
  <c r="F52" i="5" l="1"/>
  <c r="C77" i="5"/>
  <c r="D77" i="5" s="1"/>
  <c r="E77" i="5" s="1"/>
  <c r="A78" i="5" s="1"/>
  <c r="B53" i="4"/>
  <c r="C53" i="4"/>
  <c r="D53" i="4"/>
  <c r="H53" i="4" s="1"/>
  <c r="E53" i="4" l="1"/>
  <c r="F53" i="4" s="1"/>
  <c r="G53" i="4" s="1"/>
  <c r="B78" i="5"/>
  <c r="C78" i="5" l="1"/>
  <c r="D78" i="5" s="1"/>
  <c r="E78" i="5" s="1"/>
  <c r="A54" i="4"/>
  <c r="F53" i="5"/>
  <c r="A79" i="5" l="1"/>
  <c r="B47" i="6"/>
  <c r="B54" i="4"/>
  <c r="D54" i="4"/>
  <c r="H54" i="4" s="1"/>
  <c r="C54" i="4"/>
  <c r="E54" i="4" l="1"/>
  <c r="F54" i="4" s="1"/>
  <c r="G54" i="4" s="1"/>
  <c r="B79" i="5"/>
  <c r="C79" i="5" s="1"/>
  <c r="D79" i="5" s="1"/>
  <c r="E79" i="5" s="1"/>
  <c r="A80" i="5" s="1"/>
  <c r="B80" i="5" l="1"/>
  <c r="C80" i="5" s="1"/>
  <c r="D80" i="5" s="1"/>
  <c r="E80" i="5" s="1"/>
  <c r="A81" i="5" s="1"/>
  <c r="C45" i="6"/>
  <c r="A55" i="4"/>
  <c r="F54" i="5"/>
  <c r="B81" i="5" l="1"/>
  <c r="B55" i="4"/>
  <c r="D55" i="4"/>
  <c r="H55" i="4" s="1"/>
  <c r="C55" i="4"/>
  <c r="E55" i="4" l="1"/>
  <c r="F55" i="4" s="1"/>
  <c r="G55" i="4" s="1"/>
  <c r="C81" i="5"/>
  <c r="D81" i="5" s="1"/>
  <c r="E81" i="5" s="1"/>
  <c r="A82" i="5" s="1"/>
  <c r="B82" i="5" l="1"/>
  <c r="C82" i="5" s="1"/>
  <c r="D82" i="5" s="1"/>
  <c r="A56" i="4"/>
  <c r="F55" i="5"/>
  <c r="E82" i="5" l="1"/>
  <c r="A83" i="5" s="1"/>
  <c r="B56" i="4"/>
  <c r="D56" i="4"/>
  <c r="H56" i="4" s="1"/>
  <c r="C56" i="4"/>
  <c r="E56" i="4" l="1"/>
  <c r="F56" i="4" s="1"/>
  <c r="G56" i="4" s="1"/>
  <c r="A57" i="4" s="1"/>
  <c r="B83" i="5"/>
  <c r="C83" i="5" s="1"/>
  <c r="D83" i="5" s="1"/>
  <c r="F56" i="5" l="1"/>
  <c r="E83" i="5"/>
  <c r="A84" i="5" s="1"/>
  <c r="D57" i="4"/>
  <c r="H57" i="4" s="1"/>
  <c r="C57" i="4"/>
  <c r="B57" i="4"/>
  <c r="E57" i="4" l="1"/>
  <c r="F57" i="4" s="1"/>
  <c r="G57" i="4" s="1"/>
  <c r="B84" i="5"/>
  <c r="C84" i="5" s="1"/>
  <c r="D84" i="5" s="1"/>
  <c r="E84" i="5" s="1"/>
  <c r="A85" i="5" s="1"/>
  <c r="B85" i="5" l="1"/>
  <c r="C85" i="5" s="1"/>
  <c r="D85" i="5" s="1"/>
  <c r="E85" i="5" s="1"/>
  <c r="A86" i="5" s="1"/>
  <c r="A58" i="4"/>
  <c r="F57" i="5"/>
  <c r="B86" i="5" l="1"/>
  <c r="D58" i="4"/>
  <c r="H58" i="4" s="1"/>
  <c r="C58" i="4"/>
  <c r="B58" i="4"/>
  <c r="E58" i="4" l="1"/>
  <c r="F58" i="4" s="1"/>
  <c r="G58" i="4" s="1"/>
  <c r="C86" i="5"/>
  <c r="D86" i="5" s="1"/>
  <c r="E86" i="5" s="1"/>
  <c r="A87" i="5" s="1"/>
  <c r="A59" i="4" l="1"/>
  <c r="F58" i="5"/>
  <c r="B87" i="5"/>
  <c r="C87" i="5" l="1"/>
  <c r="D87" i="5" s="1"/>
  <c r="E87" i="5" s="1"/>
  <c r="A88" i="5" s="1"/>
  <c r="B59" i="4"/>
  <c r="C59" i="4"/>
  <c r="D59" i="4"/>
  <c r="H59" i="4" s="1"/>
  <c r="E59" i="4" l="1"/>
  <c r="F59" i="4" s="1"/>
  <c r="G59" i="4" s="1"/>
  <c r="A60" i="4" s="1"/>
  <c r="B88" i="5"/>
  <c r="F59" i="5" l="1"/>
  <c r="C88" i="5"/>
  <c r="D88" i="5" s="1"/>
  <c r="E88" i="5" s="1"/>
  <c r="A89" i="5" s="1"/>
  <c r="B60" i="4"/>
  <c r="C60" i="4"/>
  <c r="D60" i="4"/>
  <c r="H60" i="4" s="1"/>
  <c r="E60" i="4" l="1"/>
  <c r="F60" i="4" s="1"/>
  <c r="G60" i="4" s="1"/>
  <c r="A61" i="4" s="1"/>
  <c r="B89" i="5"/>
  <c r="F60" i="5" l="1"/>
  <c r="C89" i="5"/>
  <c r="D89" i="5" s="1"/>
  <c r="E89" i="5" s="1"/>
  <c r="A90" i="5" s="1"/>
  <c r="D61" i="4"/>
  <c r="H61" i="4" s="1"/>
  <c r="C61" i="4"/>
  <c r="B61" i="4"/>
  <c r="E61" i="4" l="1"/>
  <c r="F61" i="4" s="1"/>
  <c r="G61" i="4" s="1"/>
  <c r="B90" i="5"/>
  <c r="C90" i="5" s="1"/>
  <c r="D90" i="5" s="1"/>
  <c r="E90" i="5" s="1"/>
  <c r="B48" i="6" l="1"/>
  <c r="A91" i="5"/>
  <c r="A62" i="4"/>
  <c r="F61" i="5"/>
  <c r="B62" i="4" l="1"/>
  <c r="D62" i="4"/>
  <c r="H62" i="4" s="1"/>
  <c r="C62" i="4"/>
  <c r="B91" i="5"/>
  <c r="C91" i="5" s="1"/>
  <c r="D91" i="5" s="1"/>
  <c r="E62" i="4" l="1"/>
  <c r="F62" i="4" s="1"/>
  <c r="G62" i="4" s="1"/>
  <c r="A63" i="4" s="1"/>
  <c r="E91" i="5"/>
  <c r="A92" i="5" s="1"/>
  <c r="F62" i="5" l="1"/>
  <c r="B92" i="5"/>
  <c r="C92" i="5" s="1"/>
  <c r="D92" i="5" s="1"/>
  <c r="E92" i="5" s="1"/>
  <c r="A93" i="5" s="1"/>
  <c r="D63" i="4"/>
  <c r="H63" i="4" s="1"/>
  <c r="C63" i="4"/>
  <c r="B63" i="4"/>
  <c r="E63" i="4" l="1"/>
  <c r="F63" i="4" s="1"/>
  <c r="G63" i="4" s="1"/>
  <c r="B93" i="5"/>
  <c r="C93" i="5" s="1"/>
  <c r="D93" i="5" s="1"/>
  <c r="E93" i="5" l="1"/>
  <c r="A94" i="5" s="1"/>
  <c r="A64" i="4"/>
  <c r="F63" i="5"/>
  <c r="B94" i="5" l="1"/>
  <c r="D64" i="4"/>
  <c r="H64" i="4" s="1"/>
  <c r="C64" i="4"/>
  <c r="B64" i="4"/>
  <c r="C94" i="5" l="1"/>
  <c r="D94" i="5" s="1"/>
  <c r="E94" i="5" s="1"/>
  <c r="A95" i="5" s="1"/>
  <c r="E64" i="4"/>
  <c r="F64" i="4" s="1"/>
  <c r="G64" i="4" s="1"/>
  <c r="A65" i="4" l="1"/>
  <c r="F64" i="5"/>
  <c r="B95" i="5"/>
  <c r="C95" i="5" l="1"/>
  <c r="D95" i="5" s="1"/>
  <c r="E95" i="5" s="1"/>
  <c r="A96" i="5" s="1"/>
  <c r="B65" i="4"/>
  <c r="C65" i="4"/>
  <c r="D65" i="4"/>
  <c r="H65" i="4" s="1"/>
  <c r="B96" i="5" l="1"/>
  <c r="E65" i="4"/>
  <c r="F65" i="4" s="1"/>
  <c r="G65" i="4" s="1"/>
  <c r="A66" i="4" l="1"/>
  <c r="F65" i="5"/>
  <c r="C96" i="5"/>
  <c r="D96" i="5" s="1"/>
  <c r="E96" i="5" s="1"/>
  <c r="A97" i="5" s="1"/>
  <c r="B97" i="5" l="1"/>
  <c r="C97" i="5" s="1"/>
  <c r="D97" i="5" s="1"/>
  <c r="E97" i="5" s="1"/>
  <c r="A98" i="5" s="1"/>
  <c r="B66" i="4"/>
  <c r="D66" i="4"/>
  <c r="H66" i="4" s="1"/>
  <c r="C66" i="4"/>
  <c r="E66" i="4" l="1"/>
  <c r="F66" i="4" s="1"/>
  <c r="G66" i="4" s="1"/>
  <c r="B98" i="5"/>
  <c r="A67" i="4" l="1"/>
  <c r="C46" i="6"/>
  <c r="F66" i="5"/>
  <c r="C98" i="5"/>
  <c r="D98" i="5" s="1"/>
  <c r="E98" i="5" s="1"/>
  <c r="A99" i="5" s="1"/>
  <c r="B99" i="5" l="1"/>
  <c r="C99" i="5" s="1"/>
  <c r="D99" i="5" s="1"/>
  <c r="D67" i="4"/>
  <c r="H67" i="4" s="1"/>
  <c r="C67" i="4"/>
  <c r="B67" i="4"/>
  <c r="E67" i="4" l="1"/>
  <c r="F67" i="4" s="1"/>
  <c r="G67" i="4" s="1"/>
  <c r="E99" i="5"/>
  <c r="A100" i="5" s="1"/>
  <c r="A68" i="4" l="1"/>
  <c r="F67" i="5"/>
  <c r="B100" i="5"/>
  <c r="C100" i="5" l="1"/>
  <c r="D100" i="5" s="1"/>
  <c r="E100" i="5" s="1"/>
  <c r="A101" i="5" s="1"/>
  <c r="B68" i="4"/>
  <c r="C68" i="4"/>
  <c r="D68" i="4"/>
  <c r="H68" i="4" s="1"/>
  <c r="E68" i="4" l="1"/>
  <c r="F68" i="4" s="1"/>
  <c r="G68" i="4" s="1"/>
  <c r="A69" i="4" s="1"/>
  <c r="B101" i="5"/>
  <c r="C101" i="5" s="1"/>
  <c r="D101" i="5" s="1"/>
  <c r="F68" i="5" l="1"/>
  <c r="E101" i="5"/>
  <c r="A102" i="5" s="1"/>
  <c r="B102" i="5" s="1"/>
  <c r="C102" i="5" s="1"/>
  <c r="D102" i="5" s="1"/>
  <c r="E102" i="5" s="1"/>
  <c r="D69" i="4"/>
  <c r="H69" i="4" s="1"/>
  <c r="B69" i="4"/>
  <c r="C69" i="4"/>
  <c r="E69" i="4" l="1"/>
  <c r="F69" i="4" s="1"/>
  <c r="G69" i="4" s="1"/>
  <c r="B49" i="6"/>
  <c r="A103" i="5"/>
  <c r="B103" i="5" l="1"/>
  <c r="C103" i="5" s="1"/>
  <c r="D103" i="5" s="1"/>
  <c r="E103" i="5" s="1"/>
  <c r="A104" i="5" s="1"/>
  <c r="A70" i="4"/>
  <c r="F69" i="5"/>
  <c r="B104" i="5" l="1"/>
  <c r="C104" i="5" s="1"/>
  <c r="D104" i="5" s="1"/>
  <c r="E104" i="5" s="1"/>
  <c r="A105" i="5" s="1"/>
  <c r="D70" i="4"/>
  <c r="H70" i="4" s="1"/>
  <c r="C70" i="4"/>
  <c r="B70" i="4"/>
  <c r="E70" i="4" l="1"/>
  <c r="F70" i="4" s="1"/>
  <c r="G70" i="4" s="1"/>
  <c r="A71" i="4" s="1"/>
  <c r="B105" i="5"/>
  <c r="C105" i="5" s="1"/>
  <c r="D105" i="5" s="1"/>
  <c r="E105" i="5" s="1"/>
  <c r="A106" i="5" s="1"/>
  <c r="F70" i="5" l="1"/>
  <c r="B106" i="5"/>
  <c r="B71" i="4"/>
  <c r="C71" i="4"/>
  <c r="D71" i="4"/>
  <c r="H71" i="4" s="1"/>
  <c r="E71" i="4" l="1"/>
  <c r="F71" i="4" s="1"/>
  <c r="G71" i="4" s="1"/>
  <c r="A72" i="4" s="1"/>
  <c r="C106" i="5"/>
  <c r="D106" i="5" s="1"/>
  <c r="E106" i="5" s="1"/>
  <c r="A107" i="5" s="1"/>
  <c r="F71" i="5" l="1"/>
  <c r="B107" i="5"/>
  <c r="C107" i="5" s="1"/>
  <c r="D107" i="5" s="1"/>
  <c r="E107" i="5" s="1"/>
  <c r="A108" i="5" s="1"/>
  <c r="D72" i="4"/>
  <c r="H72" i="4" s="1"/>
  <c r="C72" i="4"/>
  <c r="B72" i="4"/>
  <c r="B108" i="5" l="1"/>
  <c r="E72" i="4"/>
  <c r="F72" i="4" s="1"/>
  <c r="G72" i="4" s="1"/>
  <c r="A73" i="4" l="1"/>
  <c r="F72" i="5"/>
  <c r="C108" i="5"/>
  <c r="D108" i="5" s="1"/>
  <c r="E108" i="5" s="1"/>
  <c r="A109" i="5" s="1"/>
  <c r="B109" i="5" l="1"/>
  <c r="C109" i="5" s="1"/>
  <c r="D109" i="5" s="1"/>
  <c r="E109" i="5" s="1"/>
  <c r="A110" i="5" s="1"/>
  <c r="B73" i="4"/>
  <c r="D73" i="4"/>
  <c r="H73" i="4" s="1"/>
  <c r="C73" i="4"/>
  <c r="B110" i="5" l="1"/>
  <c r="E73" i="4"/>
  <c r="F73" i="4" s="1"/>
  <c r="G73" i="4" s="1"/>
  <c r="A74" i="4" l="1"/>
  <c r="F73" i="5"/>
  <c r="C110" i="5"/>
  <c r="D110" i="5" s="1"/>
  <c r="E110" i="5" s="1"/>
  <c r="A111" i="5" s="1"/>
  <c r="B74" i="4" l="1"/>
  <c r="D74" i="4"/>
  <c r="H74" i="4" s="1"/>
  <c r="C74" i="4"/>
  <c r="E74" i="4" s="1"/>
  <c r="F74" i="4" s="1"/>
  <c r="B111" i="5"/>
  <c r="C111" i="5" s="1"/>
  <c r="D111" i="5" s="1"/>
  <c r="E111" i="5" s="1"/>
  <c r="A112" i="5" s="1"/>
  <c r="B112" i="5" l="1"/>
  <c r="C112" i="5" s="1"/>
  <c r="D112" i="5" s="1"/>
  <c r="E112" i="5" s="1"/>
  <c r="A113" i="5" s="1"/>
  <c r="G74" i="4"/>
  <c r="B113" i="5" l="1"/>
  <c r="A75" i="4"/>
  <c r="F74" i="5"/>
  <c r="B75" i="4" l="1"/>
  <c r="D75" i="4"/>
  <c r="H75" i="4" s="1"/>
  <c r="C75" i="4"/>
  <c r="C113" i="5"/>
  <c r="D113" i="5" s="1"/>
  <c r="E113" i="5" s="1"/>
  <c r="A114" i="5" s="1"/>
  <c r="E75" i="4" l="1"/>
  <c r="F75" i="4" s="1"/>
  <c r="G75" i="4" s="1"/>
  <c r="A76" i="4" s="1"/>
  <c r="B114" i="5"/>
  <c r="F75" i="5" l="1"/>
  <c r="C114" i="5"/>
  <c r="D114" i="5" s="1"/>
  <c r="E114" i="5" s="1"/>
  <c r="C76" i="4"/>
  <c r="B76" i="4"/>
  <c r="D76" i="4"/>
  <c r="H76" i="4" s="1"/>
  <c r="E76" i="4" l="1"/>
  <c r="F76" i="4" s="1"/>
  <c r="G76" i="4" s="1"/>
  <c r="A77" i="4" s="1"/>
  <c r="A115" i="5"/>
  <c r="B50" i="6"/>
  <c r="F76" i="5" l="1"/>
  <c r="B77" i="4"/>
  <c r="D77" i="4"/>
  <c r="H77" i="4" s="1"/>
  <c r="C77" i="4"/>
  <c r="B115" i="5"/>
  <c r="E77" i="4" l="1"/>
  <c r="F77" i="4" s="1"/>
  <c r="G77" i="4" s="1"/>
  <c r="C115" i="5"/>
  <c r="D115" i="5" s="1"/>
  <c r="E115" i="5" s="1"/>
  <c r="A116" i="5" s="1"/>
  <c r="A78" i="4" l="1"/>
  <c r="F77" i="5"/>
  <c r="B116" i="5"/>
  <c r="C116" i="5" s="1"/>
  <c r="D116" i="5" s="1"/>
  <c r="E116" i="5" s="1"/>
  <c r="A117" i="5" s="1"/>
  <c r="B117" i="5" l="1"/>
  <c r="C78" i="4"/>
  <c r="D78" i="4"/>
  <c r="H78" i="4" s="1"/>
  <c r="B78" i="4"/>
  <c r="E78" i="4" l="1"/>
  <c r="F78" i="4" s="1"/>
  <c r="G78" i="4" s="1"/>
  <c r="A79" i="4" s="1"/>
  <c r="C117" i="5"/>
  <c r="D117" i="5" s="1"/>
  <c r="E117" i="5" s="1"/>
  <c r="A118" i="5" s="1"/>
  <c r="C47" i="6" l="1"/>
  <c r="F78" i="5"/>
  <c r="B118" i="5"/>
  <c r="C118" i="5" s="1"/>
  <c r="D118" i="5" s="1"/>
  <c r="E118" i="5" s="1"/>
  <c r="A119" i="5" s="1"/>
  <c r="D79" i="4"/>
  <c r="C79" i="4"/>
  <c r="B79" i="4"/>
  <c r="H79" i="4"/>
  <c r="E79" i="4" l="1"/>
  <c r="F79" i="4" s="1"/>
  <c r="G79" i="4" s="1"/>
  <c r="F79" i="5" s="1"/>
  <c r="B119" i="5"/>
  <c r="C119" i="5" s="1"/>
  <c r="D119" i="5" s="1"/>
  <c r="E119" i="5" s="1"/>
  <c r="A120" i="5" s="1"/>
  <c r="A80" i="4" l="1"/>
  <c r="B80" i="4" s="1"/>
  <c r="B120" i="5"/>
  <c r="D80" i="4" l="1"/>
  <c r="H80" i="4" s="1"/>
  <c r="C80" i="4"/>
  <c r="C120" i="5"/>
  <c r="D120" i="5" s="1"/>
  <c r="E120" i="5" s="1"/>
  <c r="A121" i="5" s="1"/>
  <c r="E80" i="4"/>
  <c r="F80" i="4" s="1"/>
  <c r="G80" i="4" s="1"/>
  <c r="A81" i="4" l="1"/>
  <c r="F80" i="5"/>
  <c r="B121" i="5"/>
  <c r="C121" i="5" l="1"/>
  <c r="D121" i="5" s="1"/>
  <c r="E121" i="5" s="1"/>
  <c r="A122" i="5" s="1"/>
  <c r="D81" i="4"/>
  <c r="H81" i="4" s="1"/>
  <c r="B81" i="4"/>
  <c r="C81" i="4"/>
  <c r="E81" i="4" l="1"/>
  <c r="F81" i="4" s="1"/>
  <c r="G81" i="4" s="1"/>
  <c r="A82" i="4" s="1"/>
  <c r="B122" i="5"/>
  <c r="C122" i="5" s="1"/>
  <c r="D122" i="5" s="1"/>
  <c r="E122" i="5" s="1"/>
  <c r="A123" i="5" s="1"/>
  <c r="F81" i="5" l="1"/>
  <c r="B123" i="5"/>
  <c r="C82" i="4"/>
  <c r="D82" i="4"/>
  <c r="H82" i="4" s="1"/>
  <c r="B82" i="4"/>
  <c r="C123" i="5" l="1"/>
  <c r="D123" i="5" s="1"/>
  <c r="E123" i="5" s="1"/>
  <c r="A124" i="5" s="1"/>
  <c r="E82" i="4"/>
  <c r="F82" i="4" s="1"/>
  <c r="G82" i="4" s="1"/>
  <c r="A83" i="4" l="1"/>
  <c r="F82" i="5"/>
  <c r="B124" i="5"/>
  <c r="C124" i="5" s="1"/>
  <c r="D124" i="5" s="1"/>
  <c r="E124" i="5" s="1"/>
  <c r="A125" i="5" s="1"/>
  <c r="B125" i="5" l="1"/>
  <c r="C125" i="5" s="1"/>
  <c r="D125" i="5" s="1"/>
  <c r="E125" i="5" s="1"/>
  <c r="A126" i="5" s="1"/>
  <c r="B83" i="4"/>
  <c r="C83" i="4"/>
  <c r="D83" i="4"/>
  <c r="H83" i="4" s="1"/>
  <c r="B126" i="5" l="1"/>
  <c r="C126" i="5" s="1"/>
  <c r="D126" i="5" s="1"/>
  <c r="E126" i="5" s="1"/>
  <c r="E83" i="4"/>
  <c r="F83" i="4" s="1"/>
  <c r="G83" i="4" s="1"/>
  <c r="A84" i="4" l="1"/>
  <c r="F83" i="5"/>
  <c r="A127" i="5"/>
  <c r="B51" i="6"/>
  <c r="B127" i="5" l="1"/>
  <c r="C84" i="4"/>
  <c r="B84" i="4"/>
  <c r="D84" i="4"/>
  <c r="H84" i="4" s="1"/>
  <c r="E84" i="4" l="1"/>
  <c r="F84" i="4" s="1"/>
  <c r="G84" i="4" s="1"/>
  <c r="A85" i="4" s="1"/>
  <c r="C127" i="5"/>
  <c r="D127" i="5" s="1"/>
  <c r="E127" i="5" s="1"/>
  <c r="A128" i="5" s="1"/>
  <c r="F84" i="5" l="1"/>
  <c r="B128" i="5"/>
  <c r="D85" i="4"/>
  <c r="H85" i="4" s="1"/>
  <c r="B85" i="4"/>
  <c r="C85" i="4"/>
  <c r="E85" i="4" l="1"/>
  <c r="F85" i="4" s="1"/>
  <c r="G85" i="4" s="1"/>
  <c r="C128" i="5"/>
  <c r="D128" i="5" s="1"/>
  <c r="E128" i="5" s="1"/>
  <c r="A129" i="5" s="1"/>
  <c r="B129" i="5" l="1"/>
  <c r="C129" i="5" s="1"/>
  <c r="D129" i="5" s="1"/>
  <c r="E129" i="5" s="1"/>
  <c r="A130" i="5" s="1"/>
  <c r="A86" i="4"/>
  <c r="F85" i="5"/>
  <c r="B130" i="5" l="1"/>
  <c r="C130" i="5" s="1"/>
  <c r="D130" i="5" s="1"/>
  <c r="E130" i="5" s="1"/>
  <c r="A131" i="5" s="1"/>
  <c r="B86" i="4"/>
  <c r="D86" i="4"/>
  <c r="H86" i="4" s="1"/>
  <c r="C86" i="4"/>
  <c r="E86" i="4" l="1"/>
  <c r="F86" i="4" s="1"/>
  <c r="G86" i="4" s="1"/>
  <c r="B131" i="5"/>
  <c r="C131" i="5" s="1"/>
  <c r="D131" i="5" s="1"/>
  <c r="E131" i="5" l="1"/>
  <c r="A132" i="5" s="1"/>
  <c r="A87" i="4"/>
  <c r="F86" i="5"/>
  <c r="D87" i="4" l="1"/>
  <c r="H87" i="4" s="1"/>
  <c r="C87" i="4"/>
  <c r="B87" i="4"/>
  <c r="B132" i="5"/>
  <c r="C132" i="5" s="1"/>
  <c r="D132" i="5" s="1"/>
  <c r="E132" i="5" s="1"/>
  <c r="A133" i="5" s="1"/>
  <c r="E87" i="4" l="1"/>
  <c r="F87" i="4" s="1"/>
  <c r="G87" i="4" s="1"/>
  <c r="A88" i="4" s="1"/>
  <c r="B133" i="5"/>
  <c r="C133" i="5" s="1"/>
  <c r="D133" i="5" s="1"/>
  <c r="E133" i="5" s="1"/>
  <c r="A134" i="5" s="1"/>
  <c r="F87" i="5" l="1"/>
  <c r="B134" i="5"/>
  <c r="C134" i="5" s="1"/>
  <c r="D134" i="5" s="1"/>
  <c r="E134" i="5" s="1"/>
  <c r="A135" i="5" s="1"/>
  <c r="D88" i="4"/>
  <c r="H88" i="4" s="1"/>
  <c r="C88" i="4"/>
  <c r="B88" i="4"/>
  <c r="B135" i="5" l="1"/>
  <c r="C135" i="5" s="1"/>
  <c r="D135" i="5" s="1"/>
  <c r="E135" i="5" s="1"/>
  <c r="A136" i="5" s="1"/>
  <c r="E88" i="4"/>
  <c r="F88" i="4" s="1"/>
  <c r="G88" i="4" s="1"/>
  <c r="A89" i="4" l="1"/>
  <c r="F88" i="5"/>
  <c r="B136" i="5"/>
  <c r="C136" i="5" l="1"/>
  <c r="D136" i="5" s="1"/>
  <c r="E136" i="5" s="1"/>
  <c r="A137" i="5" s="1"/>
  <c r="B89" i="4"/>
  <c r="D89" i="4"/>
  <c r="H89" i="4" s="1"/>
  <c r="C89" i="4"/>
  <c r="E89" i="4" l="1"/>
  <c r="F89" i="4" s="1"/>
  <c r="G89" i="4" s="1"/>
  <c r="B137" i="5"/>
  <c r="C137" i="5" l="1"/>
  <c r="D137" i="5" s="1"/>
  <c r="E137" i="5" s="1"/>
  <c r="A138" i="5" s="1"/>
  <c r="A90" i="4"/>
  <c r="F89" i="5"/>
  <c r="B138" i="5" l="1"/>
  <c r="C138" i="5" s="1"/>
  <c r="D138" i="5" s="1"/>
  <c r="E138" i="5" s="1"/>
  <c r="D90" i="4"/>
  <c r="H90" i="4" s="1"/>
  <c r="C90" i="4"/>
  <c r="B90" i="4"/>
  <c r="A139" i="5" l="1"/>
  <c r="B52" i="6"/>
  <c r="E90" i="4"/>
  <c r="F90" i="4" s="1"/>
  <c r="G90" i="4" s="1"/>
  <c r="A91" i="4" l="1"/>
  <c r="C48" i="6"/>
  <c r="F90" i="5"/>
  <c r="B139" i="5"/>
  <c r="C139" i="5" l="1"/>
  <c r="D139" i="5" s="1"/>
  <c r="E139" i="5" s="1"/>
  <c r="A140" i="5" s="1"/>
  <c r="B91" i="4"/>
  <c r="D91" i="4"/>
  <c r="C91" i="4"/>
  <c r="E91" i="4" s="1"/>
  <c r="F91" i="4" s="1"/>
  <c r="H91" i="4"/>
  <c r="G91" i="4" l="1"/>
  <c r="B140" i="5"/>
  <c r="C140" i="5" s="1"/>
  <c r="D140" i="5" s="1"/>
  <c r="E140" i="5" s="1"/>
  <c r="A141" i="5" s="1"/>
  <c r="B141" i="5" l="1"/>
  <c r="A92" i="4"/>
  <c r="F91" i="5"/>
  <c r="B92" i="4" l="1"/>
  <c r="C92" i="4"/>
  <c r="D92" i="4"/>
  <c r="C141" i="5"/>
  <c r="D141" i="5" s="1"/>
  <c r="E141" i="5" s="1"/>
  <c r="A142" i="5" s="1"/>
  <c r="E92" i="4" l="1"/>
  <c r="F92" i="4" s="1"/>
  <c r="G92" i="4" s="1"/>
  <c r="F92" i="5" s="1"/>
  <c r="H92" i="4"/>
  <c r="B142" i="5"/>
  <c r="A93" i="4" l="1"/>
  <c r="B93" i="4" s="1"/>
  <c r="C142" i="5"/>
  <c r="D142" i="5" s="1"/>
  <c r="E142" i="5" s="1"/>
  <c r="A143" i="5" s="1"/>
  <c r="C93" i="4" l="1"/>
  <c r="D93" i="4"/>
  <c r="H93" i="4" s="1"/>
  <c r="B143" i="5"/>
  <c r="C143" i="5" s="1"/>
  <c r="D143" i="5" s="1"/>
  <c r="E93" i="4" l="1"/>
  <c r="F93" i="4" s="1"/>
  <c r="G93" i="4" s="1"/>
  <c r="E143" i="5"/>
  <c r="A144" i="5" s="1"/>
  <c r="F93" i="5" l="1"/>
  <c r="A94" i="4"/>
  <c r="B144" i="5"/>
  <c r="C144" i="5" s="1"/>
  <c r="D144" i="5" s="1"/>
  <c r="E144" i="5" s="1"/>
  <c r="A145" i="5" s="1"/>
  <c r="C94" i="4" l="1"/>
  <c r="E94" i="4" s="1"/>
  <c r="F94" i="4" s="1"/>
  <c r="G94" i="4" s="1"/>
  <c r="A95" i="4" s="1"/>
  <c r="D94" i="4"/>
  <c r="H94" i="4" s="1"/>
  <c r="B94" i="4"/>
  <c r="B145" i="5"/>
  <c r="C145" i="5" s="1"/>
  <c r="D145" i="5" s="1"/>
  <c r="E145" i="5" s="1"/>
  <c r="A146" i="5" s="1"/>
  <c r="F94" i="5" l="1"/>
  <c r="B146" i="5"/>
  <c r="C146" i="5" s="1"/>
  <c r="D146" i="5" s="1"/>
  <c r="B95" i="4"/>
  <c r="C95" i="4"/>
  <c r="D95" i="4"/>
  <c r="H95" i="4" s="1"/>
  <c r="E95" i="4" l="1"/>
  <c r="F95" i="4" s="1"/>
  <c r="G95" i="4" s="1"/>
  <c r="A96" i="4" s="1"/>
  <c r="E146" i="5"/>
  <c r="A147" i="5" s="1"/>
  <c r="F95" i="5" l="1"/>
  <c r="B147" i="5"/>
  <c r="C147" i="5" s="1"/>
  <c r="D147" i="5" s="1"/>
  <c r="C96" i="4"/>
  <c r="D96" i="4"/>
  <c r="H96" i="4" s="1"/>
  <c r="B96" i="4"/>
  <c r="E96" i="4" l="1"/>
  <c r="F96" i="4" s="1"/>
  <c r="G96" i="4" s="1"/>
  <c r="A97" i="4" s="1"/>
  <c r="E147" i="5"/>
  <c r="A148" i="5" s="1"/>
  <c r="F96" i="5" l="1"/>
  <c r="B148" i="5"/>
  <c r="C148" i="5" s="1"/>
  <c r="D148" i="5" s="1"/>
  <c r="E148" i="5" s="1"/>
  <c r="A149" i="5" s="1"/>
  <c r="D97" i="4"/>
  <c r="H97" i="4" s="1"/>
  <c r="C97" i="4"/>
  <c r="B97" i="4"/>
  <c r="E97" i="4" l="1"/>
  <c r="F97" i="4" s="1"/>
  <c r="G97" i="4" s="1"/>
  <c r="B149" i="5"/>
  <c r="C149" i="5" s="1"/>
  <c r="D149" i="5" s="1"/>
  <c r="E149" i="5" s="1"/>
  <c r="A150" i="5" s="1"/>
  <c r="B150" i="5" l="1"/>
  <c r="A98" i="4"/>
  <c r="F97" i="5"/>
  <c r="B98" i="4" l="1"/>
  <c r="C98" i="4"/>
  <c r="D98" i="4"/>
  <c r="H98" i="4" s="1"/>
  <c r="C150" i="5"/>
  <c r="D150" i="5" s="1"/>
  <c r="E150" i="5" s="1"/>
  <c r="E98" i="4" l="1"/>
  <c r="F98" i="4" s="1"/>
  <c r="G98" i="4" s="1"/>
  <c r="A99" i="4" s="1"/>
  <c r="B53" i="6"/>
  <c r="A151" i="5"/>
  <c r="F98" i="5" l="1"/>
  <c r="D99" i="4"/>
  <c r="H99" i="4" s="1"/>
  <c r="C99" i="4"/>
  <c r="B99" i="4"/>
  <c r="B151" i="5"/>
  <c r="E99" i="4" l="1"/>
  <c r="F99" i="4" s="1"/>
  <c r="G99" i="4" s="1"/>
  <c r="C151" i="5"/>
  <c r="D151" i="5" s="1"/>
  <c r="E151" i="5" s="1"/>
  <c r="A152" i="5" s="1"/>
  <c r="B152" i="5" l="1"/>
  <c r="C152" i="5" s="1"/>
  <c r="D152" i="5" s="1"/>
  <c r="E152" i="5" s="1"/>
  <c r="A153" i="5" s="1"/>
  <c r="A100" i="4"/>
  <c r="F99" i="5"/>
  <c r="B153" i="5" l="1"/>
  <c r="B100" i="4"/>
  <c r="D100" i="4"/>
  <c r="H100" i="4" s="1"/>
  <c r="C100" i="4"/>
  <c r="E100" i="4" l="1"/>
  <c r="F100" i="4" s="1"/>
  <c r="G100" i="4" s="1"/>
  <c r="A101" i="4" s="1"/>
  <c r="C153" i="5"/>
  <c r="D153" i="5" s="1"/>
  <c r="E153" i="5" s="1"/>
  <c r="A154" i="5" s="1"/>
  <c r="F100" i="5" l="1"/>
  <c r="B154" i="5"/>
  <c r="B101" i="4"/>
  <c r="D101" i="4"/>
  <c r="H101" i="4" s="1"/>
  <c r="C101" i="4"/>
  <c r="E101" i="4" l="1"/>
  <c r="F101" i="4" s="1"/>
  <c r="G101" i="4" s="1"/>
  <c r="C154" i="5"/>
  <c r="D154" i="5" s="1"/>
  <c r="E154" i="5" s="1"/>
  <c r="A155" i="5" s="1"/>
  <c r="B155" i="5" l="1"/>
  <c r="C155" i="5" s="1"/>
  <c r="D155" i="5" s="1"/>
  <c r="E155" i="5" s="1"/>
  <c r="A156" i="5" s="1"/>
  <c r="A102" i="4"/>
  <c r="F101" i="5"/>
  <c r="B156" i="5" l="1"/>
  <c r="D102" i="4"/>
  <c r="H102" i="4" s="1"/>
  <c r="C102" i="4"/>
  <c r="B102" i="4"/>
  <c r="E102" i="4" l="1"/>
  <c r="F102" i="4" s="1"/>
  <c r="G102" i="4" s="1"/>
  <c r="C156" i="5"/>
  <c r="D156" i="5" s="1"/>
  <c r="E156" i="5" s="1"/>
  <c r="A157" i="5" s="1"/>
  <c r="B157" i="5" l="1"/>
  <c r="C157" i="5" s="1"/>
  <c r="D157" i="5" s="1"/>
  <c r="E157" i="5" s="1"/>
  <c r="A158" i="5" s="1"/>
  <c r="A103" i="4"/>
  <c r="C49" i="6"/>
  <c r="F102" i="5"/>
  <c r="B158" i="5" l="1"/>
  <c r="C158" i="5" s="1"/>
  <c r="D158" i="5" s="1"/>
  <c r="C103" i="4"/>
  <c r="D103" i="4"/>
  <c r="B103" i="4"/>
  <c r="E103" i="4" l="1"/>
  <c r="F103" i="4" s="1"/>
  <c r="G103" i="4" s="1"/>
  <c r="A104" i="4" s="1"/>
  <c r="H103" i="4"/>
  <c r="E158" i="5"/>
  <c r="A159" i="5" s="1"/>
  <c r="F103" i="5" l="1"/>
  <c r="B159" i="5"/>
  <c r="B104" i="4"/>
  <c r="D104" i="4"/>
  <c r="H104" i="4" s="1"/>
  <c r="C104" i="4"/>
  <c r="E104" i="4" l="1"/>
  <c r="F104" i="4" s="1"/>
  <c r="G104" i="4" s="1"/>
  <c r="C159" i="5"/>
  <c r="D159" i="5" s="1"/>
  <c r="E159" i="5" s="1"/>
  <c r="A160" i="5" s="1"/>
  <c r="B160" i="5" l="1"/>
  <c r="C160" i="5" s="1"/>
  <c r="D160" i="5" s="1"/>
  <c r="E160" i="5" s="1"/>
  <c r="A161" i="5" s="1"/>
  <c r="A105" i="4"/>
  <c r="F104" i="5"/>
  <c r="B161" i="5" l="1"/>
  <c r="C105" i="4"/>
  <c r="B105" i="4"/>
  <c r="D105" i="4"/>
  <c r="H105" i="4"/>
  <c r="E105" i="4" l="1"/>
  <c r="F105" i="4" s="1"/>
  <c r="G105" i="4" s="1"/>
  <c r="C161" i="5"/>
  <c r="D161" i="5" s="1"/>
  <c r="E161" i="5" s="1"/>
  <c r="A162" i="5" s="1"/>
  <c r="B162" i="5" l="1"/>
  <c r="C162" i="5" s="1"/>
  <c r="D162" i="5" s="1"/>
  <c r="E162" i="5" s="1"/>
  <c r="A106" i="4"/>
  <c r="F105" i="5"/>
  <c r="B54" i="6" l="1"/>
  <c r="A163" i="5"/>
  <c r="D106" i="4"/>
  <c r="H106" i="4" s="1"/>
  <c r="B106" i="4"/>
  <c r="C106" i="4"/>
  <c r="E106" i="4" s="1"/>
  <c r="F106" i="4" s="1"/>
  <c r="G106" i="4" s="1"/>
  <c r="A107" i="4" l="1"/>
  <c r="F106" i="5"/>
  <c r="B163" i="5"/>
  <c r="C163" i="5" l="1"/>
  <c r="D163" i="5" s="1"/>
  <c r="E163" i="5" s="1"/>
  <c r="A164" i="5" s="1"/>
  <c r="B107" i="4"/>
  <c r="C107" i="4"/>
  <c r="D107" i="4"/>
  <c r="H107" i="4" s="1"/>
  <c r="E107" i="4" l="1"/>
  <c r="F107" i="4" s="1"/>
  <c r="G107" i="4" s="1"/>
  <c r="B164" i="5"/>
  <c r="C164" i="5" s="1"/>
  <c r="D164" i="5" s="1"/>
  <c r="E164" i="5" s="1"/>
  <c r="A165" i="5" s="1"/>
  <c r="B165" i="5" l="1"/>
  <c r="C165" i="5" s="1"/>
  <c r="D165" i="5" s="1"/>
  <c r="A108" i="4"/>
  <c r="F107" i="5"/>
  <c r="E165" i="5" l="1"/>
  <c r="A166" i="5" s="1"/>
  <c r="D108" i="4"/>
  <c r="H108" i="4" s="1"/>
  <c r="C108" i="4"/>
  <c r="B108" i="4"/>
  <c r="E108" i="4" l="1"/>
  <c r="F108" i="4" s="1"/>
  <c r="G108" i="4" s="1"/>
  <c r="B166" i="5"/>
  <c r="C166" i="5" s="1"/>
  <c r="D166" i="5" s="1"/>
  <c r="E166" i="5" l="1"/>
  <c r="A167" i="5" s="1"/>
  <c r="A109" i="4"/>
  <c r="F108" i="5"/>
  <c r="C109" i="4" l="1"/>
  <c r="B109" i="4"/>
  <c r="D109" i="4"/>
  <c r="H109" i="4" s="1"/>
  <c r="B167" i="5"/>
  <c r="C167" i="5" s="1"/>
  <c r="D167" i="5" s="1"/>
  <c r="E167" i="5" s="1"/>
  <c r="A168" i="5" s="1"/>
  <c r="E109" i="4" l="1"/>
  <c r="F109" i="4" s="1"/>
  <c r="G109" i="4" s="1"/>
  <c r="A110" i="4" s="1"/>
  <c r="B168" i="5"/>
  <c r="F109" i="5" l="1"/>
  <c r="B110" i="4"/>
  <c r="D110" i="4"/>
  <c r="H110" i="4" s="1"/>
  <c r="C110" i="4"/>
  <c r="E110" i="4" s="1"/>
  <c r="F110" i="4" s="1"/>
  <c r="C168" i="5"/>
  <c r="D168" i="5" s="1"/>
  <c r="E168" i="5" s="1"/>
  <c r="A169" i="5" s="1"/>
  <c r="B169" i="5" l="1"/>
  <c r="C169" i="5" s="1"/>
  <c r="D169" i="5" s="1"/>
  <c r="E169" i="5" s="1"/>
  <c r="A170" i="5" s="1"/>
  <c r="G110" i="4"/>
  <c r="B170" i="5" l="1"/>
  <c r="C170" i="5" s="1"/>
  <c r="D170" i="5" s="1"/>
  <c r="E170" i="5" s="1"/>
  <c r="A171" i="5" s="1"/>
  <c r="A111" i="4"/>
  <c r="F110" i="5"/>
  <c r="B171" i="5" l="1"/>
  <c r="C171" i="5" s="1"/>
  <c r="D171" i="5" s="1"/>
  <c r="E171" i="5" s="1"/>
  <c r="A172" i="5" s="1"/>
  <c r="D111" i="4"/>
  <c r="H111" i="4" s="1"/>
  <c r="C111" i="4"/>
  <c r="E111" i="4" s="1"/>
  <c r="F111" i="4" s="1"/>
  <c r="B111" i="4"/>
  <c r="B172" i="5" l="1"/>
  <c r="C172" i="5" s="1"/>
  <c r="D172" i="5" s="1"/>
  <c r="E172" i="5" s="1"/>
  <c r="A173" i="5" s="1"/>
  <c r="G111" i="4"/>
  <c r="B173" i="5" l="1"/>
  <c r="A112" i="4"/>
  <c r="F111" i="5"/>
  <c r="D112" i="4" l="1"/>
  <c r="H112" i="4" s="1"/>
  <c r="C112" i="4"/>
  <c r="B112" i="4"/>
  <c r="C173" i="5"/>
  <c r="D173" i="5" s="1"/>
  <c r="E173" i="5" s="1"/>
  <c r="A174" i="5" s="1"/>
  <c r="E112" i="4" l="1"/>
  <c r="F112" i="4" s="1"/>
  <c r="G112" i="4" s="1"/>
  <c r="B174" i="5"/>
  <c r="C174" i="5" l="1"/>
  <c r="D174" i="5" s="1"/>
  <c r="E174" i="5" s="1"/>
  <c r="A113" i="4"/>
  <c r="F112" i="5"/>
  <c r="B55" i="6" l="1"/>
  <c r="A175" i="5"/>
  <c r="B175" i="5" s="1"/>
  <c r="B113" i="4"/>
  <c r="D113" i="4"/>
  <c r="H113" i="4" s="1"/>
  <c r="C113" i="4"/>
  <c r="E113" i="4" l="1"/>
  <c r="F113" i="4" s="1"/>
  <c r="G113" i="4" s="1"/>
  <c r="C175" i="5"/>
  <c r="D175" i="5" s="1"/>
  <c r="E175" i="5" s="1"/>
  <c r="A176" i="5" s="1"/>
  <c r="B176" i="5" l="1"/>
  <c r="A114" i="4"/>
  <c r="F113" i="5"/>
  <c r="C176" i="5" l="1"/>
  <c r="D176" i="5" s="1"/>
  <c r="E176" i="5" s="1"/>
  <c r="A177" i="5" s="1"/>
  <c r="B177" i="5" s="1"/>
  <c r="D114" i="4"/>
  <c r="H114" i="4" s="1"/>
  <c r="C114" i="4"/>
  <c r="B114" i="4"/>
  <c r="E114" i="4" l="1"/>
  <c r="F114" i="4" s="1"/>
  <c r="G114" i="4" s="1"/>
  <c r="C50" i="6" s="1"/>
  <c r="C177" i="5"/>
  <c r="D177" i="5" s="1"/>
  <c r="E177" i="5" s="1"/>
  <c r="A178" i="5" s="1"/>
  <c r="F114" i="5" l="1"/>
  <c r="A115" i="4"/>
  <c r="D115" i="4" s="1"/>
  <c r="H115" i="4" s="1"/>
  <c r="B178" i="5"/>
  <c r="C178" i="5" s="1"/>
  <c r="D178" i="5" s="1"/>
  <c r="E178" i="5" s="1"/>
  <c r="A179" i="5" s="1"/>
  <c r="B115" i="4" l="1"/>
  <c r="C115" i="4"/>
  <c r="E115" i="4" s="1"/>
  <c r="F115" i="4" s="1"/>
  <c r="G115" i="4" s="1"/>
  <c r="B179" i="5"/>
  <c r="A116" i="4" l="1"/>
  <c r="F115" i="5"/>
  <c r="C179" i="5"/>
  <c r="D179" i="5" s="1"/>
  <c r="E179" i="5" s="1"/>
  <c r="A180" i="5" s="1"/>
  <c r="B116" i="4" l="1"/>
  <c r="C116" i="4"/>
  <c r="D116" i="4"/>
  <c r="B180" i="5"/>
  <c r="E116" i="4" l="1"/>
  <c r="F116" i="4" s="1"/>
  <c r="G116" i="4" s="1"/>
  <c r="H116" i="4"/>
  <c r="C180" i="5"/>
  <c r="D180" i="5" s="1"/>
  <c r="E180" i="5" s="1"/>
  <c r="A181" i="5" s="1"/>
  <c r="B181" i="5" s="1"/>
  <c r="C181" i="5" s="1"/>
  <c r="D181" i="5" s="1"/>
  <c r="E181" i="5" s="1"/>
  <c r="A182" i="5" s="1"/>
  <c r="A117" i="4"/>
  <c r="F116" i="5"/>
  <c r="B182" i="5" l="1"/>
  <c r="C182" i="5" s="1"/>
  <c r="D182" i="5" s="1"/>
  <c r="D117" i="4"/>
  <c r="H117" i="4" s="1"/>
  <c r="C117" i="4"/>
  <c r="B117" i="4"/>
  <c r="E117" i="4" l="1"/>
  <c r="F117" i="4" s="1"/>
  <c r="G117" i="4" s="1"/>
  <c r="A118" i="4" s="1"/>
  <c r="E182" i="5"/>
  <c r="A183" i="5" s="1"/>
  <c r="F117" i="5" l="1"/>
  <c r="B183" i="5"/>
  <c r="C183" i="5" s="1"/>
  <c r="D183" i="5" s="1"/>
  <c r="B118" i="4"/>
  <c r="D118" i="4"/>
  <c r="H118" i="4" s="1"/>
  <c r="C118" i="4"/>
  <c r="E118" i="4" l="1"/>
  <c r="F118" i="4" s="1"/>
  <c r="G118" i="4" s="1"/>
  <c r="A119" i="4" s="1"/>
  <c r="E183" i="5"/>
  <c r="A184" i="5" s="1"/>
  <c r="F118" i="5" l="1"/>
  <c r="B184" i="5"/>
  <c r="C184" i="5" s="1"/>
  <c r="D184" i="5" s="1"/>
  <c r="B119" i="4"/>
  <c r="D119" i="4"/>
  <c r="H119" i="4" s="1"/>
  <c r="C119" i="4"/>
  <c r="E119" i="4" l="1"/>
  <c r="F119" i="4" s="1"/>
  <c r="G119" i="4" s="1"/>
  <c r="E184" i="5"/>
  <c r="A185" i="5" s="1"/>
  <c r="A120" i="4" l="1"/>
  <c r="F119" i="5"/>
  <c r="B185" i="5"/>
  <c r="C185" i="5" s="1"/>
  <c r="D185" i="5" s="1"/>
  <c r="E185" i="5" s="1"/>
  <c r="A186" i="5" s="1"/>
  <c r="B186" i="5" l="1"/>
  <c r="C186" i="5" s="1"/>
  <c r="D186" i="5" s="1"/>
  <c r="E186" i="5" s="1"/>
  <c r="C120" i="4"/>
  <c r="B120" i="4"/>
  <c r="D120" i="4"/>
  <c r="H120" i="4" s="1"/>
  <c r="E120" i="4" l="1"/>
  <c r="F120" i="4" s="1"/>
  <c r="G120" i="4" s="1"/>
  <c r="A121" i="4" s="1"/>
  <c r="B56" i="6"/>
  <c r="A187" i="5"/>
  <c r="F120" i="5" l="1"/>
  <c r="B187" i="5"/>
  <c r="C187" i="5" s="1"/>
  <c r="D187" i="5" s="1"/>
  <c r="E187" i="5" s="1"/>
  <c r="A188" i="5" s="1"/>
  <c r="C121" i="4"/>
  <c r="B121" i="4"/>
  <c r="D121" i="4"/>
  <c r="H121" i="4" s="1"/>
  <c r="B188" i="5" l="1"/>
  <c r="C188" i="5" s="1"/>
  <c r="D188" i="5" s="1"/>
  <c r="E188" i="5" s="1"/>
  <c r="A189" i="5" s="1"/>
  <c r="E121" i="4"/>
  <c r="F121" i="4" s="1"/>
  <c r="G121" i="4" s="1"/>
  <c r="B189" i="5" l="1"/>
  <c r="C189" i="5" s="1"/>
  <c r="D189" i="5" s="1"/>
  <c r="E189" i="5" s="1"/>
  <c r="A190" i="5" s="1"/>
  <c r="A122" i="4"/>
  <c r="F121" i="5"/>
  <c r="B190" i="5" l="1"/>
  <c r="C190" i="5" s="1"/>
  <c r="D190" i="5" s="1"/>
  <c r="E190" i="5" s="1"/>
  <c r="A191" i="5" s="1"/>
  <c r="B122" i="4"/>
  <c r="D122" i="4"/>
  <c r="H122" i="4" s="1"/>
  <c r="C122" i="4"/>
  <c r="E122" i="4" l="1"/>
  <c r="F122" i="4" s="1"/>
  <c r="G122" i="4" s="1"/>
  <c r="B191" i="5"/>
  <c r="C191" i="5" l="1"/>
  <c r="D191" i="5" s="1"/>
  <c r="E191" i="5" s="1"/>
  <c r="A192" i="5" s="1"/>
  <c r="B192" i="5" s="1"/>
  <c r="A123" i="4"/>
  <c r="F122" i="5"/>
  <c r="C123" i="4" l="1"/>
  <c r="B123" i="4"/>
  <c r="D123" i="4"/>
  <c r="C192" i="5"/>
  <c r="D192" i="5" s="1"/>
  <c r="E192" i="5" s="1"/>
  <c r="A193" i="5" s="1"/>
  <c r="E123" i="4" l="1"/>
  <c r="F123" i="4" s="1"/>
  <c r="G123" i="4" s="1"/>
  <c r="F123" i="5" s="1"/>
  <c r="B193" i="5"/>
  <c r="C193" i="5" s="1"/>
  <c r="D193" i="5" s="1"/>
  <c r="H123" i="4"/>
  <c r="A124" i="4" l="1"/>
  <c r="C124" i="4" s="1"/>
  <c r="E193" i="5"/>
  <c r="A194" i="5" s="1"/>
  <c r="B124" i="4" l="1"/>
  <c r="D124" i="4"/>
  <c r="H124" i="4" s="1"/>
  <c r="B194" i="5"/>
  <c r="C194" i="5" s="1"/>
  <c r="D194" i="5" s="1"/>
  <c r="E124" i="4" l="1"/>
  <c r="F124" i="4" s="1"/>
  <c r="G124" i="4" s="1"/>
  <c r="A125" i="4" s="1"/>
  <c r="E194" i="5"/>
  <c r="A195" i="5" s="1"/>
  <c r="F124" i="5" l="1"/>
  <c r="B125" i="4"/>
  <c r="C125" i="4"/>
  <c r="D125" i="4"/>
  <c r="H125" i="4" s="1"/>
  <c r="B195" i="5"/>
  <c r="C195" i="5" s="1"/>
  <c r="D195" i="5" s="1"/>
  <c r="E195" i="5" s="1"/>
  <c r="A196" i="5" s="1"/>
  <c r="E125" i="4" l="1"/>
  <c r="F125" i="4" s="1"/>
  <c r="G125" i="4" s="1"/>
  <c r="B196" i="5"/>
  <c r="A126" i="4" l="1"/>
  <c r="F125" i="5"/>
  <c r="C196" i="5"/>
  <c r="D196" i="5" s="1"/>
  <c r="E196" i="5" s="1"/>
  <c r="A197" i="5" s="1"/>
  <c r="B197" i="5" l="1"/>
  <c r="C197" i="5" s="1"/>
  <c r="D197" i="5" s="1"/>
  <c r="E197" i="5" s="1"/>
  <c r="A198" i="5" s="1"/>
  <c r="C126" i="4"/>
  <c r="B126" i="4"/>
  <c r="D126" i="4"/>
  <c r="H126" i="4" s="1"/>
  <c r="E126" i="4" l="1"/>
  <c r="F126" i="4" s="1"/>
  <c r="G126" i="4" s="1"/>
  <c r="B198" i="5"/>
  <c r="C198" i="5" l="1"/>
  <c r="D198" i="5" s="1"/>
  <c r="E198" i="5" s="1"/>
  <c r="C51" i="6"/>
  <c r="A127" i="4"/>
  <c r="F126" i="5"/>
  <c r="A199" i="5" l="1"/>
  <c r="B57" i="6"/>
  <c r="D127" i="4"/>
  <c r="C127" i="4"/>
  <c r="B127" i="4"/>
  <c r="H127" i="4"/>
  <c r="E127" i="4" l="1"/>
  <c r="F127" i="4" s="1"/>
  <c r="G127" i="4" s="1"/>
  <c r="B199" i="5"/>
  <c r="C199" i="5" s="1"/>
  <c r="D199" i="5" s="1"/>
  <c r="A128" i="4" l="1"/>
  <c r="F127" i="5"/>
  <c r="E199" i="5"/>
  <c r="A200" i="5" s="1"/>
  <c r="B200" i="5" l="1"/>
  <c r="C200" i="5" s="1"/>
  <c r="D200" i="5" s="1"/>
  <c r="E200" i="5" s="1"/>
  <c r="A201" i="5" s="1"/>
  <c r="B128" i="4"/>
  <c r="D128" i="4"/>
  <c r="H128" i="4" s="1"/>
  <c r="C128" i="4"/>
  <c r="B201" i="5" l="1"/>
  <c r="C201" i="5" s="1"/>
  <c r="D201" i="5" s="1"/>
  <c r="E201" i="5" s="1"/>
  <c r="A202" i="5" s="1"/>
  <c r="E128" i="4"/>
  <c r="F128" i="4" s="1"/>
  <c r="G128" i="4" s="1"/>
  <c r="A129" i="4" l="1"/>
  <c r="F128" i="5"/>
  <c r="B202" i="5"/>
  <c r="C202" i="5" s="1"/>
  <c r="D202" i="5" s="1"/>
  <c r="E202" i="5" s="1"/>
  <c r="A203" i="5" s="1"/>
  <c r="B203" i="5" l="1"/>
  <c r="C203" i="5" s="1"/>
  <c r="D203" i="5" s="1"/>
  <c r="E203" i="5" s="1"/>
  <c r="A204" i="5" s="1"/>
  <c r="D129" i="4"/>
  <c r="H129" i="4" s="1"/>
  <c r="B129" i="4"/>
  <c r="C129" i="4"/>
  <c r="E129" i="4" l="1"/>
  <c r="F129" i="4" s="1"/>
  <c r="G129" i="4" s="1"/>
  <c r="B204" i="5"/>
  <c r="A130" i="4" l="1"/>
  <c r="F129" i="5"/>
  <c r="C204" i="5"/>
  <c r="D204" i="5" s="1"/>
  <c r="E204" i="5" s="1"/>
  <c r="A205" i="5" s="1"/>
  <c r="B205" i="5" l="1"/>
  <c r="C205" i="5" s="1"/>
  <c r="D205" i="5" s="1"/>
  <c r="E205" i="5" s="1"/>
  <c r="A206" i="5" s="1"/>
  <c r="C130" i="4"/>
  <c r="B130" i="4"/>
  <c r="D130" i="4"/>
  <c r="E130" i="4" l="1"/>
  <c r="F130" i="4" s="1"/>
  <c r="G130" i="4" s="1"/>
  <c r="A131" i="4" s="1"/>
  <c r="B206" i="5"/>
  <c r="C206" i="5" s="1"/>
  <c r="D206" i="5" s="1"/>
  <c r="E206" i="5" s="1"/>
  <c r="A207" i="5" s="1"/>
  <c r="H130" i="4"/>
  <c r="F130" i="5" l="1"/>
  <c r="B207" i="5"/>
  <c r="B131" i="4"/>
  <c r="C131" i="4"/>
  <c r="D131" i="4"/>
  <c r="H131" i="4" s="1"/>
  <c r="E131" i="4" l="1"/>
  <c r="F131" i="4" s="1"/>
  <c r="G131" i="4" s="1"/>
  <c r="C207" i="5"/>
  <c r="D207" i="5" s="1"/>
  <c r="E207" i="5" s="1"/>
  <c r="A208" i="5" s="1"/>
  <c r="B208" i="5" l="1"/>
  <c r="C208" i="5" s="1"/>
  <c r="D208" i="5" s="1"/>
  <c r="A132" i="4"/>
  <c r="F131" i="5"/>
  <c r="D132" i="4" l="1"/>
  <c r="H132" i="4" s="1"/>
  <c r="C132" i="4"/>
  <c r="B132" i="4"/>
  <c r="E208" i="5"/>
  <c r="A209" i="5" s="1"/>
  <c r="E132" i="4" l="1"/>
  <c r="F132" i="4" s="1"/>
  <c r="G132" i="4" s="1"/>
  <c r="B209" i="5"/>
  <c r="C209" i="5" s="1"/>
  <c r="D209" i="5" s="1"/>
  <c r="E209" i="5" l="1"/>
  <c r="A210" i="5" s="1"/>
  <c r="A133" i="4"/>
  <c r="F132" i="5"/>
  <c r="D133" i="4" l="1"/>
  <c r="H133" i="4" s="1"/>
  <c r="C133" i="4"/>
  <c r="B133" i="4"/>
  <c r="B210" i="5"/>
  <c r="C210" i="5" s="1"/>
  <c r="D210" i="5" s="1"/>
  <c r="E210" i="5" s="1"/>
  <c r="B58" i="6" l="1"/>
  <c r="A211" i="5"/>
  <c r="E133" i="4"/>
  <c r="F133" i="4" s="1"/>
  <c r="G133" i="4" s="1"/>
  <c r="A134" i="4" l="1"/>
  <c r="F133" i="5"/>
  <c r="B211" i="5"/>
  <c r="C211" i="5" l="1"/>
  <c r="D211" i="5" s="1"/>
  <c r="E211" i="5" s="1"/>
  <c r="A212" i="5" s="1"/>
  <c r="B134" i="4"/>
  <c r="D134" i="4"/>
  <c r="H134" i="4" s="1"/>
  <c r="C134" i="4"/>
  <c r="B212" i="5" l="1"/>
  <c r="E134" i="4"/>
  <c r="F134" i="4" s="1"/>
  <c r="G134" i="4" s="1"/>
  <c r="C212" i="5" l="1"/>
  <c r="D212" i="5" s="1"/>
  <c r="E212" i="5" s="1"/>
  <c r="A213" i="5" s="1"/>
  <c r="A135" i="4"/>
  <c r="F134" i="5"/>
  <c r="B213" i="5" l="1"/>
  <c r="C213" i="5" s="1"/>
  <c r="D213" i="5" s="1"/>
  <c r="E213" i="5" s="1"/>
  <c r="A214" i="5" s="1"/>
  <c r="B214" i="5" s="1"/>
  <c r="C135" i="4"/>
  <c r="D135" i="4"/>
  <c r="H135" i="4" s="1"/>
  <c r="B135" i="4"/>
  <c r="E135" i="4" l="1"/>
  <c r="F135" i="4" s="1"/>
  <c r="G135" i="4" s="1"/>
  <c r="A136" i="4" s="1"/>
  <c r="C214" i="5"/>
  <c r="D214" i="5" s="1"/>
  <c r="E214" i="5" s="1"/>
  <c r="A215" i="5" s="1"/>
  <c r="F135" i="5" l="1"/>
  <c r="B215" i="5"/>
  <c r="C215" i="5" s="1"/>
  <c r="D215" i="5" s="1"/>
  <c r="E215" i="5" s="1"/>
  <c r="A216" i="5" s="1"/>
  <c r="D136" i="4"/>
  <c r="H136" i="4" s="1"/>
  <c r="C136" i="4"/>
  <c r="B136" i="4"/>
  <c r="E136" i="4" l="1"/>
  <c r="F136" i="4" s="1"/>
  <c r="G136" i="4" s="1"/>
  <c r="A137" i="4" s="1"/>
  <c r="B216" i="5"/>
  <c r="C216" i="5" s="1"/>
  <c r="D216" i="5" s="1"/>
  <c r="E216" i="5" s="1"/>
  <c r="A217" i="5" s="1"/>
  <c r="F136" i="5" l="1"/>
  <c r="B217" i="5"/>
  <c r="B137" i="4"/>
  <c r="D137" i="4"/>
  <c r="H137" i="4" s="1"/>
  <c r="C137" i="4"/>
  <c r="E137" i="4" l="1"/>
  <c r="F137" i="4" s="1"/>
  <c r="G137" i="4" s="1"/>
  <c r="C217" i="5"/>
  <c r="D217" i="5" s="1"/>
  <c r="E217" i="5" s="1"/>
  <c r="A218" i="5" s="1"/>
  <c r="B218" i="5" l="1"/>
  <c r="C218" i="5" s="1"/>
  <c r="D218" i="5" s="1"/>
  <c r="E218" i="5" s="1"/>
  <c r="A219" i="5" s="1"/>
  <c r="A138" i="4"/>
  <c r="F137" i="5"/>
  <c r="B219" i="5" l="1"/>
  <c r="C219" i="5" s="1"/>
  <c r="D219" i="5" s="1"/>
  <c r="E219" i="5" s="1"/>
  <c r="A220" i="5" s="1"/>
  <c r="C138" i="4"/>
  <c r="B138" i="4"/>
  <c r="D138" i="4"/>
  <c r="H138" i="4" s="1"/>
  <c r="E138" i="4" l="1"/>
  <c r="F138" i="4" s="1"/>
  <c r="G138" i="4" s="1"/>
  <c r="C52" i="6" s="1"/>
  <c r="B220" i="5"/>
  <c r="C220" i="5" s="1"/>
  <c r="D220" i="5" s="1"/>
  <c r="F138" i="5" l="1"/>
  <c r="A139" i="4"/>
  <c r="B139" i="4" s="1"/>
  <c r="E220" i="5"/>
  <c r="A221" i="5" s="1"/>
  <c r="C139" i="4" l="1"/>
  <c r="D139" i="4"/>
  <c r="B221" i="5"/>
  <c r="E139" i="4" l="1"/>
  <c r="F139" i="4" s="1"/>
  <c r="G139" i="4" s="1"/>
  <c r="A140" i="4" s="1"/>
  <c r="H139" i="4"/>
  <c r="C221" i="5"/>
  <c r="D221" i="5" s="1"/>
  <c r="E221" i="5" s="1"/>
  <c r="A222" i="5" s="1"/>
  <c r="F139" i="5" l="1"/>
  <c r="B222" i="5"/>
  <c r="C222" i="5" s="1"/>
  <c r="D222" i="5" s="1"/>
  <c r="B140" i="4"/>
  <c r="D140" i="4"/>
  <c r="H140" i="4" s="1"/>
  <c r="C140" i="4"/>
  <c r="E140" i="4" l="1"/>
  <c r="F140" i="4" s="1"/>
  <c r="G140" i="4" s="1"/>
  <c r="A141" i="4" s="1"/>
  <c r="E222" i="5"/>
  <c r="F140" i="5" l="1"/>
  <c r="A223" i="5"/>
  <c r="B59" i="6"/>
  <c r="C141" i="4"/>
  <c r="B141" i="4"/>
  <c r="D141" i="4"/>
  <c r="H141" i="4" s="1"/>
  <c r="E141" i="4" l="1"/>
  <c r="F141" i="4" s="1"/>
  <c r="G141" i="4" s="1"/>
  <c r="B223" i="5"/>
  <c r="C223" i="5" s="1"/>
  <c r="D223" i="5" s="1"/>
  <c r="E223" i="5" s="1"/>
  <c r="A224" i="5" s="1"/>
  <c r="B224" i="5" l="1"/>
  <c r="C224" i="5" s="1"/>
  <c r="D224" i="5" s="1"/>
  <c r="A142" i="4"/>
  <c r="F141" i="5"/>
  <c r="D142" i="4" l="1"/>
  <c r="H142" i="4" s="1"/>
  <c r="C142" i="4"/>
  <c r="B142" i="4"/>
  <c r="E224" i="5"/>
  <c r="A225" i="5" s="1"/>
  <c r="E142" i="4" l="1"/>
  <c r="F142" i="4" s="1"/>
  <c r="G142" i="4" s="1"/>
  <c r="A143" i="4" s="1"/>
  <c r="B225" i="5"/>
  <c r="F142" i="5" l="1"/>
  <c r="C225" i="5"/>
  <c r="D225" i="5" s="1"/>
  <c r="E225" i="5" s="1"/>
  <c r="A226" i="5" s="1"/>
  <c r="B143" i="4"/>
  <c r="C143" i="4"/>
  <c r="D143" i="4"/>
  <c r="H143" i="4" s="1"/>
  <c r="E143" i="4" l="1"/>
  <c r="F143" i="4" s="1"/>
  <c r="G143" i="4" s="1"/>
  <c r="B226" i="5"/>
  <c r="C226" i="5" s="1"/>
  <c r="D226" i="5" s="1"/>
  <c r="E226" i="5" s="1"/>
  <c r="A227" i="5" s="1"/>
  <c r="A144" i="4" l="1"/>
  <c r="F143" i="5"/>
  <c r="B227" i="5"/>
  <c r="C227" i="5" s="1"/>
  <c r="D227" i="5" s="1"/>
  <c r="E227" i="5" l="1"/>
  <c r="A228" i="5" s="1"/>
  <c r="B228" i="5" s="1"/>
  <c r="B144" i="4"/>
  <c r="C144" i="4"/>
  <c r="D144" i="4"/>
  <c r="H144" i="4" s="1"/>
  <c r="E144" i="4" l="1"/>
  <c r="F144" i="4" s="1"/>
  <c r="G144" i="4" s="1"/>
  <c r="C228" i="5"/>
  <c r="D228" i="5" s="1"/>
  <c r="E228" i="5" s="1"/>
  <c r="A229" i="5" s="1"/>
  <c r="A145" i="4" l="1"/>
  <c r="F144" i="5"/>
  <c r="B229" i="5"/>
  <c r="C229" i="5" l="1"/>
  <c r="D229" i="5" s="1"/>
  <c r="E229" i="5" s="1"/>
  <c r="A230" i="5" s="1"/>
  <c r="D145" i="4"/>
  <c r="C145" i="4"/>
  <c r="B145" i="4"/>
  <c r="H145" i="4"/>
  <c r="E145" i="4" l="1"/>
  <c r="F145" i="4" s="1"/>
  <c r="G145" i="4" s="1"/>
  <c r="A146" i="4" s="1"/>
  <c r="B230" i="5"/>
  <c r="C230" i="5" s="1"/>
  <c r="D230" i="5" s="1"/>
  <c r="E230" i="5" s="1"/>
  <c r="A231" i="5" s="1"/>
  <c r="F145" i="5" l="1"/>
  <c r="B231" i="5"/>
  <c r="C231" i="5" s="1"/>
  <c r="D231" i="5" s="1"/>
  <c r="E231" i="5" s="1"/>
  <c r="A232" i="5" s="1"/>
  <c r="B146" i="4"/>
  <c r="D146" i="4"/>
  <c r="H146" i="4" s="1"/>
  <c r="C146" i="4"/>
  <c r="B232" i="5" l="1"/>
  <c r="C232" i="5" s="1"/>
  <c r="D232" i="5" s="1"/>
  <c r="E146" i="4"/>
  <c r="F146" i="4" s="1"/>
  <c r="G146" i="4" s="1"/>
  <c r="A147" i="4" l="1"/>
  <c r="F146" i="5"/>
  <c r="E232" i="5"/>
  <c r="A233" i="5" s="1"/>
  <c r="B233" i="5" l="1"/>
  <c r="C233" i="5" s="1"/>
  <c r="D233" i="5" s="1"/>
  <c r="E233" i="5" s="1"/>
  <c r="A234" i="5" s="1"/>
  <c r="B147" i="4"/>
  <c r="C147" i="4"/>
  <c r="D147" i="4"/>
  <c r="H147" i="4"/>
  <c r="E147" i="4" l="1"/>
  <c r="F147" i="4" s="1"/>
  <c r="G147" i="4" s="1"/>
  <c r="B234" i="5"/>
  <c r="C234" i="5" s="1"/>
  <c r="D234" i="5" s="1"/>
  <c r="E234" i="5" s="1"/>
  <c r="B60" i="6" l="1"/>
  <c r="A235" i="5"/>
  <c r="A148" i="4"/>
  <c r="F147" i="5"/>
  <c r="C148" i="4" l="1"/>
  <c r="B148" i="4"/>
  <c r="D148" i="4"/>
  <c r="H148" i="4" s="1"/>
  <c r="B235" i="5"/>
  <c r="E148" i="4" l="1"/>
  <c r="F148" i="4" s="1"/>
  <c r="G148" i="4" s="1"/>
  <c r="A149" i="4" s="1"/>
  <c r="C235" i="5"/>
  <c r="D235" i="5" s="1"/>
  <c r="E235" i="5" s="1"/>
  <c r="A236" i="5" s="1"/>
  <c r="F148" i="5" l="1"/>
  <c r="B236" i="5"/>
  <c r="C236" i="5" s="1"/>
  <c r="D236" i="5" s="1"/>
  <c r="E236" i="5" s="1"/>
  <c r="A237" i="5" s="1"/>
  <c r="B149" i="4"/>
  <c r="D149" i="4"/>
  <c r="H149" i="4" s="1"/>
  <c r="C149" i="4"/>
  <c r="E149" i="4" l="1"/>
  <c r="F149" i="4" s="1"/>
  <c r="G149" i="4" s="1"/>
  <c r="B237" i="5"/>
  <c r="C237" i="5" s="1"/>
  <c r="D237" i="5" s="1"/>
  <c r="A150" i="4" l="1"/>
  <c r="F149" i="5"/>
  <c r="E237" i="5"/>
  <c r="A238" i="5" s="1"/>
  <c r="C150" i="4" l="1"/>
  <c r="D150" i="4"/>
  <c r="H150" i="4" s="1"/>
  <c r="B150" i="4"/>
  <c r="B238" i="5"/>
  <c r="C238" i="5" s="1"/>
  <c r="D238" i="5" s="1"/>
  <c r="E238" i="5" s="1"/>
  <c r="A239" i="5" s="1"/>
  <c r="E150" i="4" l="1"/>
  <c r="F150" i="4" s="1"/>
  <c r="G150" i="4" s="1"/>
  <c r="A151" i="4" s="1"/>
  <c r="B239" i="5"/>
  <c r="C239" i="5" s="1"/>
  <c r="D239" i="5" s="1"/>
  <c r="E239" i="5" s="1"/>
  <c r="A240" i="5" s="1"/>
  <c r="C53" i="6" l="1"/>
  <c r="F150" i="5"/>
  <c r="B240" i="5"/>
  <c r="C240" i="5" s="1"/>
  <c r="D240" i="5" s="1"/>
  <c r="E240" i="5" s="1"/>
  <c r="A241" i="5" s="1"/>
  <c r="D151" i="4"/>
  <c r="H151" i="4" s="1"/>
  <c r="B151" i="4"/>
  <c r="C151" i="4"/>
  <c r="E151" i="4" l="1"/>
  <c r="F151" i="4" s="1"/>
  <c r="G151" i="4" s="1"/>
  <c r="B241" i="5"/>
  <c r="A152" i="4" l="1"/>
  <c r="F151" i="5"/>
  <c r="C241" i="5"/>
  <c r="D241" i="5" s="1"/>
  <c r="E241" i="5" s="1"/>
  <c r="A242" i="5" s="1"/>
  <c r="B242" i="5" l="1"/>
  <c r="B152" i="4"/>
  <c r="D152" i="4"/>
  <c r="H152" i="4" s="1"/>
  <c r="C152" i="4"/>
  <c r="E152" i="4" l="1"/>
  <c r="F152" i="4" s="1"/>
  <c r="G152" i="4" s="1"/>
  <c r="A153" i="4" s="1"/>
  <c r="C242" i="5"/>
  <c r="D242" i="5" s="1"/>
  <c r="E242" i="5" s="1"/>
  <c r="A243" i="5" s="1"/>
  <c r="F152" i="5" l="1"/>
  <c r="B243" i="5"/>
  <c r="C243" i="5" s="1"/>
  <c r="D243" i="5" s="1"/>
  <c r="E243" i="5" s="1"/>
  <c r="A244" i="5" s="1"/>
  <c r="D153" i="4"/>
  <c r="B153" i="4"/>
  <c r="C153" i="4"/>
  <c r="H153" i="4"/>
  <c r="B244" i="5" l="1"/>
  <c r="C244" i="5" s="1"/>
  <c r="D244" i="5" s="1"/>
  <c r="E244" i="5" s="1"/>
  <c r="A245" i="5" s="1"/>
  <c r="E153" i="4"/>
  <c r="F153" i="4" s="1"/>
  <c r="G153" i="4" s="1"/>
  <c r="A154" i="4" l="1"/>
  <c r="F153" i="5"/>
  <c r="B245" i="5"/>
  <c r="C245" i="5" s="1"/>
  <c r="D245" i="5" s="1"/>
  <c r="E245" i="5" l="1"/>
  <c r="A246" i="5" s="1"/>
  <c r="D154" i="4"/>
  <c r="H154" i="4" s="1"/>
  <c r="C154" i="4"/>
  <c r="B154" i="4"/>
  <c r="E154" i="4" l="1"/>
  <c r="F154" i="4" s="1"/>
  <c r="G154" i="4" s="1"/>
  <c r="B246" i="5"/>
  <c r="C246" i="5" l="1"/>
  <c r="D246" i="5" s="1"/>
  <c r="E246" i="5" s="1"/>
  <c r="A155" i="4"/>
  <c r="F154" i="5"/>
  <c r="A247" i="5" l="1"/>
  <c r="B61" i="6"/>
  <c r="B155" i="4"/>
  <c r="D155" i="4"/>
  <c r="H155" i="4" s="1"/>
  <c r="C155" i="4"/>
  <c r="E155" i="4" l="1"/>
  <c r="F155" i="4" s="1"/>
  <c r="G155" i="4" s="1"/>
  <c r="B247" i="5"/>
  <c r="C247" i="5" l="1"/>
  <c r="D247" i="5" s="1"/>
  <c r="E247" i="5" s="1"/>
  <c r="A248" i="5" s="1"/>
  <c r="A156" i="4"/>
  <c r="F155" i="5"/>
  <c r="B248" i="5" l="1"/>
  <c r="C248" i="5" s="1"/>
  <c r="D248" i="5" s="1"/>
  <c r="E248" i="5" s="1"/>
  <c r="A249" i="5" s="1"/>
  <c r="C156" i="4"/>
  <c r="B156" i="4"/>
  <c r="D156" i="4"/>
  <c r="H156" i="4" s="1"/>
  <c r="E156" i="4" l="1"/>
  <c r="F156" i="4" s="1"/>
  <c r="G156" i="4" s="1"/>
  <c r="F156" i="5" s="1"/>
  <c r="B249" i="5"/>
  <c r="A157" i="4" l="1"/>
  <c r="D157" i="4" s="1"/>
  <c r="C249" i="5"/>
  <c r="D249" i="5" s="1"/>
  <c r="E249" i="5" s="1"/>
  <c r="A250" i="5" s="1"/>
  <c r="H157" i="4" l="1"/>
  <c r="B157" i="4"/>
  <c r="C157" i="4"/>
  <c r="E157" i="4" s="1"/>
  <c r="F157" i="4" s="1"/>
  <c r="G157" i="4" s="1"/>
  <c r="A158" i="4" s="1"/>
  <c r="B250" i="5"/>
  <c r="F157" i="5" l="1"/>
  <c r="C250" i="5"/>
  <c r="D250" i="5" s="1"/>
  <c r="E250" i="5" s="1"/>
  <c r="A251" i="5" s="1"/>
  <c r="B158" i="4"/>
  <c r="D158" i="4"/>
  <c r="H158" i="4" s="1"/>
  <c r="C158" i="4"/>
  <c r="E158" i="4" s="1"/>
  <c r="F158" i="4" s="1"/>
  <c r="G158" i="4" l="1"/>
  <c r="B251" i="5"/>
  <c r="C251" i="5" s="1"/>
  <c r="D251" i="5" s="1"/>
  <c r="E251" i="5" l="1"/>
  <c r="A252" i="5" s="1"/>
  <c r="A159" i="4"/>
  <c r="F158" i="5"/>
  <c r="D159" i="4" l="1"/>
  <c r="H159" i="4" s="1"/>
  <c r="B159" i="4"/>
  <c r="C159" i="4"/>
  <c r="B252" i="5"/>
  <c r="C252" i="5" s="1"/>
  <c r="D252" i="5" s="1"/>
  <c r="E252" i="5" l="1"/>
  <c r="A253" i="5" s="1"/>
  <c r="E159" i="4"/>
  <c r="F159" i="4" s="1"/>
  <c r="G159" i="4" s="1"/>
  <c r="A160" i="4" l="1"/>
  <c r="F159" i="5"/>
  <c r="B253" i="5"/>
  <c r="C253" i="5" l="1"/>
  <c r="D253" i="5" s="1"/>
  <c r="E253" i="5" s="1"/>
  <c r="A254" i="5" s="1"/>
  <c r="D160" i="4"/>
  <c r="H160" i="4" s="1"/>
  <c r="C160" i="4"/>
  <c r="B160" i="4"/>
  <c r="E160" i="4" l="1"/>
  <c r="F160" i="4" s="1"/>
  <c r="G160" i="4" s="1"/>
  <c r="B254" i="5"/>
  <c r="C254" i="5" s="1"/>
  <c r="D254" i="5" s="1"/>
  <c r="A161" i="4" l="1"/>
  <c r="F160" i="5"/>
  <c r="E254" i="5"/>
  <c r="A255" i="5" s="1"/>
  <c r="B255" i="5" l="1"/>
  <c r="C255" i="5" s="1"/>
  <c r="D255" i="5" s="1"/>
  <c r="E255" i="5" s="1"/>
  <c r="A256" i="5" s="1"/>
  <c r="B161" i="4"/>
  <c r="D161" i="4"/>
  <c r="H161" i="4" s="1"/>
  <c r="C161" i="4"/>
  <c r="E161" i="4" l="1"/>
  <c r="F161" i="4" s="1"/>
  <c r="G161" i="4" s="1"/>
  <c r="A162" i="4" s="1"/>
  <c r="B256" i="5"/>
  <c r="F161" i="5" l="1"/>
  <c r="D162" i="4"/>
  <c r="H162" i="4"/>
  <c r="C162" i="4"/>
  <c r="B162" i="4"/>
  <c r="C256" i="5"/>
  <c r="D256" i="5" s="1"/>
  <c r="E256" i="5" s="1"/>
  <c r="A257" i="5" s="1"/>
  <c r="B257" i="5" l="1"/>
  <c r="C257" i="5" s="1"/>
  <c r="D257" i="5" s="1"/>
  <c r="E162" i="4"/>
  <c r="F162" i="4" s="1"/>
  <c r="G162" i="4" s="1"/>
  <c r="A163" i="4" l="1"/>
  <c r="C54" i="6"/>
  <c r="F162" i="5"/>
  <c r="E257" i="5"/>
  <c r="A258" i="5" s="1"/>
  <c r="B258" i="5" l="1"/>
  <c r="C258" i="5" s="1"/>
  <c r="D258" i="5" s="1"/>
  <c r="E258" i="5" s="1"/>
  <c r="D163" i="4"/>
  <c r="H163" i="4" s="1"/>
  <c r="C163" i="4"/>
  <c r="B163" i="4"/>
  <c r="B62" i="6" l="1"/>
  <c r="A259" i="5"/>
  <c r="E163" i="4"/>
  <c r="F163" i="4" s="1"/>
  <c r="G163" i="4" s="1"/>
  <c r="A164" i="4" l="1"/>
  <c r="F163" i="5"/>
  <c r="B259" i="5"/>
  <c r="C259" i="5" s="1"/>
  <c r="D259" i="5" s="1"/>
  <c r="E259" i="5" s="1"/>
  <c r="A260" i="5" s="1"/>
  <c r="B260" i="5" l="1"/>
  <c r="C260" i="5" s="1"/>
  <c r="D260" i="5" s="1"/>
  <c r="E260" i="5" s="1"/>
  <c r="A261" i="5" s="1"/>
  <c r="B164" i="4"/>
  <c r="C164" i="4"/>
  <c r="E164" i="4" s="1"/>
  <c r="F164" i="4" s="1"/>
  <c r="D164" i="4"/>
  <c r="H164" i="4" s="1"/>
  <c r="G164" i="4" l="1"/>
  <c r="B261" i="5"/>
  <c r="A165" i="4" l="1"/>
  <c r="F164" i="5"/>
  <c r="C261" i="5"/>
  <c r="D261" i="5" s="1"/>
  <c r="E261" i="5" s="1"/>
  <c r="A262" i="5" s="1"/>
  <c r="B262" i="5" l="1"/>
  <c r="C262" i="5" s="1"/>
  <c r="D262" i="5" s="1"/>
  <c r="E262" i="5" s="1"/>
  <c r="A263" i="5" s="1"/>
  <c r="B165" i="4"/>
  <c r="C165" i="4"/>
  <c r="D165" i="4"/>
  <c r="H165" i="4" s="1"/>
  <c r="E165" i="4" l="1"/>
  <c r="F165" i="4" s="1"/>
  <c r="G165" i="4" s="1"/>
  <c r="B263" i="5"/>
  <c r="C263" i="5" s="1"/>
  <c r="D263" i="5" s="1"/>
  <c r="E263" i="5" l="1"/>
  <c r="A264" i="5" s="1"/>
  <c r="B264" i="5" s="1"/>
  <c r="C264" i="5" s="1"/>
  <c r="D264" i="5" s="1"/>
  <c r="E264" i="5" s="1"/>
  <c r="A265" i="5" s="1"/>
  <c r="A166" i="4"/>
  <c r="F165" i="5"/>
  <c r="B265" i="5" l="1"/>
  <c r="C265" i="5" s="1"/>
  <c r="D265" i="5" s="1"/>
  <c r="E265" i="5" s="1"/>
  <c r="A266" i="5" s="1"/>
  <c r="C166" i="4"/>
  <c r="B166" i="4"/>
  <c r="D166" i="4"/>
  <c r="H166" i="4" s="1"/>
  <c r="E166" i="4" l="1"/>
  <c r="F166" i="4" s="1"/>
  <c r="G166" i="4" s="1"/>
  <c r="A167" i="4" s="1"/>
  <c r="B266" i="5"/>
  <c r="F166" i="5" l="1"/>
  <c r="B167" i="4"/>
  <c r="C167" i="4"/>
  <c r="D167" i="4"/>
  <c r="H167" i="4" s="1"/>
  <c r="E167" i="4"/>
  <c r="F167" i="4" s="1"/>
  <c r="G167" i="4" s="1"/>
  <c r="C266" i="5"/>
  <c r="D266" i="5" s="1"/>
  <c r="E266" i="5" s="1"/>
  <c r="A267" i="5" s="1"/>
  <c r="B267" i="5" l="1"/>
  <c r="C267" i="5" s="1"/>
  <c r="D267" i="5" s="1"/>
  <c r="E267" i="5" s="1"/>
  <c r="A268" i="5" s="1"/>
  <c r="A168" i="4"/>
  <c r="F167" i="5"/>
  <c r="B268" i="5" l="1"/>
  <c r="C268" i="5" s="1"/>
  <c r="D268" i="5" s="1"/>
  <c r="E268" i="5" s="1"/>
  <c r="A269" i="5" s="1"/>
  <c r="C168" i="4"/>
  <c r="D168" i="4"/>
  <c r="B168" i="4"/>
  <c r="E168" i="4" l="1"/>
  <c r="F168" i="4" s="1"/>
  <c r="G168" i="4" s="1"/>
  <c r="B269" i="5"/>
  <c r="C269" i="5" s="1"/>
  <c r="D269" i="5" s="1"/>
  <c r="H168" i="4"/>
  <c r="E269" i="5" l="1"/>
  <c r="A270" i="5" s="1"/>
  <c r="A169" i="4"/>
  <c r="F168" i="5"/>
  <c r="C169" i="4" l="1"/>
  <c r="B169" i="4"/>
  <c r="D169" i="4"/>
  <c r="B270" i="5"/>
  <c r="C270" i="5" s="1"/>
  <c r="D270" i="5" s="1"/>
  <c r="E270" i="5" s="1"/>
  <c r="E169" i="4" l="1"/>
  <c r="F169" i="4" s="1"/>
  <c r="G169" i="4" s="1"/>
  <c r="A170" i="4" s="1"/>
  <c r="H169" i="4"/>
  <c r="B63" i="6"/>
  <c r="A271" i="5"/>
  <c r="F169" i="5" l="1"/>
  <c r="B271" i="5"/>
  <c r="C271" i="5" s="1"/>
  <c r="D271" i="5" s="1"/>
  <c r="E271" i="5" s="1"/>
  <c r="A272" i="5" s="1"/>
  <c r="B170" i="4"/>
  <c r="D170" i="4"/>
  <c r="H170" i="4" s="1"/>
  <c r="C170" i="4"/>
  <c r="E170" i="4" l="1"/>
  <c r="F170" i="4" s="1"/>
  <c r="G170" i="4" s="1"/>
  <c r="B272" i="5"/>
  <c r="C272" i="5" s="1"/>
  <c r="D272" i="5" s="1"/>
  <c r="E272" i="5" s="1"/>
  <c r="A273" i="5" s="1"/>
  <c r="B273" i="5" l="1"/>
  <c r="C273" i="5" s="1"/>
  <c r="D273" i="5" s="1"/>
  <c r="E273" i="5" s="1"/>
  <c r="A274" i="5" s="1"/>
  <c r="A171" i="4"/>
  <c r="F170" i="5"/>
  <c r="B274" i="5" l="1"/>
  <c r="D171" i="4"/>
  <c r="H171" i="4" s="1"/>
  <c r="C171" i="4"/>
  <c r="E171" i="4" s="1"/>
  <c r="F171" i="4" s="1"/>
  <c r="G171" i="4" s="1"/>
  <c r="B171" i="4"/>
  <c r="A172" i="4" l="1"/>
  <c r="F171" i="5"/>
  <c r="C274" i="5"/>
  <c r="D274" i="5" s="1"/>
  <c r="E274" i="5" s="1"/>
  <c r="A275" i="5" s="1"/>
  <c r="B172" i="4" l="1"/>
  <c r="D172" i="4"/>
  <c r="H172" i="4" s="1"/>
  <c r="C172" i="4"/>
  <c r="E172" i="4" s="1"/>
  <c r="F172" i="4" s="1"/>
  <c r="B275" i="5"/>
  <c r="C275" i="5" s="1"/>
  <c r="D275" i="5" s="1"/>
  <c r="E275" i="5" l="1"/>
  <c r="A276" i="5" s="1"/>
  <c r="G172" i="4"/>
  <c r="B276" i="5" l="1"/>
  <c r="A173" i="4"/>
  <c r="F172" i="5"/>
  <c r="B173" i="4" l="1"/>
  <c r="D173" i="4"/>
  <c r="C173" i="4"/>
  <c r="E173" i="4" s="1"/>
  <c r="F173" i="4" s="1"/>
  <c r="G173" i="4" s="1"/>
  <c r="H173" i="4"/>
  <c r="C276" i="5"/>
  <c r="D276" i="5" s="1"/>
  <c r="E276" i="5" s="1"/>
  <c r="A277" i="5" s="1"/>
  <c r="B277" i="5" l="1"/>
  <c r="A174" i="4"/>
  <c r="F173" i="5"/>
  <c r="D174" i="4" l="1"/>
  <c r="H174" i="4" s="1"/>
  <c r="C174" i="4"/>
  <c r="B174" i="4"/>
  <c r="C277" i="5"/>
  <c r="D277" i="5" s="1"/>
  <c r="E277" i="5" s="1"/>
  <c r="A278" i="5" s="1"/>
  <c r="E174" i="4" l="1"/>
  <c r="F174" i="4" s="1"/>
  <c r="G174" i="4" s="1"/>
  <c r="B278" i="5"/>
  <c r="C278" i="5" l="1"/>
  <c r="D278" i="5" s="1"/>
  <c r="E278" i="5" s="1"/>
  <c r="A279" i="5" s="1"/>
  <c r="C55" i="6"/>
  <c r="A175" i="4"/>
  <c r="F174" i="5"/>
  <c r="C175" i="4" l="1"/>
  <c r="B175" i="4"/>
  <c r="D175" i="4"/>
  <c r="H175" i="4" s="1"/>
  <c r="B279" i="5"/>
  <c r="C279" i="5" s="1"/>
  <c r="D279" i="5" s="1"/>
  <c r="E279" i="5" s="1"/>
  <c r="A280" i="5" s="1"/>
  <c r="E175" i="4" l="1"/>
  <c r="F175" i="4" s="1"/>
  <c r="G175" i="4" s="1"/>
  <c r="A176" i="4" s="1"/>
  <c r="B280" i="5"/>
  <c r="C280" i="5" s="1"/>
  <c r="D280" i="5" s="1"/>
  <c r="F175" i="5" l="1"/>
  <c r="E280" i="5"/>
  <c r="A281" i="5" s="1"/>
  <c r="C176" i="4"/>
  <c r="B176" i="4"/>
  <c r="D176" i="4"/>
  <c r="H176" i="4" s="1"/>
  <c r="E176" i="4" l="1"/>
  <c r="F176" i="4" s="1"/>
  <c r="G176" i="4" s="1"/>
  <c r="A177" i="4" s="1"/>
  <c r="B281" i="5"/>
  <c r="C281" i="5" s="1"/>
  <c r="D281" i="5" s="1"/>
  <c r="F176" i="5" l="1"/>
  <c r="E281" i="5"/>
  <c r="A282" i="5" s="1"/>
  <c r="D177" i="4"/>
  <c r="H177" i="4" s="1"/>
  <c r="C177" i="4"/>
  <c r="E177" i="4" s="1"/>
  <c r="F177" i="4" s="1"/>
  <c r="B177" i="4"/>
  <c r="G177" i="4" l="1"/>
  <c r="B282" i="5"/>
  <c r="C282" i="5" s="1"/>
  <c r="D282" i="5" s="1"/>
  <c r="E282" i="5" s="1"/>
  <c r="B64" i="6" l="1"/>
  <c r="A283" i="5"/>
  <c r="A178" i="4"/>
  <c r="F177" i="5"/>
  <c r="C178" i="4" l="1"/>
  <c r="D178" i="4"/>
  <c r="H178" i="4" s="1"/>
  <c r="B178" i="4"/>
  <c r="B283" i="5"/>
  <c r="C283" i="5" s="1"/>
  <c r="D283" i="5" s="1"/>
  <c r="E283" i="5" s="1"/>
  <c r="A284" i="5" s="1"/>
  <c r="E178" i="4" l="1"/>
  <c r="F178" i="4" s="1"/>
  <c r="G178" i="4" s="1"/>
  <c r="A179" i="4" s="1"/>
  <c r="B284" i="5"/>
  <c r="F178" i="5" l="1"/>
  <c r="C179" i="4"/>
  <c r="B179" i="4"/>
  <c r="D179" i="4"/>
  <c r="C284" i="5"/>
  <c r="D284" i="5" s="1"/>
  <c r="E284" i="5" s="1"/>
  <c r="A285" i="5" s="1"/>
  <c r="E179" i="4" l="1"/>
  <c r="F179" i="4" s="1"/>
  <c r="G179" i="4" s="1"/>
  <c r="A180" i="4" s="1"/>
  <c r="B285" i="5"/>
  <c r="C285" i="5" s="1"/>
  <c r="D285" i="5" s="1"/>
  <c r="E285" i="5" s="1"/>
  <c r="A286" i="5" s="1"/>
  <c r="H179" i="4"/>
  <c r="F179" i="5" l="1"/>
  <c r="B286" i="5"/>
  <c r="C180" i="4"/>
  <c r="D180" i="4"/>
  <c r="H180" i="4" s="1"/>
  <c r="B180" i="4"/>
  <c r="E180" i="4" l="1"/>
  <c r="F180" i="4" s="1"/>
  <c r="G180" i="4" s="1"/>
  <c r="C286" i="5"/>
  <c r="D286" i="5" s="1"/>
  <c r="E286" i="5" s="1"/>
  <c r="A287" i="5" s="1"/>
  <c r="A181" i="4" l="1"/>
  <c r="F180" i="5"/>
  <c r="B287" i="5"/>
  <c r="C287" i="5" s="1"/>
  <c r="D287" i="5" s="1"/>
  <c r="E287" i="5" s="1"/>
  <c r="A288" i="5" s="1"/>
  <c r="B288" i="5" l="1"/>
  <c r="C288" i="5" s="1"/>
  <c r="D288" i="5" s="1"/>
  <c r="E288" i="5" s="1"/>
  <c r="A289" i="5" s="1"/>
  <c r="D181" i="4"/>
  <c r="C181" i="4"/>
  <c r="B181" i="4"/>
  <c r="H181" i="4"/>
  <c r="B289" i="5" l="1"/>
  <c r="C289" i="5" s="1"/>
  <c r="D289" i="5" s="1"/>
  <c r="E181" i="4"/>
  <c r="F181" i="4" s="1"/>
  <c r="G181" i="4" s="1"/>
  <c r="A182" i="4" l="1"/>
  <c r="F181" i="5"/>
  <c r="E289" i="5"/>
  <c r="A290" i="5" s="1"/>
  <c r="C182" i="4" l="1"/>
  <c r="B182" i="4"/>
  <c r="D182" i="4"/>
  <c r="H182" i="4" s="1"/>
  <c r="B290" i="5"/>
  <c r="C290" i="5" s="1"/>
  <c r="D290" i="5" s="1"/>
  <c r="E290" i="5" s="1"/>
  <c r="A291" i="5" s="1"/>
  <c r="E182" i="4" l="1"/>
  <c r="F182" i="4" s="1"/>
  <c r="G182" i="4" s="1"/>
  <c r="A183" i="4" s="1"/>
  <c r="B291" i="5"/>
  <c r="C291" i="5" s="1"/>
  <c r="D291" i="5" s="1"/>
  <c r="E291" i="5" s="1"/>
  <c r="A292" i="5" s="1"/>
  <c r="F182" i="5" l="1"/>
  <c r="B292" i="5"/>
  <c r="C292" i="5" s="1"/>
  <c r="D292" i="5" s="1"/>
  <c r="E292" i="5" s="1"/>
  <c r="A293" i="5" s="1"/>
  <c r="D183" i="4"/>
  <c r="C183" i="4"/>
  <c r="B183" i="4"/>
  <c r="H183" i="4"/>
  <c r="E183" i="4" l="1"/>
  <c r="F183" i="4" s="1"/>
  <c r="G183" i="4" s="1"/>
  <c r="B293" i="5"/>
  <c r="A184" i="4"/>
  <c r="F183" i="5"/>
  <c r="C293" i="5" l="1"/>
  <c r="D293" i="5" s="1"/>
  <c r="E293" i="5" s="1"/>
  <c r="A294" i="5" s="1"/>
  <c r="B294" i="5" s="1"/>
  <c r="C184" i="4"/>
  <c r="E184" i="4" s="1"/>
  <c r="F184" i="4" s="1"/>
  <c r="D184" i="4"/>
  <c r="B184" i="4"/>
  <c r="H184" i="4"/>
  <c r="G184" i="4" l="1"/>
  <c r="F184" i="5" s="1"/>
  <c r="C294" i="5"/>
  <c r="D294" i="5" s="1"/>
  <c r="E294" i="5" s="1"/>
  <c r="A185" i="4" l="1"/>
  <c r="C185" i="4" s="1"/>
  <c r="A295" i="5"/>
  <c r="B65" i="6"/>
  <c r="D185" i="4" l="1"/>
  <c r="H185" i="4" s="1"/>
  <c r="B185" i="4"/>
  <c r="E185" i="4"/>
  <c r="F185" i="4" s="1"/>
  <c r="G185" i="4" s="1"/>
  <c r="B295" i="5"/>
  <c r="C295" i="5" s="1"/>
  <c r="D295" i="5" s="1"/>
  <c r="E295" i="5" s="1"/>
  <c r="A296" i="5" s="1"/>
  <c r="B296" i="5" l="1"/>
  <c r="C296" i="5" s="1"/>
  <c r="D296" i="5" s="1"/>
  <c r="E296" i="5" s="1"/>
  <c r="A297" i="5" s="1"/>
  <c r="A186" i="4"/>
  <c r="F185" i="5"/>
  <c r="B297" i="5" l="1"/>
  <c r="C297" i="5" s="1"/>
  <c r="D297" i="5" s="1"/>
  <c r="E297" i="5" s="1"/>
  <c r="A298" i="5" s="1"/>
  <c r="D186" i="4"/>
  <c r="H186" i="4" s="1"/>
  <c r="B186" i="4"/>
  <c r="C186" i="4"/>
  <c r="B298" i="5" l="1"/>
  <c r="C298" i="5" s="1"/>
  <c r="D298" i="5" s="1"/>
  <c r="E298" i="5" s="1"/>
  <c r="A299" i="5" s="1"/>
  <c r="E186" i="4"/>
  <c r="F186" i="4" s="1"/>
  <c r="G186" i="4" s="1"/>
  <c r="A187" i="4" l="1"/>
  <c r="C56" i="6"/>
  <c r="F186" i="5"/>
  <c r="B299" i="5"/>
  <c r="C299" i="5" s="1"/>
  <c r="D299" i="5" s="1"/>
  <c r="E299" i="5" s="1"/>
  <c r="A300" i="5" s="1"/>
  <c r="B300" i="5" l="1"/>
  <c r="C300" i="5" s="1"/>
  <c r="D300" i="5" s="1"/>
  <c r="E300" i="5" s="1"/>
  <c r="A301" i="5" s="1"/>
  <c r="C187" i="4"/>
  <c r="B187" i="4"/>
  <c r="D187" i="4"/>
  <c r="H187" i="4" s="1"/>
  <c r="E187" i="4" l="1"/>
  <c r="F187" i="4" s="1"/>
  <c r="G187" i="4" s="1"/>
  <c r="A188" i="4" s="1"/>
  <c r="B301" i="5"/>
  <c r="F187" i="5" l="1"/>
  <c r="C188" i="4"/>
  <c r="B188" i="4"/>
  <c r="D188" i="4"/>
  <c r="C301" i="5"/>
  <c r="D301" i="5" s="1"/>
  <c r="E301" i="5" s="1"/>
  <c r="A302" i="5" s="1"/>
  <c r="E188" i="4" l="1"/>
  <c r="F188" i="4" s="1"/>
  <c r="G188" i="4" s="1"/>
  <c r="F188" i="5" s="1"/>
  <c r="B302" i="5"/>
  <c r="C302" i="5" s="1"/>
  <c r="D302" i="5" s="1"/>
  <c r="E302" i="5" s="1"/>
  <c r="A303" i="5" s="1"/>
  <c r="H188" i="4"/>
  <c r="A189" i="4" l="1"/>
  <c r="D189" i="4" s="1"/>
  <c r="H189" i="4" s="1"/>
  <c r="B303" i="5"/>
  <c r="C303" i="5" s="1"/>
  <c r="D303" i="5" s="1"/>
  <c r="C189" i="4" l="1"/>
  <c r="E189" i="4" s="1"/>
  <c r="F189" i="4" s="1"/>
  <c r="G189" i="4" s="1"/>
  <c r="B189" i="4"/>
  <c r="E303" i="5"/>
  <c r="A304" i="5" s="1"/>
  <c r="B304" i="5" l="1"/>
  <c r="C304" i="5" s="1"/>
  <c r="D304" i="5" s="1"/>
  <c r="A190" i="4"/>
  <c r="F189" i="5"/>
  <c r="B190" i="4" l="1"/>
  <c r="D190" i="4"/>
  <c r="H190" i="4" s="1"/>
  <c r="C190" i="4"/>
  <c r="E304" i="5"/>
  <c r="A305" i="5" s="1"/>
  <c r="B305" i="5" l="1"/>
  <c r="C305" i="5" s="1"/>
  <c r="D305" i="5" s="1"/>
  <c r="E305" i="5" s="1"/>
  <c r="A306" i="5" s="1"/>
  <c r="E190" i="4"/>
  <c r="F190" i="4" s="1"/>
  <c r="G190" i="4" s="1"/>
  <c r="B306" i="5" l="1"/>
  <c r="C306" i="5" s="1"/>
  <c r="D306" i="5" s="1"/>
  <c r="E306" i="5" s="1"/>
  <c r="A191" i="4"/>
  <c r="F190" i="5"/>
  <c r="A307" i="5" l="1"/>
  <c r="B66" i="6"/>
  <c r="C191" i="4"/>
  <c r="B191" i="4"/>
  <c r="D191" i="4"/>
  <c r="E191" i="4" s="1"/>
  <c r="F191" i="4" s="1"/>
  <c r="G191" i="4" s="1"/>
  <c r="H191" i="4" l="1"/>
  <c r="A192" i="4"/>
  <c r="F191" i="5"/>
  <c r="B307" i="5"/>
  <c r="C307" i="5" l="1"/>
  <c r="D307" i="5" s="1"/>
  <c r="E307" i="5" s="1"/>
  <c r="A308" i="5" s="1"/>
  <c r="B192" i="4"/>
  <c r="D192" i="4"/>
  <c r="H192" i="4" s="1"/>
  <c r="C192" i="4"/>
  <c r="E192" i="4" l="1"/>
  <c r="F192" i="4" s="1"/>
  <c r="G192" i="4" s="1"/>
  <c r="B308" i="5"/>
  <c r="C308" i="5" s="1"/>
  <c r="D308" i="5" s="1"/>
  <c r="E308" i="5" s="1"/>
  <c r="A309" i="5" s="1"/>
  <c r="B309" i="5" l="1"/>
  <c r="C309" i="5" s="1"/>
  <c r="D309" i="5" s="1"/>
  <c r="E309" i="5" s="1"/>
  <c r="A310" i="5" s="1"/>
  <c r="A193" i="4"/>
  <c r="F192" i="5"/>
  <c r="B310" i="5" l="1"/>
  <c r="D193" i="4"/>
  <c r="H193" i="4" s="1"/>
  <c r="B193" i="4"/>
  <c r="C193" i="4"/>
  <c r="C310" i="5" l="1"/>
  <c r="D310" i="5" s="1"/>
  <c r="E310" i="5" s="1"/>
  <c r="A311" i="5" s="1"/>
  <c r="E193" i="4"/>
  <c r="F193" i="4" s="1"/>
  <c r="G193" i="4" s="1"/>
  <c r="B311" i="5" l="1"/>
  <c r="C311" i="5" s="1"/>
  <c r="D311" i="5" s="1"/>
  <c r="E311" i="5" s="1"/>
  <c r="A312" i="5" s="1"/>
  <c r="B312" i="5" s="1"/>
  <c r="A194" i="4"/>
  <c r="F193" i="5"/>
  <c r="C312" i="5" l="1"/>
  <c r="D312" i="5" s="1"/>
  <c r="E312" i="5" s="1"/>
  <c r="A313" i="5" s="1"/>
  <c r="C194" i="4"/>
  <c r="B194" i="4"/>
  <c r="D194" i="4"/>
  <c r="H194" i="4" s="1"/>
  <c r="E194" i="4" l="1"/>
  <c r="F194" i="4" s="1"/>
  <c r="G194" i="4" s="1"/>
  <c r="A195" i="4" s="1"/>
  <c r="B313" i="5"/>
  <c r="C313" i="5" s="1"/>
  <c r="D313" i="5" s="1"/>
  <c r="F194" i="5" l="1"/>
  <c r="E313" i="5"/>
  <c r="A314" i="5" s="1"/>
  <c r="B195" i="4"/>
  <c r="D195" i="4"/>
  <c r="H195" i="4" s="1"/>
  <c r="C195" i="4"/>
  <c r="E195" i="4" l="1"/>
  <c r="F195" i="4" s="1"/>
  <c r="G195" i="4" s="1"/>
  <c r="B314" i="5"/>
  <c r="C314" i="5" s="1"/>
  <c r="D314" i="5" s="1"/>
  <c r="E314" i="5" s="1"/>
  <c r="A315" i="5" s="1"/>
  <c r="A196" i="4" l="1"/>
  <c r="F195" i="5"/>
  <c r="B315" i="5"/>
  <c r="C315" i="5" s="1"/>
  <c r="D315" i="5" s="1"/>
  <c r="E315" i="5" s="1"/>
  <c r="A316" i="5" s="1"/>
  <c r="B316" i="5" l="1"/>
  <c r="C316" i="5" s="1"/>
  <c r="D316" i="5" s="1"/>
  <c r="E316" i="5" s="1"/>
  <c r="A317" i="5" s="1"/>
  <c r="B196" i="4"/>
  <c r="D196" i="4"/>
  <c r="H196" i="4" s="1"/>
  <c r="C196" i="4"/>
  <c r="B317" i="5" l="1"/>
  <c r="C317" i="5" s="1"/>
  <c r="D317" i="5" s="1"/>
  <c r="E196" i="4"/>
  <c r="F196" i="4" s="1"/>
  <c r="G196" i="4" s="1"/>
  <c r="A197" i="4" l="1"/>
  <c r="F196" i="5"/>
  <c r="E317" i="5"/>
  <c r="A318" i="5" s="1"/>
  <c r="B318" i="5" l="1"/>
  <c r="C318" i="5" s="1"/>
  <c r="D318" i="5" s="1"/>
  <c r="E318" i="5" s="1"/>
  <c r="C197" i="4"/>
  <c r="B197" i="4"/>
  <c r="D197" i="4"/>
  <c r="H197" i="4" s="1"/>
  <c r="E197" i="4" l="1"/>
  <c r="F197" i="4" s="1"/>
  <c r="G197" i="4" s="1"/>
  <c r="A198" i="4" s="1"/>
  <c r="A319" i="5"/>
  <c r="B67" i="6"/>
  <c r="F197" i="5" l="1"/>
  <c r="B319" i="5"/>
  <c r="C319" i="5" s="1"/>
  <c r="D319" i="5" s="1"/>
  <c r="E319" i="5" s="1"/>
  <c r="A320" i="5" s="1"/>
  <c r="C198" i="4"/>
  <c r="D198" i="4"/>
  <c r="B198" i="4"/>
  <c r="H198" i="4"/>
  <c r="E198" i="4" l="1"/>
  <c r="F198" i="4" s="1"/>
  <c r="G198" i="4" s="1"/>
  <c r="A199" i="4" s="1"/>
  <c r="B320" i="5"/>
  <c r="C320" i="5" s="1"/>
  <c r="D320" i="5" s="1"/>
  <c r="E320" i="5" s="1"/>
  <c r="A321" i="5" s="1"/>
  <c r="F198" i="5" l="1"/>
  <c r="C57" i="6"/>
  <c r="B321" i="5"/>
  <c r="C321" i="5" s="1"/>
  <c r="D321" i="5" s="1"/>
  <c r="E321" i="5" s="1"/>
  <c r="A322" i="5" s="1"/>
  <c r="D199" i="4"/>
  <c r="C199" i="4"/>
  <c r="E199" i="4" s="1"/>
  <c r="F199" i="4" s="1"/>
  <c r="G199" i="4" s="1"/>
  <c r="B199" i="4"/>
  <c r="H199" i="4"/>
  <c r="B322" i="5" l="1"/>
  <c r="C322" i="5" s="1"/>
  <c r="D322" i="5" s="1"/>
  <c r="E322" i="5" s="1"/>
  <c r="A323" i="5" s="1"/>
  <c r="A200" i="4"/>
  <c r="F199" i="5"/>
  <c r="B323" i="5" l="1"/>
  <c r="C323" i="5" s="1"/>
  <c r="D323" i="5" s="1"/>
  <c r="E323" i="5" s="1"/>
  <c r="A324" i="5" s="1"/>
  <c r="C200" i="4"/>
  <c r="B200" i="4"/>
  <c r="D200" i="4"/>
  <c r="E200" i="4" l="1"/>
  <c r="F200" i="4" s="1"/>
  <c r="G200" i="4" s="1"/>
  <c r="A201" i="4" s="1"/>
  <c r="B324" i="5"/>
  <c r="H200" i="4"/>
  <c r="F200" i="5" l="1"/>
  <c r="C324" i="5"/>
  <c r="D324" i="5" s="1"/>
  <c r="E324" i="5" s="1"/>
  <c r="A325" i="5" s="1"/>
  <c r="C201" i="4"/>
  <c r="D201" i="4"/>
  <c r="B201" i="4"/>
  <c r="H201" i="4"/>
  <c r="E201" i="4" l="1"/>
  <c r="F201" i="4" s="1"/>
  <c r="G201" i="4" s="1"/>
  <c r="B325" i="5"/>
  <c r="C325" i="5" s="1"/>
  <c r="D325" i="5" s="1"/>
  <c r="E325" i="5" s="1"/>
  <c r="A326" i="5" s="1"/>
  <c r="B326" i="5" l="1"/>
  <c r="C326" i="5" s="1"/>
  <c r="D326" i="5" s="1"/>
  <c r="E326" i="5" s="1"/>
  <c r="A327" i="5" s="1"/>
  <c r="A202" i="4"/>
  <c r="F201" i="5"/>
  <c r="B327" i="5" l="1"/>
  <c r="C327" i="5" s="1"/>
  <c r="D327" i="5" s="1"/>
  <c r="E327" i="5" s="1"/>
  <c r="A328" i="5" s="1"/>
  <c r="D202" i="4"/>
  <c r="H202" i="4" s="1"/>
  <c r="C202" i="4"/>
  <c r="B202" i="4"/>
  <c r="B328" i="5" l="1"/>
  <c r="E202" i="4"/>
  <c r="F202" i="4" s="1"/>
  <c r="G202" i="4" s="1"/>
  <c r="A203" i="4" l="1"/>
  <c r="F202" i="5"/>
  <c r="C328" i="5"/>
  <c r="D328" i="5" s="1"/>
  <c r="E328" i="5" s="1"/>
  <c r="A329" i="5" s="1"/>
  <c r="B329" i="5" l="1"/>
  <c r="C203" i="4"/>
  <c r="B203" i="4"/>
  <c r="D203" i="4"/>
  <c r="H203" i="4" s="1"/>
  <c r="E203" i="4" l="1"/>
  <c r="F203" i="4" s="1"/>
  <c r="G203" i="4" s="1"/>
  <c r="A204" i="4" s="1"/>
  <c r="C329" i="5"/>
  <c r="D329" i="5" s="1"/>
  <c r="E329" i="5" s="1"/>
  <c r="A330" i="5" s="1"/>
  <c r="F203" i="5" l="1"/>
  <c r="B330" i="5"/>
  <c r="C330" i="5" s="1"/>
  <c r="D330" i="5" s="1"/>
  <c r="E330" i="5" s="1"/>
  <c r="D204" i="4"/>
  <c r="H204" i="4" s="1"/>
  <c r="C204" i="4"/>
  <c r="B204" i="4"/>
  <c r="A331" i="5" l="1"/>
  <c r="B68" i="6"/>
  <c r="E204" i="4"/>
  <c r="F204" i="4" s="1"/>
  <c r="G204" i="4" s="1"/>
  <c r="B331" i="5" l="1"/>
  <c r="C331" i="5" s="1"/>
  <c r="D331" i="5" s="1"/>
  <c r="A205" i="4"/>
  <c r="F204" i="5"/>
  <c r="C205" i="4" l="1"/>
  <c r="D205" i="4"/>
  <c r="H205" i="4" s="1"/>
  <c r="B205" i="4"/>
  <c r="E331" i="5"/>
  <c r="A332" i="5" s="1"/>
  <c r="B332" i="5" l="1"/>
  <c r="E205" i="4"/>
  <c r="F205" i="4" s="1"/>
  <c r="G205" i="4" s="1"/>
  <c r="A206" i="4" l="1"/>
  <c r="F205" i="5"/>
  <c r="C332" i="5"/>
  <c r="D332" i="5" s="1"/>
  <c r="E332" i="5" s="1"/>
  <c r="A333" i="5" s="1"/>
  <c r="C206" i="4" l="1"/>
  <c r="B206" i="4"/>
  <c r="D206" i="4"/>
  <c r="H206" i="4" s="1"/>
  <c r="B333" i="5"/>
  <c r="C333" i="5" s="1"/>
  <c r="D333" i="5" s="1"/>
  <c r="E333" i="5" l="1"/>
  <c r="A334" i="5" s="1"/>
  <c r="B334" i="5" s="1"/>
  <c r="C334" i="5" s="1"/>
  <c r="D334" i="5" s="1"/>
  <c r="E334" i="5" s="1"/>
  <c r="A335" i="5" s="1"/>
  <c r="E206" i="4"/>
  <c r="F206" i="4" s="1"/>
  <c r="G206" i="4" s="1"/>
  <c r="B335" i="5" l="1"/>
  <c r="A207" i="4"/>
  <c r="F206" i="5"/>
  <c r="C335" i="5" l="1"/>
  <c r="D335" i="5" s="1"/>
  <c r="E335" i="5" s="1"/>
  <c r="A336" i="5" s="1"/>
  <c r="C207" i="4"/>
  <c r="D207" i="4"/>
  <c r="H207" i="4" s="1"/>
  <c r="B207" i="4"/>
  <c r="B336" i="5" l="1"/>
  <c r="C336" i="5" s="1"/>
  <c r="D336" i="5" s="1"/>
  <c r="E336" i="5" s="1"/>
  <c r="A337" i="5" s="1"/>
  <c r="B337" i="5" s="1"/>
  <c r="E207" i="4"/>
  <c r="F207" i="4" s="1"/>
  <c r="G207" i="4" s="1"/>
  <c r="A208" i="4" l="1"/>
  <c r="F207" i="5"/>
  <c r="C337" i="5"/>
  <c r="D337" i="5" s="1"/>
  <c r="E337" i="5" s="1"/>
  <c r="A338" i="5" s="1"/>
  <c r="D208" i="4" l="1"/>
  <c r="H208" i="4" s="1"/>
  <c r="C208" i="4"/>
  <c r="E208" i="4" s="1"/>
  <c r="F208" i="4" s="1"/>
  <c r="G208" i="4" s="1"/>
  <c r="B208" i="4"/>
  <c r="B338" i="5"/>
  <c r="C338" i="5" s="1"/>
  <c r="D338" i="5" s="1"/>
  <c r="E338" i="5" s="1"/>
  <c r="A339" i="5" s="1"/>
  <c r="B339" i="5" l="1"/>
  <c r="C339" i="5" s="1"/>
  <c r="D339" i="5" s="1"/>
  <c r="E339" i="5" s="1"/>
  <c r="A340" i="5" s="1"/>
  <c r="A209" i="4"/>
  <c r="F208" i="5"/>
  <c r="B340" i="5" l="1"/>
  <c r="C340" i="5" s="1"/>
  <c r="D340" i="5" s="1"/>
  <c r="E340" i="5" s="1"/>
  <c r="A341" i="5" s="1"/>
  <c r="C209" i="4"/>
  <c r="B209" i="4"/>
  <c r="D209" i="4"/>
  <c r="H209" i="4" s="1"/>
  <c r="E209" i="4" l="1"/>
  <c r="F209" i="4" s="1"/>
  <c r="G209" i="4" s="1"/>
  <c r="A210" i="4" s="1"/>
  <c r="B341" i="5"/>
  <c r="F209" i="5" l="1"/>
  <c r="C210" i="4"/>
  <c r="D210" i="4"/>
  <c r="H210" i="4" s="1"/>
  <c r="B210" i="4"/>
  <c r="C341" i="5"/>
  <c r="D341" i="5" s="1"/>
  <c r="E341" i="5" s="1"/>
  <c r="A342" i="5" s="1"/>
  <c r="E210" i="4" l="1"/>
  <c r="F210" i="4" s="1"/>
  <c r="G210" i="4" s="1"/>
  <c r="B342" i="5"/>
  <c r="C342" i="5" l="1"/>
  <c r="D342" i="5" s="1"/>
  <c r="E342" i="5" s="1"/>
  <c r="C58" i="6"/>
  <c r="A211" i="4"/>
  <c r="F210" i="5"/>
  <c r="B69" i="6" l="1"/>
  <c r="A343" i="5"/>
  <c r="C211" i="4"/>
  <c r="D211" i="4"/>
  <c r="H211" i="4" s="1"/>
  <c r="B211" i="4"/>
  <c r="E211" i="4" l="1"/>
  <c r="F211" i="4" s="1"/>
  <c r="G211" i="4" s="1"/>
  <c r="B343" i="5"/>
  <c r="C343" i="5" l="1"/>
  <c r="D343" i="5" s="1"/>
  <c r="E343" i="5" s="1"/>
  <c r="A344" i="5" s="1"/>
  <c r="A212" i="4"/>
  <c r="F211" i="5"/>
  <c r="C212" i="4" l="1"/>
  <c r="B212" i="4"/>
  <c r="D212" i="4"/>
  <c r="H212" i="4" s="1"/>
  <c r="B344" i="5"/>
  <c r="C344" i="5" s="1"/>
  <c r="D344" i="5" s="1"/>
  <c r="E344" i="5" s="1"/>
  <c r="A345" i="5" s="1"/>
  <c r="E212" i="4" l="1"/>
  <c r="F212" i="4" s="1"/>
  <c r="G212" i="4" s="1"/>
  <c r="A213" i="4" s="1"/>
  <c r="B345" i="5"/>
  <c r="F212" i="5" l="1"/>
  <c r="C345" i="5"/>
  <c r="D345" i="5" s="1"/>
  <c r="E345" i="5" s="1"/>
  <c r="A346" i="5" s="1"/>
  <c r="D213" i="4"/>
  <c r="H213" i="4" s="1"/>
  <c r="C213" i="4"/>
  <c r="B213" i="4"/>
  <c r="E213" i="4" l="1"/>
  <c r="F213" i="4" s="1"/>
  <c r="G213" i="4" s="1"/>
  <c r="B346" i="5"/>
  <c r="C346" i="5" s="1"/>
  <c r="D346" i="5" s="1"/>
  <c r="E346" i="5" s="1"/>
  <c r="A347" i="5" s="1"/>
  <c r="B347" i="5" l="1"/>
  <c r="C347" i="5" s="1"/>
  <c r="D347" i="5" s="1"/>
  <c r="E347" i="5" s="1"/>
  <c r="A348" i="5" s="1"/>
  <c r="A214" i="4"/>
  <c r="F213" i="5"/>
  <c r="B348" i="5" l="1"/>
  <c r="C214" i="4"/>
  <c r="D214" i="4"/>
  <c r="H214" i="4" s="1"/>
  <c r="B214" i="4"/>
  <c r="C348" i="5" l="1"/>
  <c r="D348" i="5" s="1"/>
  <c r="E348" i="5" s="1"/>
  <c r="A349" i="5" s="1"/>
  <c r="B349" i="5" s="1"/>
  <c r="C349" i="5" s="1"/>
  <c r="D349" i="5" s="1"/>
  <c r="E214" i="4"/>
  <c r="F214" i="4" s="1"/>
  <c r="G214" i="4" s="1"/>
  <c r="A215" i="4" l="1"/>
  <c r="F214" i="5"/>
  <c r="E349" i="5"/>
  <c r="A350" i="5" s="1"/>
  <c r="C215" i="4" l="1"/>
  <c r="B215" i="4"/>
  <c r="D215" i="4"/>
  <c r="H215" i="4" s="1"/>
  <c r="B350" i="5"/>
  <c r="C350" i="5" s="1"/>
  <c r="D350" i="5" s="1"/>
  <c r="E350" i="5" s="1"/>
  <c r="A351" i="5" s="1"/>
  <c r="B351" i="5" l="1"/>
  <c r="C351" i="5" s="1"/>
  <c r="D351" i="5" s="1"/>
  <c r="E351" i="5" s="1"/>
  <c r="A352" i="5" s="1"/>
  <c r="E215" i="4"/>
  <c r="F215" i="4" s="1"/>
  <c r="G215" i="4" s="1"/>
  <c r="B352" i="5" l="1"/>
  <c r="A216" i="4"/>
  <c r="F215" i="5"/>
  <c r="C216" i="4" l="1"/>
  <c r="D216" i="4"/>
  <c r="H216" i="4" s="1"/>
  <c r="B216" i="4"/>
  <c r="C352" i="5"/>
  <c r="D352" i="5" s="1"/>
  <c r="E352" i="5" s="1"/>
  <c r="A353" i="5" s="1"/>
  <c r="E216" i="4" l="1"/>
  <c r="F216" i="4" s="1"/>
  <c r="G216" i="4" s="1"/>
  <c r="F216" i="5" s="1"/>
  <c r="B353" i="5"/>
  <c r="C353" i="5" s="1"/>
  <c r="D353" i="5" s="1"/>
  <c r="E353" i="5" s="1"/>
  <c r="A354" i="5" s="1"/>
  <c r="A217" i="4" l="1"/>
  <c r="D217" i="4" s="1"/>
  <c r="H217" i="4" s="1"/>
  <c r="B354" i="5"/>
  <c r="C217" i="4" l="1"/>
  <c r="B217" i="4"/>
  <c r="C354" i="5"/>
  <c r="D354" i="5" s="1"/>
  <c r="E354" i="5" s="1"/>
  <c r="E217" i="4"/>
  <c r="F217" i="4" s="1"/>
  <c r="G217" i="4" s="1"/>
  <c r="A218" i="4" l="1"/>
  <c r="F217" i="5"/>
  <c r="B70" i="6"/>
  <c r="A355" i="5"/>
  <c r="C218" i="4" l="1"/>
  <c r="B218" i="4"/>
  <c r="D218" i="4"/>
  <c r="H218" i="4" s="1"/>
  <c r="B355" i="5"/>
  <c r="C355" i="5" s="1"/>
  <c r="D355" i="5" s="1"/>
  <c r="E218" i="4" l="1"/>
  <c r="F218" i="4" s="1"/>
  <c r="G218" i="4" s="1"/>
  <c r="E355" i="5"/>
  <c r="A356" i="5" s="1"/>
  <c r="A219" i="4" l="1"/>
  <c r="F218" i="5"/>
  <c r="B356" i="5"/>
  <c r="C356" i="5" l="1"/>
  <c r="D356" i="5" s="1"/>
  <c r="E356" i="5" s="1"/>
  <c r="A357" i="5" s="1"/>
  <c r="D219" i="4"/>
  <c r="H219" i="4" s="1"/>
  <c r="C219" i="4"/>
  <c r="B219" i="4"/>
  <c r="E219" i="4" l="1"/>
  <c r="F219" i="4" s="1"/>
  <c r="G219" i="4" s="1"/>
  <c r="B357" i="5"/>
  <c r="C357" i="5" s="1"/>
  <c r="D357" i="5" s="1"/>
  <c r="E357" i="5" s="1"/>
  <c r="A358" i="5" s="1"/>
  <c r="B358" i="5" l="1"/>
  <c r="A220" i="4"/>
  <c r="F219" i="5"/>
  <c r="C220" i="4" l="1"/>
  <c r="D220" i="4"/>
  <c r="H220" i="4" s="1"/>
  <c r="B220" i="4"/>
  <c r="C358" i="5"/>
  <c r="D358" i="5" s="1"/>
  <c r="E358" i="5" s="1"/>
  <c r="A359" i="5" s="1"/>
  <c r="E220" i="4" l="1"/>
  <c r="F220" i="4" s="1"/>
  <c r="G220" i="4" s="1"/>
  <c r="B359" i="5"/>
  <c r="A221" i="4" l="1"/>
  <c r="F220" i="5"/>
  <c r="C359" i="5"/>
  <c r="D359" i="5" s="1"/>
  <c r="E359" i="5" s="1"/>
  <c r="A360" i="5" s="1"/>
  <c r="B360" i="5" l="1"/>
  <c r="C221" i="4"/>
  <c r="B221" i="4"/>
  <c r="D221" i="4"/>
  <c r="H221" i="4" s="1"/>
  <c r="E221" i="4" l="1"/>
  <c r="F221" i="4" s="1"/>
  <c r="G221" i="4" s="1"/>
  <c r="A222" i="4" s="1"/>
  <c r="C360" i="5"/>
  <c r="D360" i="5" s="1"/>
  <c r="E360" i="5" s="1"/>
  <c r="A361" i="5" s="1"/>
  <c r="F221" i="5" l="1"/>
  <c r="B361" i="5"/>
  <c r="C361" i="5" s="1"/>
  <c r="D361" i="5" s="1"/>
  <c r="E361" i="5" s="1"/>
  <c r="A362" i="5" s="1"/>
  <c r="B222" i="4"/>
  <c r="C222" i="4"/>
  <c r="D222" i="4"/>
  <c r="H222" i="4" s="1"/>
  <c r="E222" i="4" l="1"/>
  <c r="F222" i="4" s="1"/>
  <c r="G222" i="4" s="1"/>
  <c r="B362" i="5"/>
  <c r="C362" i="5" s="1"/>
  <c r="D362" i="5" s="1"/>
  <c r="E362" i="5" l="1"/>
  <c r="A363" i="5" s="1"/>
  <c r="A223" i="4"/>
  <c r="C59" i="6"/>
  <c r="F222" i="5"/>
  <c r="B363" i="5" l="1"/>
  <c r="C363" i="5" s="1"/>
  <c r="D363" i="5" s="1"/>
  <c r="E363" i="5" s="1"/>
  <c r="A364" i="5" s="1"/>
  <c r="B223" i="4"/>
  <c r="D223" i="4"/>
  <c r="H223" i="4" s="1"/>
  <c r="C223" i="4"/>
  <c r="E223" i="4" l="1"/>
  <c r="F223" i="4" s="1"/>
  <c r="G223" i="4" s="1"/>
  <c r="B364" i="5"/>
  <c r="C364" i="5" l="1"/>
  <c r="D364" i="5" s="1"/>
  <c r="E364" i="5" s="1"/>
  <c r="A365" i="5" s="1"/>
  <c r="B365" i="5" s="1"/>
  <c r="A224" i="4"/>
  <c r="F223" i="5"/>
  <c r="C224" i="4" l="1"/>
  <c r="B224" i="4"/>
  <c r="D224" i="4"/>
  <c r="H224" i="4" s="1"/>
  <c r="C365" i="5"/>
  <c r="D365" i="5" s="1"/>
  <c r="E365" i="5" s="1"/>
  <c r="A366" i="5" s="1"/>
  <c r="E224" i="4" l="1"/>
  <c r="F224" i="4" s="1"/>
  <c r="G224" i="4" s="1"/>
  <c r="A225" i="4" s="1"/>
  <c r="B366" i="5"/>
  <c r="C366" i="5" s="1"/>
  <c r="D366" i="5" s="1"/>
  <c r="F224" i="5" l="1"/>
  <c r="E366" i="5"/>
  <c r="D225" i="4"/>
  <c r="C225" i="4"/>
  <c r="B225" i="4"/>
  <c r="H225" i="4"/>
  <c r="E225" i="4" l="1"/>
  <c r="F225" i="4" s="1"/>
  <c r="G225" i="4" s="1"/>
  <c r="A226" i="4" s="1"/>
  <c r="A367" i="5"/>
  <c r="B71" i="6"/>
  <c r="F225" i="5" l="1"/>
  <c r="E367" i="5"/>
  <c r="A368" i="5" s="1"/>
  <c r="D367" i="5"/>
  <c r="B367" i="5"/>
  <c r="C367" i="5"/>
  <c r="D226" i="4"/>
  <c r="H226" i="4" s="1"/>
  <c r="C226" i="4"/>
  <c r="B226" i="4"/>
  <c r="E226" i="4" l="1"/>
  <c r="F226" i="4" s="1"/>
  <c r="G226" i="4" s="1"/>
  <c r="D368" i="5"/>
  <c r="B368" i="5"/>
  <c r="C368" i="5"/>
  <c r="E368" i="5"/>
  <c r="A369" i="5" s="1"/>
  <c r="A227" i="4" l="1"/>
  <c r="F226" i="5"/>
  <c r="E369" i="5"/>
  <c r="A370" i="5" s="1"/>
  <c r="C369" i="5"/>
  <c r="D369" i="5"/>
  <c r="B369" i="5"/>
  <c r="E370" i="5" l="1"/>
  <c r="A371" i="5" s="1"/>
  <c r="D370" i="5"/>
  <c r="B370" i="5"/>
  <c r="C370" i="5"/>
  <c r="C227" i="4"/>
  <c r="B227" i="4"/>
  <c r="D227" i="4"/>
  <c r="E227" i="4" l="1"/>
  <c r="F227" i="4" s="1"/>
  <c r="G227" i="4" s="1"/>
  <c r="A228" i="4" s="1"/>
  <c r="H227" i="4"/>
  <c r="E371" i="5"/>
  <c r="A372" i="5" s="1"/>
  <c r="D371" i="5"/>
  <c r="C371" i="5"/>
  <c r="B371" i="5"/>
  <c r="F227" i="5" l="1"/>
  <c r="D372" i="5"/>
  <c r="E372" i="5"/>
  <c r="A373" i="5" s="1"/>
  <c r="B372" i="5"/>
  <c r="C372" i="5"/>
  <c r="D228" i="4"/>
  <c r="H228" i="4" s="1"/>
  <c r="C228" i="4"/>
  <c r="B228" i="4"/>
  <c r="E228" i="4" l="1"/>
  <c r="F228" i="4" s="1"/>
  <c r="G228" i="4" s="1"/>
  <c r="F228" i="5" s="1"/>
  <c r="D373" i="5"/>
  <c r="C373" i="5"/>
  <c r="E373" i="5"/>
  <c r="A374" i="5" s="1"/>
  <c r="B373" i="5"/>
  <c r="A229" i="4" l="1"/>
  <c r="D374" i="5"/>
  <c r="C374" i="5"/>
  <c r="E374" i="5"/>
  <c r="A375" i="5" s="1"/>
  <c r="B374" i="5"/>
  <c r="D229" i="4"/>
  <c r="H229" i="4" s="1"/>
  <c r="C229" i="4"/>
  <c r="B229" i="4"/>
  <c r="E375" i="5" l="1"/>
  <c r="A376" i="5" s="1"/>
  <c r="D375" i="5"/>
  <c r="C375" i="5"/>
  <c r="B375" i="5"/>
  <c r="E229" i="4"/>
  <c r="F229" i="4" s="1"/>
  <c r="G229" i="4" s="1"/>
  <c r="A230" i="4" l="1"/>
  <c r="F229" i="5"/>
  <c r="D376" i="5"/>
  <c r="E376" i="5"/>
  <c r="A377" i="5" s="1"/>
  <c r="C376" i="5"/>
  <c r="B376" i="5"/>
  <c r="C230" i="4" l="1"/>
  <c r="B230" i="4"/>
  <c r="D230" i="4"/>
  <c r="B377" i="5"/>
  <c r="E377" i="5"/>
  <c r="A378" i="5" s="1"/>
  <c r="D377" i="5"/>
  <c r="C377" i="5"/>
  <c r="E230" i="4" l="1"/>
  <c r="F230" i="4" s="1"/>
  <c r="G230" i="4" s="1"/>
  <c r="A231" i="4" s="1"/>
  <c r="H230" i="4"/>
  <c r="E378" i="5"/>
  <c r="D378" i="5"/>
  <c r="B378" i="5"/>
  <c r="C378" i="5"/>
  <c r="F230" i="5" l="1"/>
  <c r="B72" i="6"/>
  <c r="A379" i="5"/>
  <c r="D231" i="4"/>
  <c r="C231" i="4"/>
  <c r="B231" i="4"/>
  <c r="E231" i="4" l="1"/>
  <c r="F231" i="4" s="1"/>
  <c r="G231" i="4" s="1"/>
  <c r="A232" i="4" s="1"/>
  <c r="H231" i="4"/>
  <c r="B379" i="5"/>
  <c r="D379" i="5"/>
  <c r="C379" i="5"/>
  <c r="E379" i="5"/>
  <c r="A380" i="5" s="1"/>
  <c r="F231" i="5" l="1"/>
  <c r="D380" i="5"/>
  <c r="C380" i="5"/>
  <c r="B380" i="5"/>
  <c r="E380" i="5"/>
  <c r="A381" i="5" s="1"/>
  <c r="D232" i="4"/>
  <c r="H232" i="4" s="1"/>
  <c r="C232" i="4"/>
  <c r="B232" i="4"/>
  <c r="E232" i="4" l="1"/>
  <c r="F232" i="4" s="1"/>
  <c r="G232" i="4" s="1"/>
  <c r="D381" i="5"/>
  <c r="B381" i="5"/>
  <c r="E381" i="5"/>
  <c r="A382" i="5" s="1"/>
  <c r="C381" i="5"/>
  <c r="A233" i="4" l="1"/>
  <c r="F232" i="5"/>
  <c r="C382" i="5"/>
  <c r="E382" i="5"/>
  <c r="A383" i="5" s="1"/>
  <c r="D382" i="5"/>
  <c r="B382" i="5"/>
  <c r="C233" i="4" l="1"/>
  <c r="B233" i="4"/>
  <c r="D233" i="4"/>
  <c r="H233" i="4" s="1"/>
  <c r="E383" i="5"/>
  <c r="A384" i="5" s="1"/>
  <c r="C383" i="5"/>
  <c r="D383" i="5"/>
  <c r="B383" i="5"/>
  <c r="E233" i="4" l="1"/>
  <c r="F233" i="4" s="1"/>
  <c r="G233" i="4" s="1"/>
  <c r="A234" i="4" s="1"/>
  <c r="D384" i="5"/>
  <c r="E384" i="5"/>
  <c r="A385" i="5" s="1"/>
  <c r="C384" i="5"/>
  <c r="B384" i="5"/>
  <c r="F233" i="5" l="1"/>
  <c r="D385" i="5"/>
  <c r="C385" i="5"/>
  <c r="E385" i="5"/>
  <c r="A386" i="5" s="1"/>
  <c r="B385" i="5"/>
  <c r="C234" i="4"/>
  <c r="D234" i="4"/>
  <c r="H234" i="4" s="1"/>
  <c r="B234" i="4"/>
  <c r="E234" i="4" l="1"/>
  <c r="F234" i="4" s="1"/>
  <c r="G234" i="4" s="1"/>
  <c r="E386" i="5"/>
  <c r="A387" i="5" s="1"/>
  <c r="D386" i="5"/>
  <c r="C386" i="5"/>
  <c r="B386" i="5"/>
  <c r="E387" i="5" l="1"/>
  <c r="A388" i="5" s="1"/>
  <c r="C387" i="5"/>
  <c r="B387" i="5"/>
  <c r="D387" i="5"/>
  <c r="C60" i="6"/>
  <c r="A235" i="4"/>
  <c r="F234" i="5"/>
  <c r="C235" i="4" l="1"/>
  <c r="B235" i="4"/>
  <c r="D235" i="4"/>
  <c r="H235" i="4" s="1"/>
  <c r="D388" i="5"/>
  <c r="E388" i="5"/>
  <c r="A389" i="5" s="1"/>
  <c r="C388" i="5"/>
  <c r="B388" i="5"/>
  <c r="E235" i="4" l="1"/>
  <c r="F235" i="4" s="1"/>
  <c r="G235" i="4" s="1"/>
  <c r="E389" i="5"/>
  <c r="A390" i="5" s="1"/>
  <c r="C389" i="5"/>
  <c r="B389" i="5"/>
  <c r="D389" i="5"/>
  <c r="A236" i="4" l="1"/>
  <c r="F235" i="5"/>
  <c r="B390" i="5"/>
  <c r="D390" i="5"/>
  <c r="C390" i="5"/>
  <c r="E390" i="5"/>
  <c r="A391" i="5" l="1"/>
  <c r="B73" i="6"/>
  <c r="C236" i="4"/>
  <c r="B236" i="4"/>
  <c r="D236" i="4"/>
  <c r="H236" i="4" s="1"/>
  <c r="E236" i="4" l="1"/>
  <c r="F236" i="4" s="1"/>
  <c r="G236" i="4" s="1"/>
  <c r="E391" i="5"/>
  <c r="A392" i="5" s="1"/>
  <c r="D391" i="5"/>
  <c r="C391" i="5"/>
  <c r="B391" i="5"/>
  <c r="D392" i="5" l="1"/>
  <c r="E392" i="5"/>
  <c r="A393" i="5" s="1"/>
  <c r="C392" i="5"/>
  <c r="B392" i="5"/>
  <c r="A237" i="4"/>
  <c r="F236" i="5"/>
  <c r="C237" i="4" l="1"/>
  <c r="D237" i="4"/>
  <c r="B237" i="4"/>
  <c r="H237" i="4"/>
  <c r="D393" i="5"/>
  <c r="C393" i="5"/>
  <c r="E393" i="5"/>
  <c r="A394" i="5" s="1"/>
  <c r="B393" i="5"/>
  <c r="E237" i="4" l="1"/>
  <c r="F237" i="4" s="1"/>
  <c r="G237" i="4" s="1"/>
  <c r="A238" i="4" s="1"/>
  <c r="D394" i="5"/>
  <c r="B394" i="5"/>
  <c r="E394" i="5"/>
  <c r="A395" i="5" s="1"/>
  <c r="C394" i="5"/>
  <c r="F237" i="5" l="1"/>
  <c r="E395" i="5"/>
  <c r="A396" i="5" s="1"/>
  <c r="D395" i="5"/>
  <c r="C395" i="5"/>
  <c r="B395" i="5"/>
  <c r="C238" i="4"/>
  <c r="D238" i="4"/>
  <c r="H238" i="4" s="1"/>
  <c r="B238" i="4"/>
  <c r="E238" i="4" l="1"/>
  <c r="F238" i="4" s="1"/>
  <c r="G238" i="4" s="1"/>
  <c r="A239" i="4" s="1"/>
  <c r="D396" i="5"/>
  <c r="C396" i="5"/>
  <c r="B396" i="5"/>
  <c r="E396" i="5"/>
  <c r="A397" i="5" s="1"/>
  <c r="F238" i="5" l="1"/>
  <c r="E397" i="5"/>
  <c r="A398" i="5" s="1"/>
  <c r="D397" i="5"/>
  <c r="C397" i="5"/>
  <c r="B397" i="5"/>
  <c r="C239" i="4"/>
  <c r="B239" i="4"/>
  <c r="D239" i="4"/>
  <c r="H239" i="4" s="1"/>
  <c r="E239" i="4" l="1"/>
  <c r="F239" i="4" s="1"/>
  <c r="G239" i="4" s="1"/>
  <c r="A240" i="4" s="1"/>
  <c r="D398" i="5"/>
  <c r="B398" i="5"/>
  <c r="E398" i="5"/>
  <c r="A399" i="5" s="1"/>
  <c r="C398" i="5"/>
  <c r="F239" i="5" l="1"/>
  <c r="E399" i="5"/>
  <c r="A400" i="5" s="1"/>
  <c r="D399" i="5"/>
  <c r="C399" i="5"/>
  <c r="B399" i="5"/>
  <c r="D240" i="4"/>
  <c r="H240" i="4" s="1"/>
  <c r="C240" i="4"/>
  <c r="B240" i="4"/>
  <c r="E240" i="4" l="1"/>
  <c r="F240" i="4" s="1"/>
  <c r="G240" i="4" s="1"/>
  <c r="D400" i="5"/>
  <c r="E400" i="5"/>
  <c r="A401" i="5" s="1"/>
  <c r="C400" i="5"/>
  <c r="B400" i="5"/>
  <c r="A241" i="4" l="1"/>
  <c r="F240" i="5"/>
  <c r="B401" i="5"/>
  <c r="E401" i="5"/>
  <c r="A402" i="5" s="1"/>
  <c r="D401" i="5"/>
  <c r="C401" i="5"/>
  <c r="E402" i="5" l="1"/>
  <c r="C402" i="5"/>
  <c r="D402" i="5"/>
  <c r="B402" i="5"/>
  <c r="B241" i="4"/>
  <c r="C241" i="4"/>
  <c r="D241" i="4"/>
  <c r="H241" i="4" s="1"/>
  <c r="E241" i="4" l="1"/>
  <c r="F241" i="4" s="1"/>
  <c r="G241" i="4" s="1"/>
  <c r="A242" i="4" s="1"/>
  <c r="B74" i="6"/>
  <c r="A403" i="5"/>
  <c r="F241" i="5" l="1"/>
  <c r="C242" i="4"/>
  <c r="B242" i="4"/>
  <c r="D242" i="4"/>
  <c r="B403" i="5"/>
  <c r="D403" i="5"/>
  <c r="C403" i="5"/>
  <c r="E403" i="5"/>
  <c r="A404" i="5" s="1"/>
  <c r="E242" i="4" l="1"/>
  <c r="F242" i="4" s="1"/>
  <c r="G242" i="4" s="1"/>
  <c r="A243" i="4" s="1"/>
  <c r="H242" i="4"/>
  <c r="D404" i="5"/>
  <c r="E404" i="5"/>
  <c r="A405" i="5" s="1"/>
  <c r="C404" i="5"/>
  <c r="B404" i="5"/>
  <c r="F242" i="5" l="1"/>
  <c r="D405" i="5"/>
  <c r="C405" i="5"/>
  <c r="B405" i="5"/>
  <c r="E405" i="5"/>
  <c r="A406" i="5" s="1"/>
  <c r="C243" i="4"/>
  <c r="D243" i="4"/>
  <c r="H243" i="4" s="1"/>
  <c r="B243" i="4"/>
  <c r="E243" i="4" l="1"/>
  <c r="F243" i="4" s="1"/>
  <c r="G243" i="4" s="1"/>
  <c r="C406" i="5"/>
  <c r="B406" i="5"/>
  <c r="E406" i="5"/>
  <c r="A407" i="5" s="1"/>
  <c r="D406" i="5"/>
  <c r="A244" i="4" l="1"/>
  <c r="D244" i="4" s="1"/>
  <c r="H244" i="4" s="1"/>
  <c r="F243" i="5"/>
  <c r="D407" i="5"/>
  <c r="B407" i="5"/>
  <c r="E407" i="5"/>
  <c r="A408" i="5" s="1"/>
  <c r="C407" i="5"/>
  <c r="B244" i="4"/>
  <c r="C244" i="4" l="1"/>
  <c r="E244" i="4" s="1"/>
  <c r="F244" i="4" s="1"/>
  <c r="G244" i="4" s="1"/>
  <c r="A245" i="4" s="1"/>
  <c r="D408" i="5"/>
  <c r="E408" i="5"/>
  <c r="A409" i="5" s="1"/>
  <c r="C408" i="5"/>
  <c r="B408" i="5"/>
  <c r="F244" i="5" l="1"/>
  <c r="B409" i="5"/>
  <c r="E409" i="5"/>
  <c r="A410" i="5" s="1"/>
  <c r="D409" i="5"/>
  <c r="C409" i="5"/>
  <c r="C245" i="4"/>
  <c r="B245" i="4"/>
  <c r="D245" i="4"/>
  <c r="H245" i="4" s="1"/>
  <c r="E245" i="4" l="1"/>
  <c r="F245" i="4" s="1"/>
  <c r="G245" i="4" s="1"/>
  <c r="E410" i="5"/>
  <c r="A411" i="5" s="1"/>
  <c r="B410" i="5"/>
  <c r="D410" i="5"/>
  <c r="C410" i="5"/>
  <c r="D411" i="5" l="1"/>
  <c r="E411" i="5"/>
  <c r="A412" i="5" s="1"/>
  <c r="C411" i="5"/>
  <c r="B411" i="5"/>
  <c r="A246" i="4"/>
  <c r="F245" i="5"/>
  <c r="B246" i="4" l="1"/>
  <c r="D246" i="4"/>
  <c r="H246" i="4" s="1"/>
  <c r="C246" i="4"/>
  <c r="D412" i="5"/>
  <c r="E412" i="5"/>
  <c r="A413" i="5" s="1"/>
  <c r="C412" i="5"/>
  <c r="B412" i="5"/>
  <c r="E246" i="4" l="1"/>
  <c r="F246" i="4" s="1"/>
  <c r="G246" i="4" s="1"/>
  <c r="E413" i="5"/>
  <c r="A414" i="5" s="1"/>
  <c r="D413" i="5"/>
  <c r="C413" i="5"/>
  <c r="B413" i="5"/>
  <c r="F246" i="5" l="1"/>
  <c r="C61" i="6"/>
  <c r="A247" i="4"/>
  <c r="C247" i="4" s="1"/>
  <c r="E414" i="5"/>
  <c r="D414" i="5"/>
  <c r="C414" i="5"/>
  <c r="B414" i="5"/>
  <c r="B247" i="4" l="1"/>
  <c r="D247" i="4"/>
  <c r="H247" i="4" s="1"/>
  <c r="A415" i="5"/>
  <c r="B75" i="6"/>
  <c r="E247" i="4" l="1"/>
  <c r="F247" i="4" s="1"/>
  <c r="G247" i="4" s="1"/>
  <c r="B415" i="5"/>
  <c r="E415" i="5"/>
  <c r="A416" i="5" s="1"/>
  <c r="D415" i="5"/>
  <c r="C415" i="5"/>
  <c r="F247" i="5" l="1"/>
  <c r="A248" i="4"/>
  <c r="D416" i="5"/>
  <c r="B416" i="5"/>
  <c r="E416" i="5"/>
  <c r="A417" i="5" s="1"/>
  <c r="C416" i="5"/>
  <c r="C248" i="4" l="1"/>
  <c r="B248" i="4"/>
  <c r="D248" i="4"/>
  <c r="H248" i="4" s="1"/>
  <c r="D417" i="5"/>
  <c r="C417" i="5"/>
  <c r="E417" i="5"/>
  <c r="A418" i="5" s="1"/>
  <c r="B417" i="5"/>
  <c r="E248" i="4" l="1"/>
  <c r="F248" i="4" s="1"/>
  <c r="G248" i="4" s="1"/>
  <c r="A249" i="4" s="1"/>
  <c r="C249" i="4" s="1"/>
  <c r="D418" i="5"/>
  <c r="C418" i="5"/>
  <c r="B418" i="5"/>
  <c r="E418" i="5"/>
  <c r="A419" i="5" s="1"/>
  <c r="F248" i="5" l="1"/>
  <c r="B249" i="4"/>
  <c r="D249" i="4"/>
  <c r="H249" i="4" s="1"/>
  <c r="E419" i="5"/>
  <c r="A420" i="5" s="1"/>
  <c r="D419" i="5"/>
  <c r="C419" i="5"/>
  <c r="B419" i="5"/>
  <c r="E249" i="4" l="1"/>
  <c r="F249" i="4" s="1"/>
  <c r="G249" i="4" s="1"/>
  <c r="D420" i="5"/>
  <c r="E420" i="5"/>
  <c r="A421" i="5" s="1"/>
  <c r="B420" i="5"/>
  <c r="C420" i="5"/>
  <c r="A250" i="4" l="1"/>
  <c r="F249" i="5"/>
  <c r="E421" i="5"/>
  <c r="A422" i="5" s="1"/>
  <c r="D421" i="5"/>
  <c r="C421" i="5"/>
  <c r="B421" i="5"/>
  <c r="D250" i="4" l="1"/>
  <c r="H250" i="4" s="1"/>
  <c r="C250" i="4"/>
  <c r="B250" i="4"/>
  <c r="B422" i="5"/>
  <c r="E422" i="5"/>
  <c r="A423" i="5" s="1"/>
  <c r="D422" i="5"/>
  <c r="C422" i="5"/>
  <c r="E250" i="4" l="1"/>
  <c r="F250" i="4" s="1"/>
  <c r="G250" i="4" s="1"/>
  <c r="F250" i="5" s="1"/>
  <c r="B423" i="5"/>
  <c r="E423" i="5"/>
  <c r="A424" i="5" s="1"/>
  <c r="D423" i="5"/>
  <c r="C423" i="5"/>
  <c r="A251" i="4" l="1"/>
  <c r="D424" i="5"/>
  <c r="E424" i="5"/>
  <c r="A425" i="5" s="1"/>
  <c r="C424" i="5"/>
  <c r="B424" i="5"/>
  <c r="D251" i="4" l="1"/>
  <c r="H251" i="4" s="1"/>
  <c r="C251" i="4"/>
  <c r="E251" i="4" s="1"/>
  <c r="F251" i="4" s="1"/>
  <c r="G251" i="4" s="1"/>
  <c r="B251" i="4"/>
  <c r="B425" i="5"/>
  <c r="D425" i="5"/>
  <c r="C425" i="5"/>
  <c r="E425" i="5"/>
  <c r="A426" i="5" s="1"/>
  <c r="A252" i="4" l="1"/>
  <c r="F251" i="5"/>
  <c r="E426" i="5"/>
  <c r="C426" i="5"/>
  <c r="D426" i="5"/>
  <c r="B426" i="5"/>
  <c r="B252" i="4" l="1"/>
  <c r="D252" i="4"/>
  <c r="H252" i="4" s="1"/>
  <c r="C252" i="4"/>
  <c r="E252" i="4" s="1"/>
  <c r="F252" i="4" s="1"/>
  <c r="G252" i="4" s="1"/>
  <c r="A253" i="4" s="1"/>
  <c r="C253" i="4" s="1"/>
  <c r="A427" i="5"/>
  <c r="B76" i="6"/>
  <c r="F252" i="5" l="1"/>
  <c r="B253" i="4"/>
  <c r="D253" i="4"/>
  <c r="H253" i="4" s="1"/>
  <c r="E253" i="4"/>
  <c r="F253" i="4" s="1"/>
  <c r="G253" i="4" s="1"/>
  <c r="E427" i="5"/>
  <c r="A428" i="5" s="1"/>
  <c r="C427" i="5"/>
  <c r="B427" i="5"/>
  <c r="D427" i="5"/>
  <c r="D428" i="5" l="1"/>
  <c r="B428" i="5"/>
  <c r="E428" i="5"/>
  <c r="A429" i="5" s="1"/>
  <c r="C428" i="5"/>
  <c r="A254" i="4"/>
  <c r="F253" i="5"/>
  <c r="C254" i="4" l="1"/>
  <c r="B254" i="4"/>
  <c r="D254" i="4"/>
  <c r="H254" i="4" s="1"/>
  <c r="D429" i="5"/>
  <c r="B429" i="5"/>
  <c r="E429" i="5"/>
  <c r="A430" i="5" s="1"/>
  <c r="C429" i="5"/>
  <c r="E254" i="4" l="1"/>
  <c r="F254" i="4" s="1"/>
  <c r="G254" i="4" s="1"/>
  <c r="D430" i="5"/>
  <c r="E430" i="5"/>
  <c r="A431" i="5" s="1"/>
  <c r="B430" i="5"/>
  <c r="C430" i="5"/>
  <c r="D431" i="5" l="1"/>
  <c r="C431" i="5"/>
  <c r="E431" i="5"/>
  <c r="A432" i="5" s="1"/>
  <c r="B431" i="5"/>
  <c r="A255" i="4"/>
  <c r="F254" i="5"/>
  <c r="C255" i="4" l="1"/>
  <c r="D255" i="4"/>
  <c r="H255" i="4" s="1"/>
  <c r="B255" i="4"/>
  <c r="D432" i="5"/>
  <c r="E432" i="5"/>
  <c r="A433" i="5" s="1"/>
  <c r="C432" i="5"/>
  <c r="B432" i="5"/>
  <c r="E255" i="4" l="1"/>
  <c r="F255" i="4" s="1"/>
  <c r="G255" i="4" s="1"/>
  <c r="A256" i="4" s="1"/>
  <c r="D433" i="5"/>
  <c r="E433" i="5"/>
  <c r="A434" i="5" s="1"/>
  <c r="C433" i="5"/>
  <c r="B433" i="5"/>
  <c r="F255" i="5" l="1"/>
  <c r="D256" i="4"/>
  <c r="H256" i="4" s="1"/>
  <c r="B256" i="4"/>
  <c r="C256" i="4"/>
  <c r="B434" i="5"/>
  <c r="E434" i="5"/>
  <c r="A435" i="5" s="1"/>
  <c r="D434" i="5"/>
  <c r="C434" i="5"/>
  <c r="E256" i="4" l="1"/>
  <c r="F256" i="4" s="1"/>
  <c r="G256" i="4" s="1"/>
  <c r="A257" i="4" s="1"/>
  <c r="E435" i="5"/>
  <c r="A436" i="5" s="1"/>
  <c r="D435" i="5"/>
  <c r="C435" i="5"/>
  <c r="B435" i="5"/>
  <c r="F256" i="5" l="1"/>
  <c r="D436" i="5"/>
  <c r="B436" i="5"/>
  <c r="E436" i="5"/>
  <c r="A437" i="5" s="1"/>
  <c r="C436" i="5"/>
  <c r="C257" i="4"/>
  <c r="B257" i="4"/>
  <c r="D257" i="4"/>
  <c r="H257" i="4" s="1"/>
  <c r="E257" i="4" l="1"/>
  <c r="F257" i="4" s="1"/>
  <c r="G257" i="4" s="1"/>
  <c r="A258" i="4" s="1"/>
  <c r="D437" i="5"/>
  <c r="B437" i="5"/>
  <c r="E437" i="5"/>
  <c r="A438" i="5" s="1"/>
  <c r="C437" i="5"/>
  <c r="F257" i="5" l="1"/>
  <c r="B438" i="5"/>
  <c r="E438" i="5"/>
  <c r="D438" i="5"/>
  <c r="C438" i="5"/>
  <c r="B258" i="4"/>
  <c r="D258" i="4"/>
  <c r="H258" i="4" s="1"/>
  <c r="C258" i="4"/>
  <c r="E258" i="4" l="1"/>
  <c r="F258" i="4" s="1"/>
  <c r="G258" i="4" s="1"/>
  <c r="A439" i="5"/>
  <c r="B77" i="6"/>
  <c r="A259" i="4" l="1"/>
  <c r="C62" i="6"/>
  <c r="F258" i="5"/>
  <c r="B439" i="5"/>
  <c r="E439" i="5"/>
  <c r="A440" i="5" s="1"/>
  <c r="D439" i="5"/>
  <c r="C439" i="5"/>
  <c r="D440" i="5" l="1"/>
  <c r="C440" i="5"/>
  <c r="E440" i="5"/>
  <c r="A441" i="5" s="1"/>
  <c r="B440" i="5"/>
  <c r="C259" i="4"/>
  <c r="D259" i="4"/>
  <c r="H259" i="4" s="1"/>
  <c r="B259" i="4"/>
  <c r="E259" i="4" l="1"/>
  <c r="F259" i="4" s="1"/>
  <c r="G259" i="4" s="1"/>
  <c r="B441" i="5"/>
  <c r="C441" i="5"/>
  <c r="D441" i="5"/>
  <c r="E441" i="5"/>
  <c r="A442" i="5" s="1"/>
  <c r="A260" i="4" l="1"/>
  <c r="F259" i="5"/>
  <c r="D442" i="5"/>
  <c r="B442" i="5"/>
  <c r="E442" i="5"/>
  <c r="A443" i="5" s="1"/>
  <c r="C442" i="5"/>
  <c r="E443" i="5" l="1"/>
  <c r="A444" i="5" s="1"/>
  <c r="D443" i="5"/>
  <c r="C443" i="5"/>
  <c r="B443" i="5"/>
  <c r="C260" i="4"/>
  <c r="B260" i="4"/>
  <c r="D260" i="4"/>
  <c r="H260" i="4" s="1"/>
  <c r="E260" i="4" l="1"/>
  <c r="F260" i="4" s="1"/>
  <c r="G260" i="4" s="1"/>
  <c r="A261" i="4" s="1"/>
  <c r="D444" i="5"/>
  <c r="C444" i="5"/>
  <c r="B444" i="5"/>
  <c r="E444" i="5"/>
  <c r="A445" i="5" s="1"/>
  <c r="F260" i="5" l="1"/>
  <c r="E445" i="5"/>
  <c r="A446" i="5" s="1"/>
  <c r="C445" i="5"/>
  <c r="D445" i="5"/>
  <c r="B445" i="5"/>
  <c r="B261" i="4"/>
  <c r="D261" i="4"/>
  <c r="H261" i="4" s="1"/>
  <c r="C261" i="4"/>
  <c r="E261" i="4" l="1"/>
  <c r="F261" i="4" s="1"/>
  <c r="G261" i="4" s="1"/>
  <c r="D446" i="5"/>
  <c r="E446" i="5"/>
  <c r="A447" i="5" s="1"/>
  <c r="C446" i="5"/>
  <c r="B446" i="5"/>
  <c r="A262" i="4" l="1"/>
  <c r="F261" i="5"/>
  <c r="E447" i="5"/>
  <c r="A448" i="5" s="1"/>
  <c r="D447" i="5"/>
  <c r="C447" i="5"/>
  <c r="B447" i="5"/>
  <c r="C262" i="4" l="1"/>
  <c r="D262" i="4"/>
  <c r="H262" i="4" s="1"/>
  <c r="B262" i="4"/>
  <c r="D448" i="5"/>
  <c r="B448" i="5"/>
  <c r="E448" i="5"/>
  <c r="A449" i="5" s="1"/>
  <c r="C448" i="5"/>
  <c r="E262" i="4" l="1"/>
  <c r="F262" i="4" s="1"/>
  <c r="G262" i="4" s="1"/>
  <c r="E449" i="5"/>
  <c r="A450" i="5" s="1"/>
  <c r="D449" i="5"/>
  <c r="C449" i="5"/>
  <c r="B449" i="5"/>
  <c r="A263" i="4" l="1"/>
  <c r="F262" i="5"/>
  <c r="D450" i="5"/>
  <c r="C450" i="5"/>
  <c r="B450" i="5"/>
  <c r="E450" i="5"/>
  <c r="A451" i="5" l="1"/>
  <c r="B78" i="6"/>
  <c r="C263" i="4"/>
  <c r="B263" i="4"/>
  <c r="D263" i="4"/>
  <c r="H263" i="4" s="1"/>
  <c r="E263" i="4" l="1"/>
  <c r="F263" i="4" s="1"/>
  <c r="G263" i="4" s="1"/>
  <c r="A264" i="4" s="1"/>
  <c r="B451" i="5"/>
  <c r="E451" i="5"/>
  <c r="A452" i="5" s="1"/>
  <c r="C451" i="5"/>
  <c r="D451" i="5"/>
  <c r="F263" i="5" l="1"/>
  <c r="D452" i="5"/>
  <c r="C452" i="5"/>
  <c r="E452" i="5"/>
  <c r="A453" i="5" s="1"/>
  <c r="B452" i="5"/>
  <c r="C264" i="4"/>
  <c r="D264" i="4"/>
  <c r="B264" i="4"/>
  <c r="E264" i="4" l="1"/>
  <c r="F264" i="4" s="1"/>
  <c r="G264" i="4" s="1"/>
  <c r="A265" i="4" s="1"/>
  <c r="H264" i="4"/>
  <c r="D453" i="5"/>
  <c r="C453" i="5"/>
  <c r="B453" i="5"/>
  <c r="E453" i="5"/>
  <c r="A454" i="5" s="1"/>
  <c r="F264" i="5" l="1"/>
  <c r="E454" i="5"/>
  <c r="A455" i="5" s="1"/>
  <c r="D454" i="5"/>
  <c r="C454" i="5"/>
  <c r="B454" i="5"/>
  <c r="C265" i="4"/>
  <c r="D265" i="4"/>
  <c r="H265" i="4" s="1"/>
  <c r="B265" i="4"/>
  <c r="E265" i="4" l="1"/>
  <c r="F265" i="4" s="1"/>
  <c r="G265" i="4" s="1"/>
  <c r="D455" i="5"/>
  <c r="B455" i="5"/>
  <c r="C455" i="5"/>
  <c r="E455" i="5"/>
  <c r="A456" i="5" s="1"/>
  <c r="D456" i="5" l="1"/>
  <c r="E456" i="5"/>
  <c r="A457" i="5" s="1"/>
  <c r="C456" i="5"/>
  <c r="B456" i="5"/>
  <c r="A266" i="4"/>
  <c r="F265" i="5"/>
  <c r="C266" i="4" l="1"/>
  <c r="B266" i="4"/>
  <c r="D266" i="4"/>
  <c r="H266" i="4" s="1"/>
  <c r="B457" i="5"/>
  <c r="E457" i="5"/>
  <c r="A458" i="5" s="1"/>
  <c r="D457" i="5"/>
  <c r="C457" i="5"/>
  <c r="E266" i="4" l="1"/>
  <c r="F266" i="4" s="1"/>
  <c r="G266" i="4" s="1"/>
  <c r="A267" i="4" s="1"/>
  <c r="B458" i="5"/>
  <c r="E458" i="5"/>
  <c r="A459" i="5" s="1"/>
  <c r="D458" i="5"/>
  <c r="C458" i="5"/>
  <c r="F266" i="5" l="1"/>
  <c r="D459" i="5"/>
  <c r="C459" i="5"/>
  <c r="E459" i="5"/>
  <c r="A460" i="5" s="1"/>
  <c r="B459" i="5"/>
  <c r="B267" i="4"/>
  <c r="D267" i="4"/>
  <c r="H267" i="4" s="1"/>
  <c r="C267" i="4"/>
  <c r="E267" i="4" l="1"/>
  <c r="F267" i="4" s="1"/>
  <c r="G267" i="4" s="1"/>
  <c r="D460" i="5"/>
  <c r="B460" i="5"/>
  <c r="E460" i="5"/>
  <c r="A461" i="5" s="1"/>
  <c r="C460" i="5"/>
  <c r="A268" i="4" l="1"/>
  <c r="C268" i="4" s="1"/>
  <c r="F267" i="5"/>
  <c r="C461" i="5"/>
  <c r="B461" i="5"/>
  <c r="E461" i="5"/>
  <c r="A462" i="5" s="1"/>
  <c r="D461" i="5"/>
  <c r="E268" i="4" l="1"/>
  <c r="F268" i="4" s="1"/>
  <c r="G268" i="4" s="1"/>
  <c r="A269" i="4" s="1"/>
  <c r="B268" i="4"/>
  <c r="D268" i="4"/>
  <c r="H268" i="4" s="1"/>
  <c r="E462" i="5"/>
  <c r="D462" i="5"/>
  <c r="C462" i="5"/>
  <c r="B462" i="5"/>
  <c r="F268" i="5" l="1"/>
  <c r="B79" i="6"/>
  <c r="A463" i="5"/>
  <c r="C269" i="4"/>
  <c r="B269" i="4"/>
  <c r="D269" i="4"/>
  <c r="H269" i="4" s="1"/>
  <c r="E269" i="4" l="1"/>
  <c r="F269" i="4" s="1"/>
  <c r="G269" i="4" s="1"/>
  <c r="E463" i="5"/>
  <c r="A464" i="5" s="1"/>
  <c r="D463" i="5"/>
  <c r="C463" i="5"/>
  <c r="B463" i="5"/>
  <c r="D464" i="5" l="1"/>
  <c r="B464" i="5"/>
  <c r="C464" i="5"/>
  <c r="E464" i="5"/>
  <c r="A465" i="5" s="1"/>
  <c r="A270" i="4"/>
  <c r="F269" i="5"/>
  <c r="D270" i="4" l="1"/>
  <c r="H270" i="4" s="1"/>
  <c r="C270" i="4"/>
  <c r="B270" i="4"/>
  <c r="B465" i="5"/>
  <c r="E465" i="5"/>
  <c r="A466" i="5" s="1"/>
  <c r="D465" i="5"/>
  <c r="C465" i="5"/>
  <c r="E270" i="4" l="1"/>
  <c r="F270" i="4" s="1"/>
  <c r="G270" i="4" s="1"/>
  <c r="F270" i="5" s="1"/>
  <c r="D466" i="5"/>
  <c r="C466" i="5"/>
  <c r="B466" i="5"/>
  <c r="E466" i="5"/>
  <c r="A467" i="5" s="1"/>
  <c r="A271" i="4" l="1"/>
  <c r="C271" i="4" s="1"/>
  <c r="C63" i="6"/>
  <c r="B467" i="5"/>
  <c r="E467" i="5"/>
  <c r="A468" i="5" s="1"/>
  <c r="D467" i="5"/>
  <c r="C467" i="5"/>
  <c r="D271" i="4"/>
  <c r="H271" i="4" s="1"/>
  <c r="B271" i="4"/>
  <c r="E271" i="4" l="1"/>
  <c r="F271" i="4" s="1"/>
  <c r="G271" i="4" s="1"/>
  <c r="A272" i="4" s="1"/>
  <c r="D468" i="5"/>
  <c r="E468" i="5"/>
  <c r="A469" i="5" s="1"/>
  <c r="B468" i="5"/>
  <c r="C468" i="5"/>
  <c r="F271" i="5" l="1"/>
  <c r="E469" i="5"/>
  <c r="A470" i="5" s="1"/>
  <c r="C469" i="5"/>
  <c r="D469" i="5"/>
  <c r="B469" i="5"/>
  <c r="C272" i="4"/>
  <c r="B272" i="4"/>
  <c r="D272" i="4"/>
  <c r="H272" i="4" s="1"/>
  <c r="E272" i="4" l="1"/>
  <c r="F272" i="4" s="1"/>
  <c r="G272" i="4" s="1"/>
  <c r="F272" i="5" s="1"/>
  <c r="E470" i="5"/>
  <c r="A471" i="5" s="1"/>
  <c r="D470" i="5"/>
  <c r="C470" i="5"/>
  <c r="B470" i="5"/>
  <c r="A273" i="4" l="1"/>
  <c r="D273" i="4" s="1"/>
  <c r="H273" i="4" s="1"/>
  <c r="E471" i="5"/>
  <c r="A472" i="5" s="1"/>
  <c r="D471" i="5"/>
  <c r="C471" i="5"/>
  <c r="B471" i="5"/>
  <c r="C273" i="4"/>
  <c r="B273" i="4" l="1"/>
  <c r="E273" i="4"/>
  <c r="F273" i="4" s="1"/>
  <c r="G273" i="4" s="1"/>
  <c r="A274" i="4" s="1"/>
  <c r="D472" i="5"/>
  <c r="E472" i="5"/>
  <c r="A473" i="5" s="1"/>
  <c r="C472" i="5"/>
  <c r="B472" i="5"/>
  <c r="F273" i="5" l="1"/>
  <c r="B473" i="5"/>
  <c r="D473" i="5"/>
  <c r="E473" i="5"/>
  <c r="A474" i="5" s="1"/>
  <c r="C473" i="5"/>
  <c r="D274" i="4"/>
  <c r="H274" i="4" s="1"/>
  <c r="C274" i="4"/>
  <c r="B274" i="4"/>
  <c r="E274" i="4" l="1"/>
  <c r="F274" i="4" s="1"/>
  <c r="G274" i="4" s="1"/>
  <c r="D474" i="5"/>
  <c r="C474" i="5"/>
  <c r="E474" i="5"/>
  <c r="B474" i="5"/>
  <c r="A275" i="4" l="1"/>
  <c r="F274" i="5"/>
  <c r="A475" i="5"/>
  <c r="B80" i="6"/>
  <c r="E275" i="4" l="1"/>
  <c r="C275" i="4"/>
  <c r="B275" i="4"/>
  <c r="F275" i="5"/>
  <c r="F275" i="4"/>
  <c r="D275" i="4"/>
  <c r="G275" i="4"/>
  <c r="A276" i="4" s="1"/>
  <c r="H275" i="4"/>
  <c r="E475" i="5"/>
  <c r="A476" i="5" s="1"/>
  <c r="D475" i="5"/>
  <c r="C475" i="5"/>
  <c r="B475" i="5"/>
  <c r="D476" i="5" l="1"/>
  <c r="E476" i="5"/>
  <c r="A477" i="5" s="1"/>
  <c r="C476" i="5"/>
  <c r="B476" i="5"/>
  <c r="H276" i="4"/>
  <c r="D276" i="4"/>
  <c r="F276" i="5"/>
  <c r="F276" i="4"/>
  <c r="G276" i="4"/>
  <c r="A277" i="4" s="1"/>
  <c r="E276" i="4"/>
  <c r="C276" i="4"/>
  <c r="B276" i="4"/>
  <c r="F277" i="5" l="1"/>
  <c r="G277" i="4"/>
  <c r="A278" i="4" s="1"/>
  <c r="C277" i="4"/>
  <c r="D277" i="4"/>
  <c r="B277" i="4"/>
  <c r="H277" i="4"/>
  <c r="F277" i="4"/>
  <c r="E277" i="4"/>
  <c r="D477" i="5"/>
  <c r="B477" i="5"/>
  <c r="C477" i="5"/>
  <c r="E477" i="5"/>
  <c r="A478" i="5" s="1"/>
  <c r="E478" i="5" l="1"/>
  <c r="A479" i="5" s="1"/>
  <c r="C478" i="5"/>
  <c r="B478" i="5"/>
  <c r="D478" i="5"/>
  <c r="F278" i="5"/>
  <c r="E278" i="4"/>
  <c r="C278" i="4"/>
  <c r="B278" i="4"/>
  <c r="G278" i="4"/>
  <c r="A279" i="4" s="1"/>
  <c r="F278" i="4"/>
  <c r="D278" i="4"/>
  <c r="H278" i="4"/>
  <c r="F279" i="5" l="1"/>
  <c r="E279" i="4"/>
  <c r="H279" i="4"/>
  <c r="D279" i="4"/>
  <c r="G279" i="4"/>
  <c r="A280" i="4" s="1"/>
  <c r="B279" i="4"/>
  <c r="F279" i="4"/>
  <c r="C279" i="4"/>
  <c r="B479" i="5"/>
  <c r="E479" i="5"/>
  <c r="A480" i="5" s="1"/>
  <c r="D479" i="5"/>
  <c r="C479" i="5"/>
  <c r="D480" i="5" l="1"/>
  <c r="C480" i="5"/>
  <c r="E480" i="5"/>
  <c r="A481" i="5" s="1"/>
  <c r="B480" i="5"/>
  <c r="F280" i="5"/>
  <c r="F280" i="4"/>
  <c r="G280" i="4"/>
  <c r="A281" i="4" s="1"/>
  <c r="D280" i="4"/>
  <c r="H280" i="4"/>
  <c r="E280" i="4"/>
  <c r="C280" i="4"/>
  <c r="B280" i="4"/>
  <c r="F281" i="5" l="1"/>
  <c r="E281" i="4"/>
  <c r="C281" i="4"/>
  <c r="B281" i="4"/>
  <c r="G281" i="4"/>
  <c r="A282" i="4" s="1"/>
  <c r="D281" i="4"/>
  <c r="F281" i="4"/>
  <c r="H281" i="4"/>
  <c r="D481" i="5"/>
  <c r="E481" i="5"/>
  <c r="A482" i="5" s="1"/>
  <c r="C481" i="5"/>
  <c r="B481" i="5"/>
  <c r="F282" i="5" l="1"/>
  <c r="H282" i="4"/>
  <c r="G282" i="4"/>
  <c r="F282" i="4"/>
  <c r="E282" i="4"/>
  <c r="C282" i="4"/>
  <c r="D282" i="4"/>
  <c r="B282" i="4"/>
  <c r="E482" i="5"/>
  <c r="A483" i="5" s="1"/>
  <c r="D482" i="5"/>
  <c r="C482" i="5"/>
  <c r="B482" i="5"/>
  <c r="E483" i="5" l="1"/>
  <c r="A484" i="5" s="1"/>
  <c r="C483" i="5"/>
  <c r="D483" i="5"/>
  <c r="B483" i="5"/>
  <c r="C64" i="6"/>
  <c r="A283" i="4"/>
  <c r="F283" i="5" l="1"/>
  <c r="B283" i="4"/>
  <c r="D283" i="4"/>
  <c r="H283" i="4"/>
  <c r="G283" i="4"/>
  <c r="A284" i="4" s="1"/>
  <c r="F283" i="4"/>
  <c r="C283" i="4"/>
  <c r="E283" i="4"/>
  <c r="D484" i="5"/>
  <c r="B484" i="5"/>
  <c r="E484" i="5"/>
  <c r="A485" i="5" s="1"/>
  <c r="C484" i="5"/>
  <c r="E485" i="5" l="1"/>
  <c r="A486" i="5" s="1"/>
  <c r="D485" i="5"/>
  <c r="C485" i="5"/>
  <c r="B485" i="5"/>
  <c r="F284" i="5"/>
  <c r="E284" i="4"/>
  <c r="C284" i="4"/>
  <c r="B284" i="4"/>
  <c r="H284" i="4"/>
  <c r="G284" i="4"/>
  <c r="A285" i="4" s="1"/>
  <c r="F284" i="4"/>
  <c r="D284" i="4"/>
  <c r="F285" i="5" l="1"/>
  <c r="B285" i="4"/>
  <c r="E285" i="4"/>
  <c r="H285" i="4"/>
  <c r="C285" i="4"/>
  <c r="G285" i="4"/>
  <c r="A286" i="4" s="1"/>
  <c r="F285" i="4"/>
  <c r="D285" i="4"/>
  <c r="B486" i="5"/>
  <c r="E486" i="5"/>
  <c r="C486" i="5"/>
  <c r="D486" i="5"/>
  <c r="F286" i="5" l="1"/>
  <c r="H286" i="4"/>
  <c r="F286" i="4"/>
  <c r="G286" i="4"/>
  <c r="A287" i="4" s="1"/>
  <c r="E286" i="4"/>
  <c r="D286" i="4"/>
  <c r="B286" i="4"/>
  <c r="C286" i="4"/>
  <c r="A487" i="5"/>
  <c r="B81" i="6"/>
  <c r="F287" i="5" l="1"/>
  <c r="E287" i="4"/>
  <c r="C287" i="4"/>
  <c r="B287" i="4"/>
  <c r="G287" i="4"/>
  <c r="A288" i="4" s="1"/>
  <c r="H287" i="4"/>
  <c r="F287" i="4"/>
  <c r="D287" i="4"/>
  <c r="E487" i="5"/>
  <c r="A488" i="5" s="1"/>
  <c r="D487" i="5"/>
  <c r="C487" i="5"/>
  <c r="B487" i="5"/>
  <c r="D488" i="5" l="1"/>
  <c r="E488" i="5"/>
  <c r="A489" i="5" s="1"/>
  <c r="C488" i="5"/>
  <c r="B488" i="5"/>
  <c r="F288" i="5"/>
  <c r="E288" i="4"/>
  <c r="C288" i="4"/>
  <c r="H288" i="4"/>
  <c r="G288" i="4"/>
  <c r="A289" i="4" s="1"/>
  <c r="D288" i="4"/>
  <c r="F288" i="4"/>
  <c r="B288" i="4"/>
  <c r="F289" i="5" l="1"/>
  <c r="C289" i="4"/>
  <c r="H289" i="4"/>
  <c r="D289" i="4"/>
  <c r="B289" i="4"/>
  <c r="E289" i="4"/>
  <c r="G289" i="4"/>
  <c r="A290" i="4" s="1"/>
  <c r="F289" i="4"/>
  <c r="C489" i="5"/>
  <c r="E489" i="5"/>
  <c r="A490" i="5" s="1"/>
  <c r="D489" i="5"/>
  <c r="B489" i="5"/>
  <c r="D490" i="5" l="1"/>
  <c r="B490" i="5"/>
  <c r="E490" i="5"/>
  <c r="A491" i="5" s="1"/>
  <c r="C490" i="5"/>
  <c r="F290" i="5"/>
  <c r="E290" i="4"/>
  <c r="C290" i="4"/>
  <c r="B290" i="4"/>
  <c r="F290" i="4"/>
  <c r="H290" i="4"/>
  <c r="G290" i="4"/>
  <c r="A291" i="4" s="1"/>
  <c r="D290" i="4"/>
  <c r="F291" i="5" l="1"/>
  <c r="H291" i="4"/>
  <c r="F291" i="4"/>
  <c r="B291" i="4"/>
  <c r="E291" i="4"/>
  <c r="G291" i="4"/>
  <c r="A292" i="4" s="1"/>
  <c r="D291" i="4"/>
  <c r="C291" i="4"/>
  <c r="E491" i="5"/>
  <c r="A492" i="5" s="1"/>
  <c r="C491" i="5"/>
  <c r="B491" i="5"/>
  <c r="D491" i="5"/>
  <c r="D492" i="5" l="1"/>
  <c r="E492" i="5"/>
  <c r="A493" i="5" s="1"/>
  <c r="C492" i="5"/>
  <c r="B492" i="5"/>
  <c r="F292" i="5"/>
  <c r="F292" i="4"/>
  <c r="G292" i="4"/>
  <c r="A293" i="4" s="1"/>
  <c r="E292" i="4"/>
  <c r="D292" i="4"/>
  <c r="C292" i="4"/>
  <c r="B292" i="4"/>
  <c r="H292" i="4"/>
  <c r="F293" i="5" l="1"/>
  <c r="E293" i="4"/>
  <c r="C293" i="4"/>
  <c r="B293" i="4"/>
  <c r="G293" i="4"/>
  <c r="A294" i="4" s="1"/>
  <c r="F293" i="4"/>
  <c r="H293" i="4"/>
  <c r="D293" i="4"/>
  <c r="D493" i="5"/>
  <c r="C493" i="5"/>
  <c r="E493" i="5"/>
  <c r="A494" i="5" s="1"/>
  <c r="B493" i="5"/>
  <c r="D494" i="5" l="1"/>
  <c r="E494" i="5"/>
  <c r="A495" i="5" s="1"/>
  <c r="C494" i="5"/>
  <c r="B494" i="5"/>
  <c r="F294" i="5"/>
  <c r="E294" i="4"/>
  <c r="D294" i="4"/>
  <c r="C294" i="4"/>
  <c r="H294" i="4"/>
  <c r="G294" i="4"/>
  <c r="F294" i="4"/>
  <c r="B294" i="4"/>
  <c r="A295" i="4" l="1"/>
  <c r="C65" i="6"/>
  <c r="E495" i="5"/>
  <c r="A496" i="5" s="1"/>
  <c r="D495" i="5"/>
  <c r="C495" i="5"/>
  <c r="B495" i="5"/>
  <c r="D496" i="5" l="1"/>
  <c r="E496" i="5"/>
  <c r="A497" i="5" s="1"/>
  <c r="C496" i="5"/>
  <c r="B496" i="5"/>
  <c r="F295" i="5"/>
  <c r="C295" i="4"/>
  <c r="D295" i="4"/>
  <c r="B295" i="4"/>
  <c r="E295" i="4"/>
  <c r="H295" i="4"/>
  <c r="G295" i="4"/>
  <c r="A296" i="4" s="1"/>
  <c r="F295" i="4"/>
  <c r="F296" i="5" l="1"/>
  <c r="E296" i="4"/>
  <c r="C296" i="4"/>
  <c r="B296" i="4"/>
  <c r="G296" i="4"/>
  <c r="A297" i="4" s="1"/>
  <c r="H296" i="4"/>
  <c r="D296" i="4"/>
  <c r="F296" i="4"/>
  <c r="E497" i="5"/>
  <c r="A498" i="5" s="1"/>
  <c r="D497" i="5"/>
  <c r="C497" i="5"/>
  <c r="B497" i="5"/>
  <c r="B498" i="5" l="1"/>
  <c r="E498" i="5"/>
  <c r="A499" i="5" s="1"/>
  <c r="D498" i="5"/>
  <c r="C498" i="5"/>
  <c r="F297" i="5"/>
  <c r="H297" i="4"/>
  <c r="B297" i="4"/>
  <c r="G297" i="4"/>
  <c r="A298" i="4" s="1"/>
  <c r="F297" i="4"/>
  <c r="E297" i="4"/>
  <c r="D297" i="4"/>
  <c r="C297" i="4"/>
  <c r="F298" i="5" l="1"/>
  <c r="F298" i="4"/>
  <c r="D298" i="4"/>
  <c r="G298" i="4"/>
  <c r="A299" i="4" s="1"/>
  <c r="E298" i="4"/>
  <c r="H298" i="4"/>
  <c r="C298" i="4"/>
  <c r="B298" i="4"/>
  <c r="B499" i="5"/>
  <c r="C499" i="5"/>
  <c r="D499" i="5"/>
  <c r="E499" i="5"/>
  <c r="A500" i="5" s="1"/>
  <c r="D500" i="5" l="1"/>
  <c r="E500" i="5"/>
  <c r="A501" i="5" s="1"/>
  <c r="C500" i="5"/>
  <c r="B500" i="5"/>
  <c r="E299" i="4"/>
  <c r="C299" i="4"/>
  <c r="B299" i="4"/>
  <c r="F299" i="5"/>
  <c r="H299" i="4"/>
  <c r="G299" i="4"/>
  <c r="A300" i="4" s="1"/>
  <c r="F299" i="4"/>
  <c r="D299" i="4"/>
  <c r="F300" i="5" l="1"/>
  <c r="H300" i="4"/>
  <c r="E300" i="4"/>
  <c r="G300" i="4"/>
  <c r="A301" i="4" s="1"/>
  <c r="F300" i="4"/>
  <c r="D300" i="4"/>
  <c r="C300" i="4"/>
  <c r="B300" i="4"/>
  <c r="E501" i="5"/>
  <c r="A502" i="5" s="1"/>
  <c r="D501" i="5"/>
  <c r="C501" i="5"/>
  <c r="B501" i="5"/>
  <c r="F301" i="5" l="1"/>
  <c r="G301" i="4"/>
  <c r="A302" i="4" s="1"/>
  <c r="C301" i="4"/>
  <c r="H301" i="4"/>
  <c r="F301" i="4"/>
  <c r="E301" i="4"/>
  <c r="B301" i="4"/>
  <c r="D301" i="4"/>
  <c r="D502" i="5"/>
  <c r="E502" i="5"/>
  <c r="A503" i="5" s="1"/>
  <c r="C502" i="5"/>
  <c r="B502" i="5"/>
  <c r="E503" i="5" l="1"/>
  <c r="A504" i="5" s="1"/>
  <c r="C503" i="5"/>
  <c r="D503" i="5"/>
  <c r="B503" i="5"/>
  <c r="F302" i="5"/>
  <c r="E302" i="4"/>
  <c r="C302" i="4"/>
  <c r="B302" i="4"/>
  <c r="D302" i="4"/>
  <c r="H302" i="4"/>
  <c r="G302" i="4"/>
  <c r="A303" i="4" s="1"/>
  <c r="F302" i="4"/>
  <c r="F303" i="5" l="1"/>
  <c r="H303" i="4"/>
  <c r="B303" i="4"/>
  <c r="C303" i="4"/>
  <c r="E303" i="4"/>
  <c r="F303" i="4"/>
  <c r="G303" i="4"/>
  <c r="A304" i="4" s="1"/>
  <c r="D303" i="4"/>
  <c r="D504" i="5"/>
  <c r="E504" i="5"/>
  <c r="A505" i="5" s="1"/>
  <c r="C504" i="5"/>
  <c r="B504" i="5"/>
  <c r="B505" i="5" l="1"/>
  <c r="C505" i="5"/>
  <c r="E505" i="5"/>
  <c r="A506" i="5" s="1"/>
  <c r="D505" i="5"/>
  <c r="F304" i="4"/>
  <c r="F304" i="5"/>
  <c r="G304" i="4"/>
  <c r="A305" i="4" s="1"/>
  <c r="E304" i="4"/>
  <c r="C304" i="4"/>
  <c r="H304" i="4"/>
  <c r="D304" i="4"/>
  <c r="B304" i="4"/>
  <c r="F305" i="5" l="1"/>
  <c r="E305" i="4"/>
  <c r="C305" i="4"/>
  <c r="B305" i="4"/>
  <c r="G305" i="4"/>
  <c r="A306" i="4" s="1"/>
  <c r="D305" i="4"/>
  <c r="H305" i="4"/>
  <c r="F305" i="4"/>
  <c r="E506" i="5"/>
  <c r="A507" i="5" s="1"/>
  <c r="D506" i="5"/>
  <c r="C506" i="5"/>
  <c r="B506" i="5"/>
  <c r="E507" i="5" l="1"/>
  <c r="A508" i="5" s="1"/>
  <c r="C507" i="5"/>
  <c r="D507" i="5"/>
  <c r="B507" i="5"/>
  <c r="F306" i="5"/>
  <c r="G306" i="4"/>
  <c r="H306" i="4"/>
  <c r="E306" i="4"/>
  <c r="D306" i="4"/>
  <c r="B306" i="4"/>
  <c r="F306" i="4"/>
  <c r="C306" i="4"/>
  <c r="A307" i="4" l="1"/>
  <c r="C66" i="6"/>
  <c r="D508" i="5"/>
  <c r="B508" i="5"/>
  <c r="E508" i="5"/>
  <c r="A509" i="5" s="1"/>
  <c r="C508" i="5"/>
  <c r="E509" i="5" l="1"/>
  <c r="A510" i="5" s="1"/>
  <c r="D509" i="5"/>
  <c r="C509" i="5"/>
  <c r="B509" i="5"/>
  <c r="F307" i="5"/>
  <c r="H307" i="4"/>
  <c r="G307" i="4"/>
  <c r="A308" i="4" s="1"/>
  <c r="F307" i="4"/>
  <c r="D307" i="4"/>
  <c r="C307" i="4"/>
  <c r="E307" i="4"/>
  <c r="B307" i="4"/>
  <c r="D510" i="5" l="1"/>
  <c r="C510" i="5"/>
  <c r="B510" i="5"/>
  <c r="E510" i="5"/>
  <c r="A511" i="5" s="1"/>
  <c r="F308" i="5"/>
  <c r="E308" i="4"/>
  <c r="C308" i="4"/>
  <c r="B308" i="4"/>
  <c r="H308" i="4"/>
  <c r="G308" i="4"/>
  <c r="A309" i="4" s="1"/>
  <c r="D308" i="4"/>
  <c r="F308" i="4"/>
  <c r="B309" i="4" l="1"/>
  <c r="F309" i="5"/>
  <c r="C309" i="4"/>
  <c r="H309" i="4"/>
  <c r="G309" i="4"/>
  <c r="A310" i="4" s="1"/>
  <c r="F309" i="4"/>
  <c r="E309" i="4"/>
  <c r="D309" i="4"/>
  <c r="E511" i="5"/>
  <c r="A512" i="5" s="1"/>
  <c r="D511" i="5"/>
  <c r="C511" i="5"/>
  <c r="B511" i="5"/>
  <c r="D512" i="5" l="1"/>
  <c r="C512" i="5"/>
  <c r="B512" i="5"/>
  <c r="E512" i="5"/>
  <c r="A513" i="5" s="1"/>
  <c r="F310" i="5"/>
  <c r="C310" i="4"/>
  <c r="B310" i="4"/>
  <c r="H310" i="4"/>
  <c r="D310" i="4"/>
  <c r="G310" i="4"/>
  <c r="A311" i="4" s="1"/>
  <c r="E310" i="4"/>
  <c r="F310" i="4"/>
  <c r="F311" i="5" l="1"/>
  <c r="E311" i="4"/>
  <c r="C311" i="4"/>
  <c r="B311" i="4"/>
  <c r="G311" i="4"/>
  <c r="A312" i="4" s="1"/>
  <c r="H311" i="4"/>
  <c r="F311" i="4"/>
  <c r="D311" i="4"/>
  <c r="B513" i="5"/>
  <c r="D513" i="5"/>
  <c r="C513" i="5"/>
  <c r="E513" i="5"/>
  <c r="A514" i="5" s="1"/>
  <c r="E514" i="5" l="1"/>
  <c r="A515" i="5" s="1"/>
  <c r="D514" i="5"/>
  <c r="C514" i="5"/>
  <c r="B514" i="5"/>
  <c r="F312" i="5"/>
  <c r="E312" i="4"/>
  <c r="C312" i="4"/>
  <c r="H312" i="4"/>
  <c r="G312" i="4"/>
  <c r="A313" i="4" s="1"/>
  <c r="D312" i="4"/>
  <c r="B312" i="4"/>
  <c r="F312" i="4"/>
  <c r="F313" i="5" l="1"/>
  <c r="D313" i="4"/>
  <c r="C313" i="4"/>
  <c r="H313" i="4"/>
  <c r="G313" i="4"/>
  <c r="A314" i="4" s="1"/>
  <c r="F313" i="4"/>
  <c r="E313" i="4"/>
  <c r="B313" i="4"/>
  <c r="E515" i="5"/>
  <c r="A516" i="5" s="1"/>
  <c r="D515" i="5"/>
  <c r="C515" i="5"/>
  <c r="B515" i="5"/>
  <c r="D516" i="5" l="1"/>
  <c r="E516" i="5"/>
  <c r="A517" i="5" s="1"/>
  <c r="B516" i="5"/>
  <c r="C516" i="5"/>
  <c r="F314" i="5"/>
  <c r="E314" i="4"/>
  <c r="C314" i="4"/>
  <c r="B314" i="4"/>
  <c r="D314" i="4"/>
  <c r="H314" i="4"/>
  <c r="G314" i="4"/>
  <c r="A315" i="4" s="1"/>
  <c r="F314" i="4"/>
  <c r="F315" i="5" l="1"/>
  <c r="H315" i="4"/>
  <c r="F315" i="4"/>
  <c r="B315" i="4"/>
  <c r="G315" i="4"/>
  <c r="A316" i="4" s="1"/>
  <c r="C315" i="4"/>
  <c r="D315" i="4"/>
  <c r="E315" i="4"/>
  <c r="E517" i="5"/>
  <c r="A518" i="5" s="1"/>
  <c r="C517" i="5"/>
  <c r="D517" i="5"/>
  <c r="B517" i="5"/>
  <c r="F316" i="5" l="1"/>
  <c r="F316" i="4"/>
  <c r="E316" i="4"/>
  <c r="C316" i="4"/>
  <c r="B316" i="4"/>
  <c r="H316" i="4"/>
  <c r="G316" i="4"/>
  <c r="A317" i="4" s="1"/>
  <c r="D316" i="4"/>
  <c r="C518" i="5"/>
  <c r="B518" i="5"/>
  <c r="E518" i="5"/>
  <c r="A519" i="5" s="1"/>
  <c r="D518" i="5"/>
  <c r="E519" i="5" l="1"/>
  <c r="A520" i="5" s="1"/>
  <c r="B519" i="5"/>
  <c r="D519" i="5"/>
  <c r="C519" i="5"/>
  <c r="E317" i="4"/>
  <c r="C317" i="4"/>
  <c r="B317" i="4"/>
  <c r="F317" i="5"/>
  <c r="F317" i="4"/>
  <c r="H317" i="4"/>
  <c r="G317" i="4"/>
  <c r="A318" i="4" s="1"/>
  <c r="D317" i="4"/>
  <c r="F318" i="5" l="1"/>
  <c r="E318" i="4"/>
  <c r="C318" i="4"/>
  <c r="B318" i="4"/>
  <c r="H318" i="4"/>
  <c r="F318" i="4"/>
  <c r="G318" i="4"/>
  <c r="D318" i="4"/>
  <c r="D520" i="5"/>
  <c r="E520" i="5"/>
  <c r="A521" i="5" s="1"/>
  <c r="C520" i="5"/>
  <c r="B520" i="5"/>
  <c r="C67" i="6" l="1"/>
  <c r="A319" i="4"/>
  <c r="E521" i="5"/>
  <c r="A522" i="5" s="1"/>
  <c r="D521" i="5"/>
  <c r="C521" i="5"/>
  <c r="B521" i="5"/>
  <c r="F319" i="5" l="1"/>
  <c r="C319" i="4"/>
  <c r="H319" i="4"/>
  <c r="G319" i="4"/>
  <c r="A320" i="4" s="1"/>
  <c r="F319" i="4"/>
  <c r="E319" i="4"/>
  <c r="D319" i="4"/>
  <c r="B319" i="4"/>
  <c r="B522" i="5"/>
  <c r="E522" i="5"/>
  <c r="A523" i="5" s="1"/>
  <c r="C522" i="5"/>
  <c r="D522" i="5"/>
  <c r="B523" i="5" l="1"/>
  <c r="E523" i="5"/>
  <c r="A524" i="5" s="1"/>
  <c r="D523" i="5"/>
  <c r="C523" i="5"/>
  <c r="F320" i="5"/>
  <c r="E320" i="4"/>
  <c r="C320" i="4"/>
  <c r="B320" i="4"/>
  <c r="G320" i="4"/>
  <c r="A321" i="4" s="1"/>
  <c r="F320" i="4"/>
  <c r="H320" i="4"/>
  <c r="D320" i="4"/>
  <c r="F321" i="5" l="1"/>
  <c r="H321" i="4"/>
  <c r="D321" i="4"/>
  <c r="C321" i="4"/>
  <c r="B321" i="4"/>
  <c r="G321" i="4"/>
  <c r="A322" i="4" s="1"/>
  <c r="F321" i="4"/>
  <c r="E321" i="4"/>
  <c r="D524" i="5"/>
  <c r="B524" i="5"/>
  <c r="E524" i="5"/>
  <c r="A525" i="5" s="1"/>
  <c r="C524" i="5"/>
  <c r="E525" i="5" l="1"/>
  <c r="A526" i="5" s="1"/>
  <c r="D525" i="5"/>
  <c r="C525" i="5"/>
  <c r="B525" i="5"/>
  <c r="F322" i="5"/>
  <c r="F322" i="4"/>
  <c r="D322" i="4"/>
  <c r="C322" i="4"/>
  <c r="H322" i="4"/>
  <c r="E322" i="4"/>
  <c r="G322" i="4"/>
  <c r="A323" i="4" s="1"/>
  <c r="B322" i="4"/>
  <c r="F323" i="5" l="1"/>
  <c r="E323" i="4"/>
  <c r="C323" i="4"/>
  <c r="B323" i="4"/>
  <c r="H323" i="4"/>
  <c r="G323" i="4"/>
  <c r="A324" i="4" s="1"/>
  <c r="D323" i="4"/>
  <c r="F323" i="4"/>
  <c r="E526" i="5"/>
  <c r="A527" i="5" s="1"/>
  <c r="C526" i="5"/>
  <c r="D526" i="5"/>
  <c r="B526" i="5"/>
  <c r="F324" i="5" l="1"/>
  <c r="E324" i="4"/>
  <c r="D324" i="4"/>
  <c r="B324" i="4"/>
  <c r="H324" i="4"/>
  <c r="G324" i="4"/>
  <c r="A325" i="4" s="1"/>
  <c r="C324" i="4"/>
  <c r="F324" i="4"/>
  <c r="D527" i="5"/>
  <c r="C527" i="5"/>
  <c r="B527" i="5"/>
  <c r="E527" i="5"/>
  <c r="A528" i="5" s="1"/>
  <c r="D528" i="5" l="1"/>
  <c r="E528" i="5"/>
  <c r="A529" i="5" s="1"/>
  <c r="B528" i="5"/>
  <c r="C528" i="5"/>
  <c r="G325" i="4"/>
  <c r="A326" i="4" s="1"/>
  <c r="C325" i="4"/>
  <c r="H325" i="4"/>
  <c r="F325" i="4"/>
  <c r="E325" i="4"/>
  <c r="D325" i="4"/>
  <c r="B325" i="4"/>
  <c r="F325" i="5"/>
  <c r="F326" i="5" l="1"/>
  <c r="E326" i="4"/>
  <c r="C326" i="4"/>
  <c r="B326" i="4"/>
  <c r="D326" i="4"/>
  <c r="H326" i="4"/>
  <c r="G326" i="4"/>
  <c r="A327" i="4" s="1"/>
  <c r="F326" i="4"/>
  <c r="B529" i="5"/>
  <c r="E529" i="5"/>
  <c r="A530" i="5" s="1"/>
  <c r="D529" i="5"/>
  <c r="C529" i="5"/>
  <c r="E530" i="5" l="1"/>
  <c r="A531" i="5" s="1"/>
  <c r="D530" i="5"/>
  <c r="C530" i="5"/>
  <c r="B530" i="5"/>
  <c r="H327" i="4"/>
  <c r="G327" i="4"/>
  <c r="A328" i="4" s="1"/>
  <c r="F327" i="4"/>
  <c r="E327" i="4"/>
  <c r="F327" i="5"/>
  <c r="D327" i="4"/>
  <c r="B327" i="4"/>
  <c r="C327" i="4"/>
  <c r="F328" i="5" l="1"/>
  <c r="F328" i="4"/>
  <c r="C328" i="4"/>
  <c r="B328" i="4"/>
  <c r="H328" i="4"/>
  <c r="G328" i="4"/>
  <c r="A329" i="4" s="1"/>
  <c r="E328" i="4"/>
  <c r="D328" i="4"/>
  <c r="B531" i="5"/>
  <c r="E531" i="5"/>
  <c r="A532" i="5" s="1"/>
  <c r="D531" i="5"/>
  <c r="C531" i="5"/>
  <c r="F329" i="5" l="1"/>
  <c r="E329" i="4"/>
  <c r="C329" i="4"/>
  <c r="B329" i="4"/>
  <c r="G329" i="4"/>
  <c r="A330" i="4" s="1"/>
  <c r="D329" i="4"/>
  <c r="H329" i="4"/>
  <c r="F329" i="4"/>
  <c r="D532" i="5"/>
  <c r="C532" i="5"/>
  <c r="E532" i="5"/>
  <c r="A533" i="5" s="1"/>
  <c r="B532" i="5"/>
  <c r="C533" i="5" l="1"/>
  <c r="B533" i="5"/>
  <c r="E533" i="5"/>
  <c r="A534" i="5" s="1"/>
  <c r="D533" i="5"/>
  <c r="H330" i="4"/>
  <c r="G330" i="4"/>
  <c r="E330" i="4"/>
  <c r="F330" i="4"/>
  <c r="F330" i="5"/>
  <c r="D330" i="4"/>
  <c r="C330" i="4"/>
  <c r="B330" i="4"/>
  <c r="C68" i="6" l="1"/>
  <c r="A331" i="4"/>
  <c r="B534" i="5"/>
  <c r="C534" i="5"/>
  <c r="E534" i="5"/>
  <c r="A535" i="5" s="1"/>
  <c r="D534" i="5"/>
  <c r="E535" i="5" l="1"/>
  <c r="A536" i="5" s="1"/>
  <c r="C535" i="5"/>
  <c r="D535" i="5"/>
  <c r="B535" i="5"/>
  <c r="H331" i="4"/>
  <c r="F331" i="4"/>
  <c r="E331" i="4"/>
  <c r="D331" i="4"/>
  <c r="C331" i="4"/>
  <c r="F331" i="5"/>
  <c r="G331" i="4"/>
  <c r="A332" i="4" s="1"/>
  <c r="B331" i="4"/>
  <c r="F332" i="5" l="1"/>
  <c r="E332" i="4"/>
  <c r="C332" i="4"/>
  <c r="B332" i="4"/>
  <c r="H332" i="4"/>
  <c r="D332" i="4"/>
  <c r="F332" i="4"/>
  <c r="G332" i="4"/>
  <c r="A333" i="4" s="1"/>
  <c r="D536" i="5"/>
  <c r="E536" i="5"/>
  <c r="A537" i="5" s="1"/>
  <c r="C536" i="5"/>
  <c r="B536" i="5"/>
  <c r="F333" i="5" l="1"/>
  <c r="B333" i="4"/>
  <c r="H333" i="4"/>
  <c r="D333" i="4"/>
  <c r="C333" i="4"/>
  <c r="E333" i="4"/>
  <c r="G333" i="4"/>
  <c r="A334" i="4" s="1"/>
  <c r="F333" i="4"/>
  <c r="E537" i="5"/>
  <c r="A538" i="5" s="1"/>
  <c r="D537" i="5"/>
  <c r="B537" i="5"/>
  <c r="C537" i="5"/>
  <c r="F334" i="5" l="1"/>
  <c r="G334" i="4"/>
  <c r="A335" i="4" s="1"/>
  <c r="F334" i="4"/>
  <c r="E334" i="4"/>
  <c r="D334" i="4"/>
  <c r="C334" i="4"/>
  <c r="B334" i="4"/>
  <c r="H334" i="4"/>
  <c r="B538" i="5"/>
  <c r="E538" i="5"/>
  <c r="A539" i="5" s="1"/>
  <c r="D538" i="5"/>
  <c r="C538" i="5"/>
  <c r="F335" i="5" l="1"/>
  <c r="E335" i="4"/>
  <c r="C335" i="4"/>
  <c r="B335" i="4"/>
  <c r="G335" i="4"/>
  <c r="A336" i="4" s="1"/>
  <c r="H335" i="4"/>
  <c r="F335" i="4"/>
  <c r="D335" i="4"/>
  <c r="B539" i="5"/>
  <c r="E539" i="5"/>
  <c r="A540" i="5" s="1"/>
  <c r="D539" i="5"/>
  <c r="C539" i="5"/>
  <c r="D540" i="5" l="1"/>
  <c r="B540" i="5"/>
  <c r="E540" i="5"/>
  <c r="A541" i="5" s="1"/>
  <c r="C540" i="5"/>
  <c r="F336" i="5"/>
  <c r="E336" i="4"/>
  <c r="C336" i="4"/>
  <c r="D336" i="4"/>
  <c r="B336" i="4"/>
  <c r="H336" i="4"/>
  <c r="G336" i="4"/>
  <c r="A337" i="4" s="1"/>
  <c r="F336" i="4"/>
  <c r="F337" i="5" l="1"/>
  <c r="H337" i="4"/>
  <c r="G337" i="4"/>
  <c r="A338" i="4" s="1"/>
  <c r="F337" i="4"/>
  <c r="E337" i="4"/>
  <c r="D337" i="4"/>
  <c r="C337" i="4"/>
  <c r="B337" i="4"/>
  <c r="E541" i="5"/>
  <c r="A542" i="5" s="1"/>
  <c r="D541" i="5"/>
  <c r="C541" i="5"/>
  <c r="B541" i="5"/>
  <c r="D542" i="5" l="1"/>
  <c r="E542" i="5"/>
  <c r="A543" i="5" s="1"/>
  <c r="C542" i="5"/>
  <c r="B542" i="5"/>
  <c r="E338" i="4"/>
  <c r="C338" i="4"/>
  <c r="B338" i="4"/>
  <c r="F338" i="5"/>
  <c r="H338" i="4"/>
  <c r="G338" i="4"/>
  <c r="A339" i="4" s="1"/>
  <c r="F338" i="4"/>
  <c r="D338" i="4"/>
  <c r="E543" i="5" l="1"/>
  <c r="A544" i="5" s="1"/>
  <c r="D543" i="5"/>
  <c r="C543" i="5"/>
  <c r="B543" i="5"/>
  <c r="F339" i="5"/>
  <c r="H339" i="4"/>
  <c r="F339" i="4"/>
  <c r="B339" i="4"/>
  <c r="G339" i="4"/>
  <c r="A340" i="4" s="1"/>
  <c r="E339" i="4"/>
  <c r="D339" i="4"/>
  <c r="C339" i="4"/>
  <c r="F340" i="5" l="1"/>
  <c r="C340" i="4"/>
  <c r="B340" i="4"/>
  <c r="H340" i="4"/>
  <c r="G340" i="4"/>
  <c r="A341" i="4" s="1"/>
  <c r="F340" i="4"/>
  <c r="E340" i="4"/>
  <c r="D340" i="4"/>
  <c r="D544" i="5"/>
  <c r="C544" i="5"/>
  <c r="E544" i="5"/>
  <c r="A545" i="5" s="1"/>
  <c r="B544" i="5"/>
  <c r="B545" i="5" l="1"/>
  <c r="D545" i="5"/>
  <c r="E545" i="5"/>
  <c r="A546" i="5" s="1"/>
  <c r="C545" i="5"/>
  <c r="F341" i="5"/>
  <c r="E341" i="4"/>
  <c r="C341" i="4"/>
  <c r="B341" i="4"/>
  <c r="D341" i="4"/>
  <c r="H341" i="4"/>
  <c r="G341" i="4"/>
  <c r="A342" i="4" s="1"/>
  <c r="F341" i="4"/>
  <c r="F342" i="5" l="1"/>
  <c r="E342" i="4"/>
  <c r="H342" i="4"/>
  <c r="G342" i="4"/>
  <c r="F342" i="4"/>
  <c r="C342" i="4"/>
  <c r="D342" i="4"/>
  <c r="B342" i="4"/>
  <c r="B546" i="5"/>
  <c r="E546" i="5"/>
  <c r="A547" i="5" s="1"/>
  <c r="C546" i="5"/>
  <c r="D546" i="5"/>
  <c r="E547" i="5" l="1"/>
  <c r="A548" i="5" s="1"/>
  <c r="C547" i="5"/>
  <c r="D547" i="5"/>
  <c r="B547" i="5"/>
  <c r="C69" i="6"/>
  <c r="A343" i="4"/>
  <c r="D548" i="5" l="1"/>
  <c r="E548" i="5"/>
  <c r="A549" i="5" s="1"/>
  <c r="C548" i="5"/>
  <c r="B548" i="5"/>
  <c r="F343" i="5"/>
  <c r="C343" i="4"/>
  <c r="H343" i="4"/>
  <c r="F343" i="4"/>
  <c r="E343" i="4"/>
  <c r="D343" i="4"/>
  <c r="B343" i="4"/>
  <c r="G343" i="4"/>
  <c r="A344" i="4" s="1"/>
  <c r="E344" i="4" l="1"/>
  <c r="C344" i="4"/>
  <c r="B344" i="4"/>
  <c r="F344" i="5"/>
  <c r="H344" i="4"/>
  <c r="G344" i="4"/>
  <c r="A345" i="4" s="1"/>
  <c r="F344" i="4"/>
  <c r="D344" i="4"/>
  <c r="E549" i="5"/>
  <c r="A550" i="5" s="1"/>
  <c r="C549" i="5"/>
  <c r="D549" i="5"/>
  <c r="B549" i="5"/>
  <c r="D550" i="5" l="1"/>
  <c r="C550" i="5"/>
  <c r="B550" i="5"/>
  <c r="E550" i="5"/>
  <c r="A551" i="5" s="1"/>
  <c r="F345" i="5"/>
  <c r="H345" i="4"/>
  <c r="B345" i="4"/>
  <c r="D345" i="4"/>
  <c r="C345" i="4"/>
  <c r="G345" i="4"/>
  <c r="A346" i="4" s="1"/>
  <c r="F345" i="4"/>
  <c r="E345" i="4"/>
  <c r="D551" i="5" l="1"/>
  <c r="C551" i="5"/>
  <c r="B551" i="5"/>
  <c r="E551" i="5"/>
  <c r="A552" i="5" s="1"/>
  <c r="F346" i="5"/>
  <c r="F346" i="4"/>
  <c r="D346" i="4"/>
  <c r="H346" i="4"/>
  <c r="E346" i="4"/>
  <c r="B346" i="4"/>
  <c r="G346" i="4"/>
  <c r="A347" i="4" s="1"/>
  <c r="C346" i="4"/>
  <c r="F347" i="5" l="1"/>
  <c r="E347" i="4"/>
  <c r="C347" i="4"/>
  <c r="B347" i="4"/>
  <c r="G347" i="4"/>
  <c r="A348" i="4" s="1"/>
  <c r="F347" i="4"/>
  <c r="D347" i="4"/>
  <c r="H347" i="4"/>
  <c r="D552" i="5"/>
  <c r="E552" i="5"/>
  <c r="A553" i="5" s="1"/>
  <c r="B552" i="5"/>
  <c r="C552" i="5"/>
  <c r="B553" i="5" l="1"/>
  <c r="E553" i="5"/>
  <c r="A554" i="5" s="1"/>
  <c r="D553" i="5"/>
  <c r="C553" i="5"/>
  <c r="F348" i="5"/>
  <c r="B348" i="4"/>
  <c r="H348" i="4"/>
  <c r="G348" i="4"/>
  <c r="A349" i="4" s="1"/>
  <c r="E348" i="4"/>
  <c r="D348" i="4"/>
  <c r="F348" i="4"/>
  <c r="C348" i="4"/>
  <c r="F349" i="5" l="1"/>
  <c r="G349" i="4"/>
  <c r="A350" i="4" s="1"/>
  <c r="C349" i="4"/>
  <c r="H349" i="4"/>
  <c r="E349" i="4"/>
  <c r="D349" i="4"/>
  <c r="F349" i="4"/>
  <c r="B349" i="4"/>
  <c r="B554" i="5"/>
  <c r="E554" i="5"/>
  <c r="A555" i="5" s="1"/>
  <c r="D554" i="5"/>
  <c r="C554" i="5"/>
  <c r="E555" i="5" l="1"/>
  <c r="A556" i="5" s="1"/>
  <c r="D555" i="5"/>
  <c r="C555" i="5"/>
  <c r="B555" i="5"/>
  <c r="F350" i="5"/>
  <c r="E350" i="4"/>
  <c r="C350" i="4"/>
  <c r="B350" i="4"/>
  <c r="H350" i="4"/>
  <c r="G350" i="4"/>
  <c r="A351" i="4" s="1"/>
  <c r="F350" i="4"/>
  <c r="D350" i="4"/>
  <c r="D556" i="5" l="1"/>
  <c r="C556" i="5"/>
  <c r="B556" i="5"/>
  <c r="E556" i="5"/>
  <c r="A557" i="5" s="1"/>
  <c r="F351" i="5"/>
  <c r="H351" i="4"/>
  <c r="G351" i="4"/>
  <c r="A352" i="4" s="1"/>
  <c r="E351" i="4"/>
  <c r="D351" i="4"/>
  <c r="C351" i="4"/>
  <c r="B351" i="4"/>
  <c r="F351" i="4"/>
  <c r="F352" i="5" l="1"/>
  <c r="F352" i="4"/>
  <c r="H352" i="4"/>
  <c r="G352" i="4"/>
  <c r="A353" i="4" s="1"/>
  <c r="E352" i="4"/>
  <c r="D352" i="4"/>
  <c r="C352" i="4"/>
  <c r="B352" i="4"/>
  <c r="D557" i="5"/>
  <c r="E557" i="5"/>
  <c r="A558" i="5" s="1"/>
  <c r="C557" i="5"/>
  <c r="B557" i="5"/>
  <c r="E558" i="5" l="1"/>
  <c r="A559" i="5" s="1"/>
  <c r="C558" i="5"/>
  <c r="D558" i="5"/>
  <c r="B558" i="5"/>
  <c r="F353" i="5"/>
  <c r="E353" i="4"/>
  <c r="C353" i="4"/>
  <c r="B353" i="4"/>
  <c r="G353" i="4"/>
  <c r="A354" i="4" s="1"/>
  <c r="D353" i="4"/>
  <c r="H353" i="4"/>
  <c r="F353" i="4"/>
  <c r="F354" i="5" l="1"/>
  <c r="H354" i="4"/>
  <c r="F354" i="4"/>
  <c r="E354" i="4"/>
  <c r="B354" i="4"/>
  <c r="G354" i="4"/>
  <c r="D354" i="4"/>
  <c r="C354" i="4"/>
  <c r="B559" i="5"/>
  <c r="C559" i="5"/>
  <c r="E559" i="5"/>
  <c r="A560" i="5" s="1"/>
  <c r="D559" i="5"/>
  <c r="D560" i="5" l="1"/>
  <c r="E560" i="5"/>
  <c r="A561" i="5" s="1"/>
  <c r="C560" i="5"/>
  <c r="B560" i="5"/>
  <c r="A355" i="4"/>
  <c r="C70" i="6"/>
  <c r="F355" i="4" l="1"/>
  <c r="E355" i="4"/>
  <c r="C355" i="4"/>
  <c r="B355" i="4"/>
  <c r="F355" i="5"/>
  <c r="D355" i="4"/>
  <c r="G355" i="4"/>
  <c r="A356" i="4" s="1"/>
  <c r="H355" i="4"/>
  <c r="E561" i="5"/>
  <c r="A562" i="5" s="1"/>
  <c r="D561" i="5"/>
  <c r="C561" i="5"/>
  <c r="B561" i="5"/>
  <c r="E356" i="4" l="1"/>
  <c r="C356" i="4"/>
  <c r="B356" i="4"/>
  <c r="F356" i="5"/>
  <c r="H356" i="4"/>
  <c r="F356" i="4"/>
  <c r="D356" i="4"/>
  <c r="G356" i="4"/>
  <c r="A357" i="4" s="1"/>
  <c r="E562" i="5"/>
  <c r="A563" i="5" s="1"/>
  <c r="C562" i="5"/>
  <c r="B562" i="5"/>
  <c r="D562" i="5"/>
  <c r="F357" i="5" l="1"/>
  <c r="B357" i="4"/>
  <c r="G357" i="4"/>
  <c r="A358" i="4" s="1"/>
  <c r="F357" i="4"/>
  <c r="E357" i="4"/>
  <c r="D357" i="4"/>
  <c r="C357" i="4"/>
  <c r="H357" i="4"/>
  <c r="B563" i="5"/>
  <c r="E563" i="5"/>
  <c r="A564" i="5" s="1"/>
  <c r="D563" i="5"/>
  <c r="C563" i="5"/>
  <c r="F358" i="5" l="1"/>
  <c r="H358" i="4"/>
  <c r="G358" i="4"/>
  <c r="A359" i="4" s="1"/>
  <c r="F358" i="4"/>
  <c r="E358" i="4"/>
  <c r="D358" i="4"/>
  <c r="C358" i="4"/>
  <c r="B358" i="4"/>
  <c r="D564" i="5"/>
  <c r="C564" i="5"/>
  <c r="B564" i="5"/>
  <c r="E564" i="5"/>
  <c r="A565" i="5" s="1"/>
  <c r="E565" i="5" l="1"/>
  <c r="A566" i="5" s="1"/>
  <c r="D565" i="5"/>
  <c r="C565" i="5"/>
  <c r="B565" i="5"/>
  <c r="F359" i="5"/>
  <c r="E359" i="4"/>
  <c r="C359" i="4"/>
  <c r="B359" i="4"/>
  <c r="G359" i="4"/>
  <c r="A360" i="4" s="1"/>
  <c r="H359" i="4"/>
  <c r="F359" i="4"/>
  <c r="D359" i="4"/>
  <c r="F360" i="5" l="1"/>
  <c r="E360" i="4"/>
  <c r="C360" i="4"/>
  <c r="H360" i="4"/>
  <c r="F360" i="4"/>
  <c r="D360" i="4"/>
  <c r="B360" i="4"/>
  <c r="G360" i="4"/>
  <c r="A361" i="4" s="1"/>
  <c r="E566" i="5"/>
  <c r="A567" i="5" s="1"/>
  <c r="D566" i="5"/>
  <c r="C566" i="5"/>
  <c r="B566" i="5"/>
  <c r="E567" i="5" l="1"/>
  <c r="A568" i="5" s="1"/>
  <c r="C567" i="5"/>
  <c r="B567" i="5"/>
  <c r="D567" i="5"/>
  <c r="F361" i="5"/>
  <c r="H361" i="4"/>
  <c r="G361" i="4"/>
  <c r="A362" i="4" s="1"/>
  <c r="F361" i="4"/>
  <c r="E361" i="4"/>
  <c r="D361" i="4"/>
  <c r="C361" i="4"/>
  <c r="B361" i="4"/>
  <c r="F362" i="5" l="1"/>
  <c r="E362" i="4"/>
  <c r="C362" i="4"/>
  <c r="B362" i="4"/>
  <c r="H362" i="4"/>
  <c r="G362" i="4"/>
  <c r="A363" i="4" s="1"/>
  <c r="D362" i="4"/>
  <c r="F362" i="4"/>
  <c r="D568" i="5"/>
  <c r="E568" i="5"/>
  <c r="A569" i="5" s="1"/>
  <c r="C568" i="5"/>
  <c r="B568" i="5"/>
  <c r="C569" i="5" l="1"/>
  <c r="E569" i="5"/>
  <c r="A570" i="5" s="1"/>
  <c r="D569" i="5"/>
  <c r="B569" i="5"/>
  <c r="F363" i="5"/>
  <c r="H363" i="4"/>
  <c r="F363" i="4"/>
  <c r="B363" i="4"/>
  <c r="G363" i="4"/>
  <c r="A364" i="4" s="1"/>
  <c r="E363" i="4"/>
  <c r="C363" i="4"/>
  <c r="D363" i="4"/>
  <c r="B570" i="5" l="1"/>
  <c r="D570" i="5"/>
  <c r="C570" i="5"/>
  <c r="E570" i="5"/>
  <c r="A571" i="5" s="1"/>
  <c r="F364" i="5"/>
  <c r="F364" i="4"/>
  <c r="E364" i="4"/>
  <c r="D364" i="4"/>
  <c r="H364" i="4"/>
  <c r="G364" i="4"/>
  <c r="A365" i="4" s="1"/>
  <c r="C364" i="4"/>
  <c r="B364" i="4"/>
  <c r="E571" i="5" l="1"/>
  <c r="A572" i="5" s="1"/>
  <c r="D571" i="5"/>
  <c r="C571" i="5"/>
  <c r="B571" i="5"/>
  <c r="F365" i="5"/>
  <c r="E365" i="4"/>
  <c r="C365" i="4"/>
  <c r="B365" i="4"/>
  <c r="G365" i="4"/>
  <c r="A366" i="4" s="1"/>
  <c r="D365" i="4"/>
  <c r="H365" i="4"/>
  <c r="F365" i="4"/>
  <c r="E366" i="4" l="1"/>
  <c r="F366" i="5"/>
  <c r="H366" i="4"/>
  <c r="G366" i="4"/>
  <c r="F366" i="4"/>
  <c r="D366" i="4"/>
  <c r="C366" i="4"/>
  <c r="B366" i="4"/>
  <c r="D572" i="5"/>
  <c r="B572" i="5"/>
  <c r="C572" i="5"/>
  <c r="E572" i="5"/>
  <c r="A573" i="5" s="1"/>
  <c r="A367" i="4" l="1"/>
  <c r="C71" i="6"/>
  <c r="C573" i="5"/>
  <c r="B573" i="5"/>
  <c r="E573" i="5"/>
  <c r="A574" i="5" s="1"/>
  <c r="D573" i="5"/>
  <c r="C574" i="5" l="1"/>
  <c r="B574" i="5"/>
  <c r="E574" i="5"/>
  <c r="A575" i="5" s="1"/>
  <c r="D574" i="5"/>
  <c r="F367" i="5"/>
  <c r="C367" i="4"/>
  <c r="F367" i="4"/>
  <c r="E367" i="4"/>
  <c r="B367" i="4"/>
  <c r="H367" i="4"/>
  <c r="G367" i="4"/>
  <c r="A368" i="4" s="1"/>
  <c r="D367" i="4"/>
  <c r="E368" i="4" l="1"/>
  <c r="C368" i="4"/>
  <c r="B368" i="4"/>
  <c r="F368" i="5"/>
  <c r="D368" i="4"/>
  <c r="G368" i="4"/>
  <c r="A369" i="4" s="1"/>
  <c r="H368" i="4"/>
  <c r="F368" i="4"/>
  <c r="E575" i="5"/>
  <c r="A576" i="5" s="1"/>
  <c r="D575" i="5"/>
  <c r="C575" i="5"/>
  <c r="B575" i="5"/>
  <c r="D576" i="5" l="1"/>
  <c r="C576" i="5"/>
  <c r="E576" i="5"/>
  <c r="A577" i="5" s="1"/>
  <c r="B576" i="5"/>
  <c r="F369" i="5"/>
  <c r="H369" i="4"/>
  <c r="E369" i="4"/>
  <c r="D369" i="4"/>
  <c r="C369" i="4"/>
  <c r="F369" i="4"/>
  <c r="G369" i="4"/>
  <c r="A370" i="4" s="1"/>
  <c r="B369" i="4"/>
  <c r="F370" i="5" l="1"/>
  <c r="F370" i="4"/>
  <c r="D370" i="4"/>
  <c r="H370" i="4"/>
  <c r="G370" i="4"/>
  <c r="A371" i="4" s="1"/>
  <c r="E370" i="4"/>
  <c r="B370" i="4"/>
  <c r="C370" i="4"/>
  <c r="B577" i="5"/>
  <c r="E577" i="5"/>
  <c r="A578" i="5" s="1"/>
  <c r="D577" i="5"/>
  <c r="C577" i="5"/>
  <c r="F371" i="5" l="1"/>
  <c r="E371" i="4"/>
  <c r="C371" i="4"/>
  <c r="B371" i="4"/>
  <c r="G371" i="4"/>
  <c r="A372" i="4" s="1"/>
  <c r="F371" i="4"/>
  <c r="D371" i="4"/>
  <c r="H371" i="4"/>
  <c r="B578" i="5"/>
  <c r="E578" i="5"/>
  <c r="A579" i="5" s="1"/>
  <c r="D578" i="5"/>
  <c r="C578" i="5"/>
  <c r="F372" i="5" l="1"/>
  <c r="D372" i="4"/>
  <c r="C372" i="4"/>
  <c r="B372" i="4"/>
  <c r="H372" i="4"/>
  <c r="G372" i="4"/>
  <c r="A373" i="4" s="1"/>
  <c r="F372" i="4"/>
  <c r="E372" i="4"/>
  <c r="E579" i="5"/>
  <c r="A580" i="5" s="1"/>
  <c r="D579" i="5"/>
  <c r="C579" i="5"/>
  <c r="B579" i="5"/>
  <c r="D580" i="5" l="1"/>
  <c r="E580" i="5"/>
  <c r="A581" i="5" s="1"/>
  <c r="C580" i="5"/>
  <c r="B580" i="5"/>
  <c r="F373" i="5"/>
  <c r="G373" i="4"/>
  <c r="A374" i="4" s="1"/>
  <c r="C373" i="4"/>
  <c r="H373" i="4"/>
  <c r="B373" i="4"/>
  <c r="F373" i="4"/>
  <c r="E373" i="4"/>
  <c r="D373" i="4"/>
  <c r="F374" i="5" l="1"/>
  <c r="E374" i="4"/>
  <c r="C374" i="4"/>
  <c r="B374" i="4"/>
  <c r="H374" i="4"/>
  <c r="G374" i="4"/>
  <c r="A375" i="4" s="1"/>
  <c r="F374" i="4"/>
  <c r="D374" i="4"/>
  <c r="E581" i="5"/>
  <c r="A582" i="5" s="1"/>
  <c r="C581" i="5"/>
  <c r="B581" i="5"/>
  <c r="D581" i="5"/>
  <c r="D582" i="5" l="1"/>
  <c r="E582" i="5"/>
  <c r="A583" i="5" s="1"/>
  <c r="C582" i="5"/>
  <c r="B582" i="5"/>
  <c r="F375" i="5"/>
  <c r="E375" i="4"/>
  <c r="D375" i="4"/>
  <c r="B375" i="4"/>
  <c r="H375" i="4"/>
  <c r="C375" i="4"/>
  <c r="F375" i="4"/>
  <c r="G375" i="4"/>
  <c r="A376" i="4" s="1"/>
  <c r="F376" i="5" l="1"/>
  <c r="F376" i="4"/>
  <c r="C376" i="4"/>
  <c r="H376" i="4"/>
  <c r="B376" i="4"/>
  <c r="G376" i="4"/>
  <c r="A377" i="4" s="1"/>
  <c r="E376" i="4"/>
  <c r="D376" i="4"/>
  <c r="E583" i="5"/>
  <c r="A584" i="5" s="1"/>
  <c r="D583" i="5"/>
  <c r="C583" i="5"/>
  <c r="B583" i="5"/>
  <c r="D584" i="5" l="1"/>
  <c r="C584" i="5"/>
  <c r="B584" i="5"/>
  <c r="E584" i="5"/>
  <c r="A585" i="5" s="1"/>
  <c r="E377" i="4"/>
  <c r="C377" i="4"/>
  <c r="B377" i="4"/>
  <c r="F377" i="5"/>
  <c r="G377" i="4"/>
  <c r="A378" i="4" s="1"/>
  <c r="D377" i="4"/>
  <c r="H377" i="4"/>
  <c r="F377" i="4"/>
  <c r="F378" i="5" l="1"/>
  <c r="H378" i="4"/>
  <c r="G378" i="4"/>
  <c r="F378" i="4"/>
  <c r="E378" i="4"/>
  <c r="D378" i="4"/>
  <c r="C378" i="4"/>
  <c r="B378" i="4"/>
  <c r="C585" i="5"/>
  <c r="E585" i="5"/>
  <c r="A586" i="5" s="1"/>
  <c r="D585" i="5"/>
  <c r="B585" i="5"/>
  <c r="B586" i="5" l="1"/>
  <c r="C586" i="5"/>
  <c r="D586" i="5"/>
  <c r="E586" i="5"/>
  <c r="A587" i="5" s="1"/>
  <c r="A379" i="4"/>
  <c r="C72" i="6"/>
  <c r="F379" i="5" l="1"/>
  <c r="C379" i="4"/>
  <c r="B379" i="4"/>
  <c r="H379" i="4"/>
  <c r="G379" i="4"/>
  <c r="A380" i="4" s="1"/>
  <c r="F379" i="4"/>
  <c r="E379" i="4"/>
  <c r="D379" i="4"/>
  <c r="E587" i="5"/>
  <c r="A588" i="5" s="1"/>
  <c r="C587" i="5"/>
  <c r="D587" i="5"/>
  <c r="B587" i="5"/>
  <c r="D588" i="5" l="1"/>
  <c r="E588" i="5"/>
  <c r="A589" i="5" s="1"/>
  <c r="C588" i="5"/>
  <c r="B588" i="5"/>
  <c r="E380" i="4"/>
  <c r="C380" i="4"/>
  <c r="F380" i="5"/>
  <c r="B380" i="4"/>
  <c r="H380" i="4"/>
  <c r="D380" i="4"/>
  <c r="G380" i="4"/>
  <c r="A381" i="4" s="1"/>
  <c r="F380" i="4"/>
  <c r="F381" i="5" l="1"/>
  <c r="B381" i="4"/>
  <c r="E381" i="4"/>
  <c r="C381" i="4"/>
  <c r="H381" i="4"/>
  <c r="G381" i="4"/>
  <c r="A382" i="4" s="1"/>
  <c r="F381" i="4"/>
  <c r="D381" i="4"/>
  <c r="E589" i="5"/>
  <c r="A590" i="5" s="1"/>
  <c r="D589" i="5"/>
  <c r="C589" i="5"/>
  <c r="B589" i="5"/>
  <c r="E590" i="5" l="1"/>
  <c r="A591" i="5" s="1"/>
  <c r="C590" i="5"/>
  <c r="B590" i="5"/>
  <c r="D590" i="5"/>
  <c r="F382" i="5"/>
  <c r="H382" i="4"/>
  <c r="F382" i="4"/>
  <c r="E382" i="4"/>
  <c r="D382" i="4"/>
  <c r="C382" i="4"/>
  <c r="G382" i="4"/>
  <c r="A383" i="4" s="1"/>
  <c r="B382" i="4"/>
  <c r="F383" i="5" l="1"/>
  <c r="E383" i="4"/>
  <c r="C383" i="4"/>
  <c r="B383" i="4"/>
  <c r="G383" i="4"/>
  <c r="A384" i="4" s="1"/>
  <c r="F383" i="4"/>
  <c r="D383" i="4"/>
  <c r="H383" i="4"/>
  <c r="E591" i="5"/>
  <c r="A592" i="5" s="1"/>
  <c r="D591" i="5"/>
  <c r="C591" i="5"/>
  <c r="B591" i="5"/>
  <c r="D592" i="5" l="1"/>
  <c r="E592" i="5"/>
  <c r="A593" i="5" s="1"/>
  <c r="B592" i="5"/>
  <c r="C592" i="5"/>
  <c r="F384" i="5"/>
  <c r="E384" i="4"/>
  <c r="C384" i="4"/>
  <c r="H384" i="4"/>
  <c r="G384" i="4"/>
  <c r="A385" i="4" s="1"/>
  <c r="D384" i="4"/>
  <c r="B384" i="4"/>
  <c r="F384" i="4"/>
  <c r="F385" i="5" l="1"/>
  <c r="G385" i="4"/>
  <c r="A386" i="4" s="1"/>
  <c r="F385" i="4"/>
  <c r="C385" i="4"/>
  <c r="B385" i="4"/>
  <c r="H385" i="4"/>
  <c r="E385" i="4"/>
  <c r="D385" i="4"/>
  <c r="B593" i="5"/>
  <c r="E593" i="5"/>
  <c r="A594" i="5" s="1"/>
  <c r="D593" i="5"/>
  <c r="C593" i="5"/>
  <c r="E594" i="5" l="1"/>
  <c r="A595" i="5" s="1"/>
  <c r="D594" i="5"/>
  <c r="C594" i="5"/>
  <c r="B594" i="5"/>
  <c r="F386" i="5"/>
  <c r="E386" i="4"/>
  <c r="C386" i="4"/>
  <c r="B386" i="4"/>
  <c r="G386" i="4"/>
  <c r="A387" i="4" s="1"/>
  <c r="F386" i="4"/>
  <c r="D386" i="4"/>
  <c r="H386" i="4"/>
  <c r="H387" i="4" l="1"/>
  <c r="F387" i="4"/>
  <c r="F387" i="5"/>
  <c r="B387" i="4"/>
  <c r="C387" i="4"/>
  <c r="E387" i="4"/>
  <c r="D387" i="4"/>
  <c r="G387" i="4"/>
  <c r="A388" i="4" s="1"/>
  <c r="B595" i="5"/>
  <c r="E595" i="5"/>
  <c r="A596" i="5" s="1"/>
  <c r="D595" i="5"/>
  <c r="C595" i="5"/>
  <c r="D596" i="5" l="1"/>
  <c r="C596" i="5"/>
  <c r="B596" i="5"/>
  <c r="E596" i="5"/>
  <c r="A597" i="5" s="1"/>
  <c r="F388" i="5"/>
  <c r="H388" i="4"/>
  <c r="G388" i="4"/>
  <c r="A389" i="4" s="1"/>
  <c r="F388" i="4"/>
  <c r="E388" i="4"/>
  <c r="B388" i="4"/>
  <c r="D388" i="4"/>
  <c r="C388" i="4"/>
  <c r="F389" i="5" l="1"/>
  <c r="E389" i="4"/>
  <c r="C389" i="4"/>
  <c r="B389" i="4"/>
  <c r="H389" i="4"/>
  <c r="G389" i="4"/>
  <c r="A390" i="4" s="1"/>
  <c r="D389" i="4"/>
  <c r="F389" i="4"/>
  <c r="D597" i="5"/>
  <c r="C597" i="5"/>
  <c r="B597" i="5"/>
  <c r="E597" i="5"/>
  <c r="A598" i="5" s="1"/>
  <c r="E598" i="5" l="1"/>
  <c r="A599" i="5" s="1"/>
  <c r="D598" i="5"/>
  <c r="C598" i="5"/>
  <c r="B598" i="5"/>
  <c r="F390" i="5"/>
  <c r="E390" i="4"/>
  <c r="H390" i="4"/>
  <c r="F390" i="4"/>
  <c r="D390" i="4"/>
  <c r="C390" i="4"/>
  <c r="B390" i="4"/>
  <c r="G390" i="4"/>
  <c r="E599" i="5" l="1"/>
  <c r="A600" i="5" s="1"/>
  <c r="C599" i="5"/>
  <c r="D599" i="5"/>
  <c r="B599" i="5"/>
  <c r="C73" i="6"/>
  <c r="A391" i="4"/>
  <c r="F391" i="5" l="1"/>
  <c r="C391" i="4"/>
  <c r="B391" i="4"/>
  <c r="G391" i="4"/>
  <c r="A392" i="4" s="1"/>
  <c r="F391" i="4"/>
  <c r="H391" i="4"/>
  <c r="E391" i="4"/>
  <c r="D391" i="4"/>
  <c r="D600" i="5"/>
  <c r="E600" i="5"/>
  <c r="A601" i="5" s="1"/>
  <c r="C600" i="5"/>
  <c r="B600" i="5"/>
  <c r="E601" i="5" l="1"/>
  <c r="A602" i="5" s="1"/>
  <c r="D601" i="5"/>
  <c r="C601" i="5"/>
  <c r="B601" i="5"/>
  <c r="F392" i="5"/>
  <c r="E392" i="4"/>
  <c r="C392" i="4"/>
  <c r="B392" i="4"/>
  <c r="H392" i="4"/>
  <c r="F392" i="4"/>
  <c r="G392" i="4"/>
  <c r="A393" i="4" s="1"/>
  <c r="D392" i="4"/>
  <c r="F393" i="5" l="1"/>
  <c r="H393" i="4"/>
  <c r="E393" i="4"/>
  <c r="D393" i="4"/>
  <c r="C393" i="4"/>
  <c r="B393" i="4"/>
  <c r="F393" i="4"/>
  <c r="G393" i="4"/>
  <c r="A394" i="4" s="1"/>
  <c r="E602" i="5"/>
  <c r="A603" i="5" s="1"/>
  <c r="C602" i="5"/>
  <c r="D602" i="5"/>
  <c r="B602" i="5"/>
  <c r="E603" i="5" l="1"/>
  <c r="A604" i="5" s="1"/>
  <c r="D603" i="5"/>
  <c r="C603" i="5"/>
  <c r="B603" i="5"/>
  <c r="F394" i="5"/>
  <c r="F394" i="4"/>
  <c r="D394" i="4"/>
  <c r="H394" i="4"/>
  <c r="E394" i="4"/>
  <c r="C394" i="4"/>
  <c r="B394" i="4"/>
  <c r="G394" i="4"/>
  <c r="A395" i="4" s="1"/>
  <c r="F395" i="5" l="1"/>
  <c r="E395" i="4"/>
  <c r="C395" i="4"/>
  <c r="B395" i="4"/>
  <c r="H395" i="4"/>
  <c r="G395" i="4"/>
  <c r="A396" i="4" s="1"/>
  <c r="F395" i="4"/>
  <c r="D395" i="4"/>
  <c r="D604" i="5"/>
  <c r="B604" i="5"/>
  <c r="C604" i="5"/>
  <c r="E604" i="5"/>
  <c r="A605" i="5" s="1"/>
  <c r="E605" i="5" l="1"/>
  <c r="A606" i="5" s="1"/>
  <c r="D605" i="5"/>
  <c r="C605" i="5"/>
  <c r="B605" i="5"/>
  <c r="F396" i="5"/>
  <c r="H396" i="4"/>
  <c r="F396" i="4"/>
  <c r="E396" i="4"/>
  <c r="B396" i="4"/>
  <c r="G396" i="4"/>
  <c r="A397" i="4" s="1"/>
  <c r="D396" i="4"/>
  <c r="C396" i="4"/>
  <c r="F397" i="5" l="1"/>
  <c r="G397" i="4"/>
  <c r="A398" i="4" s="1"/>
  <c r="C397" i="4"/>
  <c r="H397" i="4"/>
  <c r="F397" i="4"/>
  <c r="E397" i="4"/>
  <c r="B397" i="4"/>
  <c r="D397" i="4"/>
  <c r="E606" i="5"/>
  <c r="A607" i="5" s="1"/>
  <c r="D606" i="5"/>
  <c r="C606" i="5"/>
  <c r="B606" i="5"/>
  <c r="E607" i="5" l="1"/>
  <c r="A608" i="5" s="1"/>
  <c r="D607" i="5"/>
  <c r="B607" i="5"/>
  <c r="C607" i="5"/>
  <c r="F398" i="5"/>
  <c r="E398" i="4"/>
  <c r="C398" i="4"/>
  <c r="B398" i="4"/>
  <c r="G398" i="4"/>
  <c r="A399" i="4" s="1"/>
  <c r="F398" i="4"/>
  <c r="D398" i="4"/>
  <c r="H398" i="4"/>
  <c r="F399" i="5" l="1"/>
  <c r="B399" i="4"/>
  <c r="H399" i="4"/>
  <c r="G399" i="4"/>
  <c r="A400" i="4" s="1"/>
  <c r="E399" i="4"/>
  <c r="C399" i="4"/>
  <c r="D399" i="4"/>
  <c r="F399" i="4"/>
  <c r="D608" i="5"/>
  <c r="C608" i="5"/>
  <c r="E608" i="5"/>
  <c r="A609" i="5" s="1"/>
  <c r="B608" i="5"/>
  <c r="B609" i="5" l="1"/>
  <c r="D609" i="5"/>
  <c r="E609" i="5"/>
  <c r="A610" i="5" s="1"/>
  <c r="C609" i="5"/>
  <c r="F400" i="5"/>
  <c r="F400" i="4"/>
  <c r="G400" i="4"/>
  <c r="A401" i="4" s="1"/>
  <c r="E400" i="4"/>
  <c r="D400" i="4"/>
  <c r="C400" i="4"/>
  <c r="H400" i="4"/>
  <c r="B400" i="4"/>
  <c r="F401" i="5" l="1"/>
  <c r="E401" i="4"/>
  <c r="C401" i="4"/>
  <c r="B401" i="4"/>
  <c r="G401" i="4"/>
  <c r="A402" i="4" s="1"/>
  <c r="D401" i="4"/>
  <c r="H401" i="4"/>
  <c r="F401" i="4"/>
  <c r="B610" i="5"/>
  <c r="D610" i="5"/>
  <c r="C610" i="5"/>
  <c r="E610" i="5"/>
  <c r="A611" i="5" s="1"/>
  <c r="E611" i="5" l="1"/>
  <c r="A612" i="5" s="1"/>
  <c r="D611" i="5"/>
  <c r="C611" i="5"/>
  <c r="B611" i="5"/>
  <c r="F402" i="5"/>
  <c r="H402" i="4"/>
  <c r="G402" i="4"/>
  <c r="E402" i="4"/>
  <c r="D402" i="4"/>
  <c r="C402" i="4"/>
  <c r="B402" i="4"/>
  <c r="F402" i="4"/>
  <c r="A403" i="4" l="1"/>
  <c r="C74" i="6"/>
  <c r="D612" i="5"/>
  <c r="E612" i="5"/>
  <c r="A613" i="5" s="1"/>
  <c r="C612" i="5"/>
  <c r="B612" i="5"/>
  <c r="E613" i="5" l="1"/>
  <c r="A614" i="5" s="1"/>
  <c r="C613" i="5"/>
  <c r="D613" i="5"/>
  <c r="B613" i="5"/>
  <c r="F403" i="5"/>
  <c r="H403" i="4"/>
  <c r="G403" i="4"/>
  <c r="A404" i="4" s="1"/>
  <c r="F403" i="4"/>
  <c r="E403" i="4"/>
  <c r="D403" i="4"/>
  <c r="C403" i="4"/>
  <c r="B403" i="4"/>
  <c r="F404" i="5" l="1"/>
  <c r="E404" i="4"/>
  <c r="C404" i="4"/>
  <c r="B404" i="4"/>
  <c r="H404" i="4"/>
  <c r="D404" i="4"/>
  <c r="G404" i="4"/>
  <c r="A405" i="4" s="1"/>
  <c r="F404" i="4"/>
  <c r="C614" i="5"/>
  <c r="B614" i="5"/>
  <c r="E614" i="5"/>
  <c r="A615" i="5" s="1"/>
  <c r="D614" i="5"/>
  <c r="F405" i="5" l="1"/>
  <c r="B405" i="4"/>
  <c r="H405" i="4"/>
  <c r="G405" i="4"/>
  <c r="A406" i="4" s="1"/>
  <c r="F405" i="4"/>
  <c r="E405" i="4"/>
  <c r="C405" i="4"/>
  <c r="D405" i="4"/>
  <c r="D615" i="5"/>
  <c r="C615" i="5"/>
  <c r="B615" i="5"/>
  <c r="E615" i="5"/>
  <c r="A616" i="5" s="1"/>
  <c r="F406" i="5" l="1"/>
  <c r="F406" i="4"/>
  <c r="E406" i="4"/>
  <c r="C406" i="4"/>
  <c r="B406" i="4"/>
  <c r="D406" i="4"/>
  <c r="H406" i="4"/>
  <c r="G406" i="4"/>
  <c r="A407" i="4" s="1"/>
  <c r="D616" i="5"/>
  <c r="E616" i="5"/>
  <c r="A617" i="5" s="1"/>
  <c r="C616" i="5"/>
  <c r="B616" i="5"/>
  <c r="E617" i="5" l="1"/>
  <c r="A618" i="5" s="1"/>
  <c r="C617" i="5"/>
  <c r="D617" i="5"/>
  <c r="B617" i="5"/>
  <c r="F407" i="5"/>
  <c r="E407" i="4"/>
  <c r="C407" i="4"/>
  <c r="B407" i="4"/>
  <c r="G407" i="4"/>
  <c r="A408" i="4" s="1"/>
  <c r="H407" i="4"/>
  <c r="D407" i="4"/>
  <c r="F407" i="4"/>
  <c r="F408" i="5" l="1"/>
  <c r="E408" i="4"/>
  <c r="C408" i="4"/>
  <c r="H408" i="4"/>
  <c r="G408" i="4"/>
  <c r="A409" i="4" s="1"/>
  <c r="F408" i="4"/>
  <c r="D408" i="4"/>
  <c r="B408" i="4"/>
  <c r="B618" i="5"/>
  <c r="E618" i="5"/>
  <c r="A619" i="5" s="1"/>
  <c r="D618" i="5"/>
  <c r="C618" i="5"/>
  <c r="B619" i="5" l="1"/>
  <c r="E619" i="5"/>
  <c r="A620" i="5" s="1"/>
  <c r="D619" i="5"/>
  <c r="C619" i="5"/>
  <c r="F409" i="5"/>
  <c r="H409" i="4"/>
  <c r="G409" i="4"/>
  <c r="A410" i="4" s="1"/>
  <c r="F409" i="4"/>
  <c r="E409" i="4"/>
  <c r="D409" i="4"/>
  <c r="C409" i="4"/>
  <c r="B409" i="4"/>
  <c r="E410" i="4" l="1"/>
  <c r="C410" i="4"/>
  <c r="B410" i="4"/>
  <c r="G410" i="4"/>
  <c r="A411" i="4" s="1"/>
  <c r="F410" i="4"/>
  <c r="H410" i="4"/>
  <c r="D410" i="4"/>
  <c r="F410" i="5"/>
  <c r="D620" i="5"/>
  <c r="E620" i="5"/>
  <c r="A621" i="5" s="1"/>
  <c r="C620" i="5"/>
  <c r="B620" i="5"/>
  <c r="E621" i="5" l="1"/>
  <c r="A622" i="5" s="1"/>
  <c r="D621" i="5"/>
  <c r="C621" i="5"/>
  <c r="B621" i="5"/>
  <c r="F411" i="5"/>
  <c r="H411" i="4"/>
  <c r="F411" i="4"/>
  <c r="E411" i="4"/>
  <c r="B411" i="4"/>
  <c r="G411" i="4"/>
  <c r="A412" i="4" s="1"/>
  <c r="D411" i="4"/>
  <c r="C411" i="4"/>
  <c r="G412" i="4" l="1"/>
  <c r="A413" i="4" s="1"/>
  <c r="E412" i="4"/>
  <c r="D412" i="4"/>
  <c r="F412" i="5"/>
  <c r="H412" i="4"/>
  <c r="B412" i="4"/>
  <c r="F412" i="4"/>
  <c r="C412" i="4"/>
  <c r="E622" i="5"/>
  <c r="A623" i="5" s="1"/>
  <c r="C622" i="5"/>
  <c r="B622" i="5"/>
  <c r="D622" i="5"/>
  <c r="E623" i="5" l="1"/>
  <c r="A624" i="5" s="1"/>
  <c r="D623" i="5"/>
  <c r="C623" i="5"/>
  <c r="B623" i="5"/>
  <c r="F413" i="5"/>
  <c r="E413" i="4"/>
  <c r="C413" i="4"/>
  <c r="B413" i="4"/>
  <c r="H413" i="4"/>
  <c r="G413" i="4"/>
  <c r="A414" i="4" s="1"/>
  <c r="F413" i="4"/>
  <c r="D413" i="4"/>
  <c r="F414" i="5" l="1"/>
  <c r="H414" i="4"/>
  <c r="E414" i="4"/>
  <c r="G414" i="4"/>
  <c r="F414" i="4"/>
  <c r="C414" i="4"/>
  <c r="B414" i="4"/>
  <c r="D414" i="4"/>
  <c r="D624" i="5"/>
  <c r="C624" i="5"/>
  <c r="B624" i="5"/>
  <c r="E624" i="5"/>
  <c r="A625" i="5" s="1"/>
  <c r="C75" i="6" l="1"/>
  <c r="A415" i="4"/>
  <c r="D625" i="5"/>
  <c r="E625" i="5"/>
  <c r="A626" i="5" s="1"/>
  <c r="C625" i="5"/>
  <c r="B625" i="5"/>
  <c r="B626" i="5" l="1"/>
  <c r="E626" i="5"/>
  <c r="A627" i="5" s="1"/>
  <c r="D626" i="5"/>
  <c r="C626" i="5"/>
  <c r="F415" i="5"/>
  <c r="C415" i="4"/>
  <c r="H415" i="4"/>
  <c r="G415" i="4"/>
  <c r="A416" i="4" s="1"/>
  <c r="F415" i="4"/>
  <c r="E415" i="4"/>
  <c r="D415" i="4"/>
  <c r="B415" i="4"/>
  <c r="F416" i="5" l="1"/>
  <c r="E416" i="4"/>
  <c r="C416" i="4"/>
  <c r="B416" i="4"/>
  <c r="H416" i="4"/>
  <c r="G416" i="4"/>
  <c r="A417" i="4" s="1"/>
  <c r="F416" i="4"/>
  <c r="D416" i="4"/>
  <c r="B627" i="5"/>
  <c r="E627" i="5"/>
  <c r="A628" i="5" s="1"/>
  <c r="C627" i="5"/>
  <c r="D627" i="5"/>
  <c r="D628" i="5" l="1"/>
  <c r="E628" i="5"/>
  <c r="A629" i="5" s="1"/>
  <c r="C628" i="5"/>
  <c r="B628" i="5"/>
  <c r="F417" i="5"/>
  <c r="H417" i="4"/>
  <c r="G417" i="4"/>
  <c r="A418" i="4" s="1"/>
  <c r="E417" i="4"/>
  <c r="D417" i="4"/>
  <c r="B417" i="4"/>
  <c r="C417" i="4"/>
  <c r="F417" i="4"/>
  <c r="F418" i="4" l="1"/>
  <c r="D418" i="4"/>
  <c r="C418" i="4"/>
  <c r="F418" i="5"/>
  <c r="H418" i="4"/>
  <c r="E418" i="4"/>
  <c r="B418" i="4"/>
  <c r="G418" i="4"/>
  <c r="A419" i="4" s="1"/>
  <c r="E629" i="5"/>
  <c r="A630" i="5" s="1"/>
  <c r="D629" i="5"/>
  <c r="C629" i="5"/>
  <c r="B629" i="5"/>
  <c r="F419" i="5" l="1"/>
  <c r="E419" i="4"/>
  <c r="C419" i="4"/>
  <c r="B419" i="4"/>
  <c r="H419" i="4"/>
  <c r="G419" i="4"/>
  <c r="A420" i="4" s="1"/>
  <c r="F419" i="4"/>
  <c r="D419" i="4"/>
  <c r="B630" i="5"/>
  <c r="E630" i="5"/>
  <c r="A631" i="5" s="1"/>
  <c r="D630" i="5"/>
  <c r="C630" i="5"/>
  <c r="E631" i="5" l="1"/>
  <c r="A632" i="5" s="1"/>
  <c r="C631" i="5"/>
  <c r="D631" i="5"/>
  <c r="B631" i="5"/>
  <c r="F420" i="5"/>
  <c r="E420" i="4"/>
  <c r="G420" i="4"/>
  <c r="A421" i="4" s="1"/>
  <c r="H420" i="4"/>
  <c r="D420" i="4"/>
  <c r="F420" i="4"/>
  <c r="C420" i="4"/>
  <c r="B420" i="4"/>
  <c r="F421" i="5" l="1"/>
  <c r="G421" i="4"/>
  <c r="A422" i="4" s="1"/>
  <c r="F421" i="4"/>
  <c r="C421" i="4"/>
  <c r="H421" i="4"/>
  <c r="E421" i="4"/>
  <c r="D421" i="4"/>
  <c r="B421" i="4"/>
  <c r="D632" i="5"/>
  <c r="E632" i="5"/>
  <c r="A633" i="5" s="1"/>
  <c r="B632" i="5"/>
  <c r="C632" i="5"/>
  <c r="B633" i="5" l="1"/>
  <c r="C633" i="5"/>
  <c r="E633" i="5"/>
  <c r="A634" i="5" s="1"/>
  <c r="D633" i="5"/>
  <c r="F422" i="5"/>
  <c r="E422" i="4"/>
  <c r="C422" i="4"/>
  <c r="B422" i="4"/>
  <c r="H422" i="4"/>
  <c r="G422" i="4"/>
  <c r="A423" i="4" s="1"/>
  <c r="F422" i="4"/>
  <c r="D422" i="4"/>
  <c r="E634" i="5" l="1"/>
  <c r="A635" i="5" s="1"/>
  <c r="D634" i="5"/>
  <c r="B634" i="5"/>
  <c r="C634" i="5"/>
  <c r="F423" i="5"/>
  <c r="C423" i="4"/>
  <c r="B423" i="4"/>
  <c r="G423" i="4"/>
  <c r="A424" i="4" s="1"/>
  <c r="F423" i="4"/>
  <c r="H423" i="4"/>
  <c r="E423" i="4"/>
  <c r="D423" i="4"/>
  <c r="F424" i="5" l="1"/>
  <c r="F424" i="4"/>
  <c r="D424" i="4"/>
  <c r="C424" i="4"/>
  <c r="B424" i="4"/>
  <c r="H424" i="4"/>
  <c r="G424" i="4"/>
  <c r="A425" i="4" s="1"/>
  <c r="E424" i="4"/>
  <c r="D635" i="5"/>
  <c r="C635" i="5"/>
  <c r="B635" i="5"/>
  <c r="E635" i="5"/>
  <c r="A636" i="5" s="1"/>
  <c r="E636" i="5" l="1"/>
  <c r="A637" i="5" s="1"/>
  <c r="D636" i="5"/>
  <c r="B636" i="5"/>
  <c r="C636" i="5"/>
  <c r="F425" i="5"/>
  <c r="E425" i="4"/>
  <c r="C425" i="4"/>
  <c r="B425" i="4"/>
  <c r="G425" i="4"/>
  <c r="A426" i="4" s="1"/>
  <c r="D425" i="4"/>
  <c r="H425" i="4"/>
  <c r="F425" i="4"/>
  <c r="F426" i="5" l="1"/>
  <c r="G426" i="4"/>
  <c r="F426" i="4"/>
  <c r="E426" i="4"/>
  <c r="D426" i="4"/>
  <c r="B426" i="4"/>
  <c r="H426" i="4"/>
  <c r="C426" i="4"/>
  <c r="E637" i="5"/>
  <c r="A638" i="5" s="1"/>
  <c r="D637" i="5"/>
  <c r="C637" i="5"/>
  <c r="B637" i="5"/>
  <c r="B638" i="5" l="1"/>
  <c r="E638" i="5"/>
  <c r="A639" i="5" s="1"/>
  <c r="D638" i="5"/>
  <c r="C638" i="5"/>
  <c r="A427" i="4"/>
  <c r="C76" i="6"/>
  <c r="F427" i="5" l="1"/>
  <c r="B427" i="4"/>
  <c r="H427" i="4"/>
  <c r="G427" i="4"/>
  <c r="A428" i="4" s="1"/>
  <c r="F427" i="4"/>
  <c r="E427" i="4"/>
  <c r="C427" i="4"/>
  <c r="D427" i="4"/>
  <c r="E639" i="5"/>
  <c r="A640" i="5" s="1"/>
  <c r="D639" i="5"/>
  <c r="C639" i="5"/>
  <c r="B639" i="5"/>
  <c r="E428" i="4" l="1"/>
  <c r="C428" i="4"/>
  <c r="B428" i="4"/>
  <c r="F428" i="5"/>
  <c r="H428" i="4"/>
  <c r="G428" i="4"/>
  <c r="A429" i="4" s="1"/>
  <c r="D428" i="4"/>
  <c r="F428" i="4"/>
  <c r="E640" i="5"/>
  <c r="A641" i="5" s="1"/>
  <c r="D640" i="5"/>
  <c r="C640" i="5"/>
  <c r="B640" i="5"/>
  <c r="F429" i="5" l="1"/>
  <c r="B429" i="4"/>
  <c r="F429" i="4"/>
  <c r="D429" i="4"/>
  <c r="C429" i="4"/>
  <c r="H429" i="4"/>
  <c r="G429" i="4"/>
  <c r="A430" i="4" s="1"/>
  <c r="E429" i="4"/>
  <c r="D641" i="5"/>
  <c r="B641" i="5"/>
  <c r="E641" i="5"/>
  <c r="A642" i="5" s="1"/>
  <c r="C641" i="5"/>
  <c r="E642" i="5" l="1"/>
  <c r="A643" i="5" s="1"/>
  <c r="B642" i="5"/>
  <c r="C642" i="5"/>
  <c r="D642" i="5"/>
  <c r="F430" i="5"/>
  <c r="G430" i="4"/>
  <c r="A431" i="4" s="1"/>
  <c r="F430" i="4"/>
  <c r="E430" i="4"/>
  <c r="D430" i="4"/>
  <c r="H430" i="4"/>
  <c r="C430" i="4"/>
  <c r="B430" i="4"/>
  <c r="F431" i="5" l="1"/>
  <c r="E431" i="4"/>
  <c r="C431" i="4"/>
  <c r="B431" i="4"/>
  <c r="G431" i="4"/>
  <c r="A432" i="4" s="1"/>
  <c r="D431" i="4"/>
  <c r="H431" i="4"/>
  <c r="F431" i="4"/>
  <c r="B643" i="5"/>
  <c r="C643" i="5"/>
  <c r="E643" i="5"/>
  <c r="A644" i="5" s="1"/>
  <c r="D643" i="5"/>
  <c r="E644" i="5" l="1"/>
  <c r="A645" i="5" s="1"/>
  <c r="D644" i="5"/>
  <c r="C644" i="5"/>
  <c r="B644" i="5"/>
  <c r="F432" i="5"/>
  <c r="E432" i="4"/>
  <c r="D432" i="4"/>
  <c r="C432" i="4"/>
  <c r="B432" i="4"/>
  <c r="F432" i="4"/>
  <c r="H432" i="4"/>
  <c r="G432" i="4"/>
  <c r="A433" i="4" s="1"/>
  <c r="F433" i="5" l="1"/>
  <c r="F433" i="4"/>
  <c r="E433" i="4"/>
  <c r="D433" i="4"/>
  <c r="C433" i="4"/>
  <c r="H433" i="4"/>
  <c r="G433" i="4"/>
  <c r="A434" i="4" s="1"/>
  <c r="B433" i="4"/>
  <c r="E645" i="5"/>
  <c r="A646" i="5" s="1"/>
  <c r="D645" i="5"/>
  <c r="C645" i="5"/>
  <c r="B645" i="5"/>
  <c r="F434" i="5" l="1"/>
  <c r="E434" i="4"/>
  <c r="C434" i="4"/>
  <c r="B434" i="4"/>
  <c r="H434" i="4"/>
  <c r="G434" i="4"/>
  <c r="A435" i="4" s="1"/>
  <c r="D434" i="4"/>
  <c r="F434" i="4"/>
  <c r="B646" i="5"/>
  <c r="E646" i="5"/>
  <c r="A647" i="5" s="1"/>
  <c r="D646" i="5"/>
  <c r="C646" i="5"/>
  <c r="E647" i="5" l="1"/>
  <c r="A648" i="5" s="1"/>
  <c r="D647" i="5"/>
  <c r="C647" i="5"/>
  <c r="B647" i="5"/>
  <c r="F435" i="5"/>
  <c r="H435" i="4"/>
  <c r="G435" i="4"/>
  <c r="A436" i="4" s="1"/>
  <c r="F435" i="4"/>
  <c r="E435" i="4"/>
  <c r="B435" i="4"/>
  <c r="C435" i="4"/>
  <c r="D435" i="4"/>
  <c r="F436" i="5" l="1"/>
  <c r="B436" i="4"/>
  <c r="H436" i="4"/>
  <c r="G436" i="4"/>
  <c r="A437" i="4" s="1"/>
  <c r="F436" i="4"/>
  <c r="E436" i="4"/>
  <c r="D436" i="4"/>
  <c r="C436" i="4"/>
  <c r="E648" i="5"/>
  <c r="A649" i="5" s="1"/>
  <c r="D648" i="5"/>
  <c r="B648" i="5"/>
  <c r="C648" i="5"/>
  <c r="E649" i="5" l="1"/>
  <c r="A650" i="5" s="1"/>
  <c r="D649" i="5"/>
  <c r="C649" i="5"/>
  <c r="B649" i="5"/>
  <c r="F437" i="5"/>
  <c r="E437" i="4"/>
  <c r="C437" i="4"/>
  <c r="B437" i="4"/>
  <c r="G437" i="4"/>
  <c r="A438" i="4" s="1"/>
  <c r="F437" i="4"/>
  <c r="H437" i="4"/>
  <c r="D437" i="4"/>
  <c r="F438" i="5" l="1"/>
  <c r="H438" i="4"/>
  <c r="E438" i="4"/>
  <c r="G438" i="4"/>
  <c r="F438" i="4"/>
  <c r="D438" i="4"/>
  <c r="C438" i="4"/>
  <c r="B438" i="4"/>
  <c r="D650" i="5"/>
  <c r="E650" i="5"/>
  <c r="A651" i="5" s="1"/>
  <c r="C650" i="5"/>
  <c r="B650" i="5"/>
  <c r="B651" i="5" l="1"/>
  <c r="E651" i="5"/>
  <c r="A652" i="5" s="1"/>
  <c r="D651" i="5"/>
  <c r="C651" i="5"/>
  <c r="A439" i="4"/>
  <c r="C77" i="6"/>
  <c r="F439" i="5" l="1"/>
  <c r="C439" i="4"/>
  <c r="B439" i="4"/>
  <c r="G439" i="4"/>
  <c r="A440" i="4" s="1"/>
  <c r="F439" i="4"/>
  <c r="E439" i="4"/>
  <c r="D439" i="4"/>
  <c r="H439" i="4"/>
  <c r="E652" i="5"/>
  <c r="A653" i="5" s="1"/>
  <c r="D652" i="5"/>
  <c r="C652" i="5"/>
  <c r="B652" i="5"/>
  <c r="F440" i="5" l="1"/>
  <c r="E440" i="4"/>
  <c r="C440" i="4"/>
  <c r="B440" i="4"/>
  <c r="D440" i="4"/>
  <c r="H440" i="4"/>
  <c r="G440" i="4"/>
  <c r="A441" i="4" s="1"/>
  <c r="F440" i="4"/>
  <c r="D653" i="5"/>
  <c r="E653" i="5"/>
  <c r="A654" i="5" s="1"/>
  <c r="C653" i="5"/>
  <c r="B653" i="5"/>
  <c r="F441" i="5" l="1"/>
  <c r="H441" i="4"/>
  <c r="C441" i="4"/>
  <c r="B441" i="4"/>
  <c r="G441" i="4"/>
  <c r="A442" i="4" s="1"/>
  <c r="E441" i="4"/>
  <c r="D441" i="4"/>
  <c r="F441" i="4"/>
  <c r="C654" i="5"/>
  <c r="B654" i="5"/>
  <c r="E654" i="5"/>
  <c r="A655" i="5" s="1"/>
  <c r="D654" i="5"/>
  <c r="F442" i="5" l="1"/>
  <c r="F442" i="4"/>
  <c r="E442" i="4"/>
  <c r="D442" i="4"/>
  <c r="C442" i="4"/>
  <c r="H442" i="4"/>
  <c r="G442" i="4"/>
  <c r="A443" i="4" s="1"/>
  <c r="B442" i="4"/>
  <c r="E655" i="5"/>
  <c r="A656" i="5" s="1"/>
  <c r="C655" i="5"/>
  <c r="D655" i="5"/>
  <c r="B655" i="5"/>
  <c r="E656" i="5" l="1"/>
  <c r="A657" i="5" s="1"/>
  <c r="D656" i="5"/>
  <c r="C656" i="5"/>
  <c r="B656" i="5"/>
  <c r="F443" i="5"/>
  <c r="E443" i="4"/>
  <c r="C443" i="4"/>
  <c r="B443" i="4"/>
  <c r="H443" i="4"/>
  <c r="G443" i="4"/>
  <c r="A444" i="4" s="1"/>
  <c r="F443" i="4"/>
  <c r="D443" i="4"/>
  <c r="F444" i="5" l="1"/>
  <c r="E444" i="4"/>
  <c r="D444" i="4"/>
  <c r="B444" i="4"/>
  <c r="H444" i="4"/>
  <c r="C444" i="4"/>
  <c r="F444" i="4"/>
  <c r="G444" i="4"/>
  <c r="A445" i="4" s="1"/>
  <c r="E657" i="5"/>
  <c r="A658" i="5" s="1"/>
  <c r="D657" i="5"/>
  <c r="C657" i="5"/>
  <c r="B657" i="5"/>
  <c r="E658" i="5" l="1"/>
  <c r="A659" i="5" s="1"/>
  <c r="D658" i="5"/>
  <c r="C658" i="5"/>
  <c r="B658" i="5"/>
  <c r="F445" i="5"/>
  <c r="H445" i="4"/>
  <c r="G445" i="4"/>
  <c r="A446" i="4" s="1"/>
  <c r="F445" i="4"/>
  <c r="C445" i="4"/>
  <c r="D445" i="4"/>
  <c r="B445" i="4"/>
  <c r="E445" i="4"/>
  <c r="B659" i="5" l="1"/>
  <c r="E659" i="5"/>
  <c r="A660" i="5" s="1"/>
  <c r="D659" i="5"/>
  <c r="C659" i="5"/>
  <c r="F446" i="5"/>
  <c r="E446" i="4"/>
  <c r="C446" i="4"/>
  <c r="B446" i="4"/>
  <c r="G446" i="4"/>
  <c r="A447" i="4" s="1"/>
  <c r="F446" i="4"/>
  <c r="H446" i="4"/>
  <c r="D446" i="4"/>
  <c r="F447" i="5" l="1"/>
  <c r="H447" i="4"/>
  <c r="G447" i="4"/>
  <c r="A448" i="4" s="1"/>
  <c r="F447" i="4"/>
  <c r="E447" i="4"/>
  <c r="D447" i="4"/>
  <c r="C447" i="4"/>
  <c r="B447" i="4"/>
  <c r="E660" i="5"/>
  <c r="A661" i="5" s="1"/>
  <c r="D660" i="5"/>
  <c r="C660" i="5"/>
  <c r="B660" i="5"/>
  <c r="C661" i="5" l="1"/>
  <c r="D661" i="5"/>
  <c r="B661" i="5"/>
  <c r="E661" i="5"/>
  <c r="A662" i="5" s="1"/>
  <c r="F448" i="5"/>
  <c r="F448" i="4"/>
  <c r="E448" i="4"/>
  <c r="D448" i="4"/>
  <c r="B448" i="4"/>
  <c r="G448" i="4"/>
  <c r="A449" i="4" s="1"/>
  <c r="C448" i="4"/>
  <c r="H448" i="4"/>
  <c r="F449" i="5" l="1"/>
  <c r="E449" i="4"/>
  <c r="C449" i="4"/>
  <c r="B449" i="4"/>
  <c r="G449" i="4"/>
  <c r="A450" i="4" s="1"/>
  <c r="F449" i="4"/>
  <c r="D449" i="4"/>
  <c r="H449" i="4"/>
  <c r="B662" i="5"/>
  <c r="E662" i="5"/>
  <c r="A663" i="5" s="1"/>
  <c r="D662" i="5"/>
  <c r="C662" i="5"/>
  <c r="F450" i="5" l="1"/>
  <c r="H450" i="4"/>
  <c r="G450" i="4"/>
  <c r="F450" i="4"/>
  <c r="B450" i="4"/>
  <c r="D450" i="4"/>
  <c r="C450" i="4"/>
  <c r="E450" i="4"/>
  <c r="E663" i="5"/>
  <c r="A664" i="5" s="1"/>
  <c r="D663" i="5"/>
  <c r="C663" i="5"/>
  <c r="B663" i="5"/>
  <c r="E664" i="5" l="1"/>
  <c r="A665" i="5" s="1"/>
  <c r="D664" i="5"/>
  <c r="C664" i="5"/>
  <c r="B664" i="5"/>
  <c r="A451" i="4"/>
  <c r="C78" i="6"/>
  <c r="H451" i="4" l="1"/>
  <c r="G451" i="4"/>
  <c r="A452" i="4" s="1"/>
  <c r="E451" i="4"/>
  <c r="D451" i="4"/>
  <c r="F451" i="5"/>
  <c r="F451" i="4"/>
  <c r="C451" i="4"/>
  <c r="B451" i="4"/>
  <c r="B665" i="5"/>
  <c r="E665" i="5"/>
  <c r="A666" i="5" s="1"/>
  <c r="D665" i="5"/>
  <c r="C665" i="5"/>
  <c r="B666" i="5" l="1"/>
  <c r="E666" i="5"/>
  <c r="A667" i="5" s="1"/>
  <c r="D666" i="5"/>
  <c r="C666" i="5"/>
  <c r="F452" i="5"/>
  <c r="E452" i="4"/>
  <c r="C452" i="4"/>
  <c r="B452" i="4"/>
  <c r="H452" i="4"/>
  <c r="G452" i="4"/>
  <c r="A453" i="4" s="1"/>
  <c r="F452" i="4"/>
  <c r="D452" i="4"/>
  <c r="B453" i="4" l="1"/>
  <c r="E453" i="4"/>
  <c r="D453" i="4"/>
  <c r="C453" i="4"/>
  <c r="H453" i="4"/>
  <c r="G453" i="4"/>
  <c r="A454" i="4" s="1"/>
  <c r="F453" i="5"/>
  <c r="F453" i="4"/>
  <c r="E667" i="5"/>
  <c r="A668" i="5" s="1"/>
  <c r="C667" i="5"/>
  <c r="B667" i="5"/>
  <c r="D667" i="5"/>
  <c r="E668" i="5" l="1"/>
  <c r="A669" i="5" s="1"/>
  <c r="D668" i="5"/>
  <c r="C668" i="5"/>
  <c r="B668" i="5"/>
  <c r="F454" i="5"/>
  <c r="H454" i="4"/>
  <c r="G454" i="4"/>
  <c r="A455" i="4" s="1"/>
  <c r="F454" i="4"/>
  <c r="D454" i="4"/>
  <c r="E454" i="4"/>
  <c r="C454" i="4"/>
  <c r="B454" i="4"/>
  <c r="F455" i="5" l="1"/>
  <c r="E455" i="4"/>
  <c r="C455" i="4"/>
  <c r="B455" i="4"/>
  <c r="G455" i="4"/>
  <c r="A456" i="4" s="1"/>
  <c r="H455" i="4"/>
  <c r="F455" i="4"/>
  <c r="D455" i="4"/>
  <c r="B669" i="5"/>
  <c r="E669" i="5"/>
  <c r="A670" i="5" s="1"/>
  <c r="D669" i="5"/>
  <c r="C669" i="5"/>
  <c r="E670" i="5" l="1"/>
  <c r="A671" i="5" s="1"/>
  <c r="C670" i="5"/>
  <c r="B670" i="5"/>
  <c r="D670" i="5"/>
  <c r="F456" i="5"/>
  <c r="E456" i="4"/>
  <c r="D456" i="4"/>
  <c r="C456" i="4"/>
  <c r="B456" i="4"/>
  <c r="H456" i="4"/>
  <c r="G456" i="4"/>
  <c r="A457" i="4" s="1"/>
  <c r="F456" i="4"/>
  <c r="F457" i="5" l="1"/>
  <c r="E457" i="4"/>
  <c r="D457" i="4"/>
  <c r="B457" i="4"/>
  <c r="H457" i="4"/>
  <c r="C457" i="4"/>
  <c r="G457" i="4"/>
  <c r="A458" i="4" s="1"/>
  <c r="F457" i="4"/>
  <c r="E671" i="5"/>
  <c r="A672" i="5" s="1"/>
  <c r="D671" i="5"/>
  <c r="B671" i="5"/>
  <c r="C671" i="5"/>
  <c r="F458" i="5" l="1"/>
  <c r="E458" i="4"/>
  <c r="C458" i="4"/>
  <c r="B458" i="4"/>
  <c r="F458" i="4"/>
  <c r="H458" i="4"/>
  <c r="G458" i="4"/>
  <c r="A459" i="4" s="1"/>
  <c r="D458" i="4"/>
  <c r="E672" i="5"/>
  <c r="A673" i="5" s="1"/>
  <c r="D672" i="5"/>
  <c r="C672" i="5"/>
  <c r="B672" i="5"/>
  <c r="F459" i="5" l="1"/>
  <c r="D459" i="4"/>
  <c r="H459" i="4"/>
  <c r="G459" i="4"/>
  <c r="A460" i="4" s="1"/>
  <c r="F459" i="4"/>
  <c r="B459" i="4"/>
  <c r="E459" i="4"/>
  <c r="C459" i="4"/>
  <c r="C673" i="5"/>
  <c r="B673" i="5"/>
  <c r="D673" i="5"/>
  <c r="E673" i="5"/>
  <c r="A674" i="5" s="1"/>
  <c r="E674" i="5" l="1"/>
  <c r="A675" i="5" s="1"/>
  <c r="D674" i="5"/>
  <c r="C674" i="5"/>
  <c r="B674" i="5"/>
  <c r="F460" i="5"/>
  <c r="H460" i="4"/>
  <c r="D460" i="4"/>
  <c r="C460" i="4"/>
  <c r="B460" i="4"/>
  <c r="F460" i="4"/>
  <c r="E460" i="4"/>
  <c r="G460" i="4"/>
  <c r="A461" i="4" s="1"/>
  <c r="F461" i="4" l="1"/>
  <c r="D461" i="4"/>
  <c r="C461" i="4"/>
  <c r="F461" i="5"/>
  <c r="H461" i="4"/>
  <c r="E461" i="4"/>
  <c r="B461" i="4"/>
  <c r="G461" i="4"/>
  <c r="A462" i="4" s="1"/>
  <c r="D675" i="5"/>
  <c r="E675" i="5"/>
  <c r="A676" i="5" s="1"/>
  <c r="C675" i="5"/>
  <c r="B675" i="5"/>
  <c r="E676" i="5" l="1"/>
  <c r="A677" i="5" s="1"/>
  <c r="D676" i="5"/>
  <c r="C676" i="5"/>
  <c r="B676" i="5"/>
  <c r="F462" i="4"/>
  <c r="D462" i="4"/>
  <c r="F462" i="5"/>
  <c r="H462" i="4"/>
  <c r="G462" i="4"/>
  <c r="E462" i="4"/>
  <c r="C462" i="4"/>
  <c r="B462" i="4"/>
  <c r="C79" i="6" l="1"/>
  <c r="A463" i="4"/>
  <c r="E677" i="5"/>
  <c r="A678" i="5" s="1"/>
  <c r="D677" i="5"/>
  <c r="C677" i="5"/>
  <c r="B677" i="5"/>
  <c r="E678" i="5" l="1"/>
  <c r="A679" i="5" s="1"/>
  <c r="D678" i="5"/>
  <c r="C678" i="5"/>
  <c r="B678" i="5"/>
  <c r="F463" i="5"/>
  <c r="F463" i="4"/>
  <c r="E463" i="4"/>
  <c r="D463" i="4"/>
  <c r="C463" i="4"/>
  <c r="B463" i="4"/>
  <c r="H463" i="4"/>
  <c r="G463" i="4"/>
  <c r="A464" i="4" s="1"/>
  <c r="F464" i="5" l="1"/>
  <c r="H464" i="4"/>
  <c r="F464" i="4"/>
  <c r="E464" i="4"/>
  <c r="D464" i="4"/>
  <c r="B464" i="4"/>
  <c r="G464" i="4"/>
  <c r="A465" i="4" s="1"/>
  <c r="C464" i="4"/>
  <c r="E679" i="5"/>
  <c r="A680" i="5" s="1"/>
  <c r="D679" i="5"/>
  <c r="C679" i="5"/>
  <c r="B679" i="5"/>
  <c r="E680" i="5" l="1"/>
  <c r="A681" i="5" s="1"/>
  <c r="D680" i="5"/>
  <c r="C680" i="5"/>
  <c r="B680" i="5"/>
  <c r="F465" i="5"/>
  <c r="F465" i="4"/>
  <c r="D465" i="4"/>
  <c r="H465" i="4"/>
  <c r="G465" i="4"/>
  <c r="A466" i="4" s="1"/>
  <c r="C465" i="4"/>
  <c r="B465" i="4"/>
  <c r="E465" i="4"/>
  <c r="F466" i="5" l="1"/>
  <c r="H466" i="4"/>
  <c r="E466" i="4"/>
  <c r="F466" i="4"/>
  <c r="D466" i="4"/>
  <c r="B466" i="4"/>
  <c r="C466" i="4"/>
  <c r="G466" i="4"/>
  <c r="A467" i="4" s="1"/>
  <c r="D681" i="5"/>
  <c r="B681" i="5"/>
  <c r="E681" i="5"/>
  <c r="A682" i="5" s="1"/>
  <c r="C681" i="5"/>
  <c r="B682" i="5" l="1"/>
  <c r="C682" i="5"/>
  <c r="E682" i="5"/>
  <c r="A683" i="5" s="1"/>
  <c r="D682" i="5"/>
  <c r="F467" i="5"/>
  <c r="H467" i="4"/>
  <c r="G467" i="4"/>
  <c r="A468" i="4" s="1"/>
  <c r="C467" i="4"/>
  <c r="B467" i="4"/>
  <c r="F467" i="4"/>
  <c r="E467" i="4"/>
  <c r="D467" i="4"/>
  <c r="F468" i="4" l="1"/>
  <c r="D468" i="4"/>
  <c r="F468" i="5"/>
  <c r="B468" i="4"/>
  <c r="H468" i="4"/>
  <c r="E468" i="4"/>
  <c r="C468" i="4"/>
  <c r="G468" i="4"/>
  <c r="A469" i="4" s="1"/>
  <c r="E683" i="5"/>
  <c r="A684" i="5" s="1"/>
  <c r="D683" i="5"/>
  <c r="C683" i="5"/>
  <c r="B683" i="5"/>
  <c r="E684" i="5" l="1"/>
  <c r="A685" i="5" s="1"/>
  <c r="D684" i="5"/>
  <c r="C684" i="5"/>
  <c r="B684" i="5"/>
  <c r="F469" i="5"/>
  <c r="G469" i="4"/>
  <c r="A470" i="4" s="1"/>
  <c r="F469" i="4"/>
  <c r="C469" i="4"/>
  <c r="B469" i="4"/>
  <c r="H469" i="4"/>
  <c r="E469" i="4"/>
  <c r="D469" i="4"/>
  <c r="F470" i="5" l="1"/>
  <c r="H470" i="4"/>
  <c r="G470" i="4"/>
  <c r="A471" i="4" s="1"/>
  <c r="F470" i="4"/>
  <c r="E470" i="4"/>
  <c r="B470" i="4"/>
  <c r="D470" i="4"/>
  <c r="C470" i="4"/>
  <c r="B685" i="5"/>
  <c r="E685" i="5"/>
  <c r="A686" i="5" s="1"/>
  <c r="D685" i="5"/>
  <c r="C685" i="5"/>
  <c r="D686" i="5" l="1"/>
  <c r="B686" i="5"/>
  <c r="E686" i="5"/>
  <c r="A687" i="5" s="1"/>
  <c r="C686" i="5"/>
  <c r="F471" i="4"/>
  <c r="D471" i="4"/>
  <c r="F471" i="5"/>
  <c r="E471" i="4"/>
  <c r="B471" i="4"/>
  <c r="H471" i="4"/>
  <c r="C471" i="4"/>
  <c r="G471" i="4"/>
  <c r="A472" i="4" s="1"/>
  <c r="B687" i="5" l="1"/>
  <c r="D687" i="5"/>
  <c r="C687" i="5"/>
  <c r="E687" i="5"/>
  <c r="A688" i="5" s="1"/>
  <c r="F472" i="5"/>
  <c r="H472" i="4"/>
  <c r="G472" i="4"/>
  <c r="A473" i="4" s="1"/>
  <c r="E472" i="4"/>
  <c r="F472" i="4"/>
  <c r="D472" i="4"/>
  <c r="C472" i="4"/>
  <c r="B472" i="4"/>
  <c r="E688" i="5" l="1"/>
  <c r="A689" i="5" s="1"/>
  <c r="D688" i="5"/>
  <c r="C688" i="5"/>
  <c r="B688" i="5"/>
  <c r="F473" i="5"/>
  <c r="G473" i="4"/>
  <c r="A474" i="4" s="1"/>
  <c r="D473" i="4"/>
  <c r="C473" i="4"/>
  <c r="B473" i="4"/>
  <c r="E473" i="4"/>
  <c r="F473" i="4"/>
  <c r="H473" i="4"/>
  <c r="F474" i="4" l="1"/>
  <c r="D474" i="4"/>
  <c r="H474" i="4"/>
  <c r="E474" i="4"/>
  <c r="C474" i="4"/>
  <c r="G474" i="4"/>
  <c r="B474" i="4"/>
  <c r="F474" i="5"/>
  <c r="B689" i="5"/>
  <c r="C689" i="5"/>
  <c r="E689" i="5"/>
  <c r="A690" i="5" s="1"/>
  <c r="D689" i="5"/>
  <c r="A475" i="4" l="1"/>
  <c r="C80" i="6"/>
  <c r="E690" i="5"/>
  <c r="A691" i="5" s="1"/>
  <c r="D690" i="5"/>
  <c r="C690" i="5"/>
  <c r="B690" i="5"/>
  <c r="D691" i="5" l="1"/>
  <c r="C691" i="5"/>
  <c r="B691" i="5"/>
  <c r="E691" i="5"/>
  <c r="A692" i="5" s="1"/>
  <c r="F475" i="5"/>
  <c r="B475" i="4"/>
  <c r="H475" i="4"/>
  <c r="G475" i="4"/>
  <c r="A476" i="4" s="1"/>
  <c r="F475" i="4"/>
  <c r="E475" i="4"/>
  <c r="D475" i="4"/>
  <c r="C475" i="4"/>
  <c r="E692" i="5" l="1"/>
  <c r="A693" i="5" s="1"/>
  <c r="D692" i="5"/>
  <c r="B692" i="5"/>
  <c r="C692" i="5"/>
  <c r="F476" i="5"/>
  <c r="C476" i="4"/>
  <c r="B476" i="4"/>
  <c r="G476" i="4"/>
  <c r="A477" i="4" s="1"/>
  <c r="F476" i="4"/>
  <c r="H476" i="4"/>
  <c r="E476" i="4"/>
  <c r="D476" i="4"/>
  <c r="B693" i="5" l="1"/>
  <c r="D693" i="5"/>
  <c r="C693" i="5"/>
  <c r="E693" i="5"/>
  <c r="A694" i="5" s="1"/>
  <c r="F477" i="4"/>
  <c r="D477" i="4"/>
  <c r="H477" i="4"/>
  <c r="G477" i="4"/>
  <c r="A478" i="4" s="1"/>
  <c r="F477" i="5"/>
  <c r="E477" i="4"/>
  <c r="C477" i="4"/>
  <c r="B477" i="4"/>
  <c r="B478" i="4" l="1"/>
  <c r="G478" i="4"/>
  <c r="A479" i="4" s="1"/>
  <c r="F478" i="4"/>
  <c r="E478" i="4"/>
  <c r="D478" i="4"/>
  <c r="F478" i="5"/>
  <c r="H478" i="4"/>
  <c r="C478" i="4"/>
  <c r="D694" i="5"/>
  <c r="C694" i="5"/>
  <c r="B694" i="5"/>
  <c r="E694" i="5"/>
  <c r="A695" i="5" s="1"/>
  <c r="E695" i="5" l="1"/>
  <c r="A696" i="5" s="1"/>
  <c r="D695" i="5"/>
  <c r="C695" i="5"/>
  <c r="B695" i="5"/>
  <c r="F479" i="5"/>
  <c r="H479" i="4"/>
  <c r="G479" i="4"/>
  <c r="A480" i="4" s="1"/>
  <c r="F479" i="4"/>
  <c r="E479" i="4"/>
  <c r="C479" i="4"/>
  <c r="D479" i="4"/>
  <c r="B479" i="4"/>
  <c r="D696" i="5" l="1"/>
  <c r="C696" i="5"/>
  <c r="B696" i="5"/>
  <c r="E696" i="5"/>
  <c r="A697" i="5" s="1"/>
  <c r="F480" i="4"/>
  <c r="D480" i="4"/>
  <c r="F480" i="5"/>
  <c r="G480" i="4"/>
  <c r="A481" i="4" s="1"/>
  <c r="E480" i="4"/>
  <c r="B480" i="4"/>
  <c r="H480" i="4"/>
  <c r="C480" i="4"/>
  <c r="F481" i="5" l="1"/>
  <c r="D481" i="4"/>
  <c r="B481" i="4"/>
  <c r="F481" i="4"/>
  <c r="H481" i="4"/>
  <c r="G481" i="4"/>
  <c r="A482" i="4" s="1"/>
  <c r="E481" i="4"/>
  <c r="C481" i="4"/>
  <c r="B697" i="5"/>
  <c r="E697" i="5"/>
  <c r="A698" i="5" s="1"/>
  <c r="D697" i="5"/>
  <c r="C697" i="5"/>
  <c r="F482" i="5" l="1"/>
  <c r="D482" i="4"/>
  <c r="C482" i="4"/>
  <c r="B482" i="4"/>
  <c r="H482" i="4"/>
  <c r="E482" i="4"/>
  <c r="G482" i="4"/>
  <c r="A483" i="4" s="1"/>
  <c r="F482" i="4"/>
  <c r="E698" i="5"/>
  <c r="A699" i="5" s="1"/>
  <c r="D698" i="5"/>
  <c r="C698" i="5"/>
  <c r="B698" i="5"/>
  <c r="C699" i="5" l="1"/>
  <c r="B699" i="5"/>
  <c r="E699" i="5"/>
  <c r="A700" i="5" s="1"/>
  <c r="D699" i="5"/>
  <c r="F483" i="5"/>
  <c r="F483" i="4"/>
  <c r="D483" i="4"/>
  <c r="C483" i="4"/>
  <c r="E483" i="4"/>
  <c r="B483" i="4"/>
  <c r="H483" i="4"/>
  <c r="G483" i="4"/>
  <c r="A484" i="4" s="1"/>
  <c r="E700" i="5" l="1"/>
  <c r="A701" i="5" s="1"/>
  <c r="C700" i="5"/>
  <c r="B700" i="5"/>
  <c r="D700" i="5"/>
  <c r="F484" i="5"/>
  <c r="F484" i="4"/>
  <c r="D484" i="4"/>
  <c r="C484" i="4"/>
  <c r="H484" i="4"/>
  <c r="G484" i="4"/>
  <c r="A485" i="4" s="1"/>
  <c r="E484" i="4"/>
  <c r="B484" i="4"/>
  <c r="F485" i="5" l="1"/>
  <c r="H485" i="4"/>
  <c r="G485" i="4"/>
  <c r="A486" i="4" s="1"/>
  <c r="F485" i="4"/>
  <c r="C485" i="4"/>
  <c r="E485" i="4"/>
  <c r="D485" i="4"/>
  <c r="B485" i="4"/>
  <c r="C701" i="5"/>
  <c r="E701" i="5"/>
  <c r="A702" i="5" s="1"/>
  <c r="D701" i="5"/>
  <c r="B701" i="5"/>
  <c r="E702" i="5" l="1"/>
  <c r="A703" i="5" s="1"/>
  <c r="D702" i="5"/>
  <c r="C702" i="5"/>
  <c r="B702" i="5"/>
  <c r="F486" i="5"/>
  <c r="F486" i="4"/>
  <c r="D486" i="4"/>
  <c r="E486" i="4"/>
  <c r="B486" i="4"/>
  <c r="C486" i="4"/>
  <c r="H486" i="4"/>
  <c r="G486" i="4"/>
  <c r="A487" i="4" l="1"/>
  <c r="C81" i="6"/>
  <c r="C703" i="5"/>
  <c r="B703" i="5"/>
  <c r="E703" i="5"/>
  <c r="A704" i="5" s="1"/>
  <c r="D703" i="5"/>
  <c r="D704" i="5" l="1"/>
  <c r="E704" i="5"/>
  <c r="A705" i="5" s="1"/>
  <c r="C704" i="5"/>
  <c r="B704" i="5"/>
  <c r="F487" i="5"/>
  <c r="H487" i="4"/>
  <c r="F487" i="4"/>
  <c r="E487" i="4"/>
  <c r="G487" i="4"/>
  <c r="A488" i="4" s="1"/>
  <c r="D487" i="4"/>
  <c r="C487" i="4"/>
  <c r="B487" i="4"/>
  <c r="F488" i="5" l="1"/>
  <c r="H488" i="4"/>
  <c r="F488" i="4"/>
  <c r="E488" i="4"/>
  <c r="B488" i="4"/>
  <c r="C488" i="4"/>
  <c r="G488" i="4"/>
  <c r="A489" i="4" s="1"/>
  <c r="D488" i="4"/>
  <c r="D705" i="5"/>
  <c r="E705" i="5"/>
  <c r="A706" i="5" s="1"/>
  <c r="C705" i="5"/>
  <c r="B705" i="5"/>
  <c r="C706" i="5" l="1"/>
  <c r="B706" i="5"/>
  <c r="E706" i="5"/>
  <c r="A707" i="5" s="1"/>
  <c r="D706" i="5"/>
  <c r="F489" i="5"/>
  <c r="F489" i="4"/>
  <c r="D489" i="4"/>
  <c r="H489" i="4"/>
  <c r="G489" i="4"/>
  <c r="A490" i="4" s="1"/>
  <c r="E489" i="4"/>
  <c r="C489" i="4"/>
  <c r="B489" i="4"/>
  <c r="H490" i="4" l="1"/>
  <c r="F490" i="5"/>
  <c r="G490" i="4"/>
  <c r="A491" i="4" s="1"/>
  <c r="D490" i="4"/>
  <c r="C490" i="4"/>
  <c r="B490" i="4"/>
  <c r="E490" i="4"/>
  <c r="F490" i="4"/>
  <c r="E707" i="5"/>
  <c r="A708" i="5" s="1"/>
  <c r="D707" i="5"/>
  <c r="C707" i="5"/>
  <c r="B707" i="5"/>
  <c r="C708" i="5" l="1"/>
  <c r="B708" i="5"/>
  <c r="E708" i="5"/>
  <c r="A709" i="5" s="1"/>
  <c r="D708" i="5"/>
  <c r="F491" i="5"/>
  <c r="B491" i="4"/>
  <c r="G491" i="4"/>
  <c r="A492" i="4" s="1"/>
  <c r="F491" i="4"/>
  <c r="E491" i="4"/>
  <c r="D491" i="4"/>
  <c r="C491" i="4"/>
  <c r="H491" i="4"/>
  <c r="F492" i="5" l="1"/>
  <c r="F492" i="4"/>
  <c r="D492" i="4"/>
  <c r="G492" i="4"/>
  <c r="A493" i="4" s="1"/>
  <c r="E492" i="4"/>
  <c r="C492" i="4"/>
  <c r="H492" i="4"/>
  <c r="B492" i="4"/>
  <c r="E709" i="5"/>
  <c r="A710" i="5" s="1"/>
  <c r="D709" i="5"/>
  <c r="C709" i="5"/>
  <c r="B709" i="5"/>
  <c r="F493" i="5" l="1"/>
  <c r="E493" i="4"/>
  <c r="D493" i="4"/>
  <c r="C493" i="4"/>
  <c r="B493" i="4"/>
  <c r="H493" i="4"/>
  <c r="G493" i="4"/>
  <c r="A494" i="4" s="1"/>
  <c r="F493" i="4"/>
  <c r="E710" i="5"/>
  <c r="A711" i="5" s="1"/>
  <c r="D710" i="5"/>
  <c r="C710" i="5"/>
  <c r="B710" i="5"/>
  <c r="E711" i="5" l="1"/>
  <c r="A712" i="5" s="1"/>
  <c r="C711" i="5"/>
  <c r="D711" i="5"/>
  <c r="B711" i="5"/>
  <c r="F494" i="5"/>
  <c r="D494" i="4"/>
  <c r="B494" i="4"/>
  <c r="H494" i="4"/>
  <c r="F494" i="4"/>
  <c r="E494" i="4"/>
  <c r="C494" i="4"/>
  <c r="G494" i="4"/>
  <c r="A495" i="4" s="1"/>
  <c r="F495" i="4" l="1"/>
  <c r="D495" i="4"/>
  <c r="F495" i="5"/>
  <c r="G495" i="4"/>
  <c r="A496" i="4" s="1"/>
  <c r="E495" i="4"/>
  <c r="H495" i="4"/>
  <c r="B495" i="4"/>
  <c r="C495" i="4"/>
  <c r="E712" i="5"/>
  <c r="A713" i="5" s="1"/>
  <c r="D712" i="5"/>
  <c r="C712" i="5"/>
  <c r="B712" i="5"/>
  <c r="F496" i="5" l="1"/>
  <c r="H496" i="4"/>
  <c r="G496" i="4"/>
  <c r="A497" i="4" s="1"/>
  <c r="D496" i="4"/>
  <c r="F496" i="4"/>
  <c r="E496" i="4"/>
  <c r="C496" i="4"/>
  <c r="B496" i="4"/>
  <c r="B713" i="5"/>
  <c r="E713" i="5"/>
  <c r="A714" i="5" s="1"/>
  <c r="D713" i="5"/>
  <c r="C713" i="5"/>
  <c r="E714" i="5" l="1"/>
  <c r="A715" i="5" s="1"/>
  <c r="D714" i="5"/>
  <c r="C714" i="5"/>
  <c r="B714" i="5"/>
  <c r="F497" i="5"/>
  <c r="F497" i="4"/>
  <c r="D497" i="4"/>
  <c r="C497" i="4"/>
  <c r="B497" i="4"/>
  <c r="G497" i="4"/>
  <c r="A498" i="4" s="1"/>
  <c r="E497" i="4"/>
  <c r="H497" i="4"/>
  <c r="F498" i="5" l="1"/>
  <c r="F498" i="4"/>
  <c r="D498" i="4"/>
  <c r="H498" i="4"/>
  <c r="G498" i="4"/>
  <c r="A499" i="4" s="1"/>
  <c r="E498" i="4"/>
  <c r="C498" i="4"/>
  <c r="B498" i="4"/>
  <c r="B715" i="5"/>
  <c r="E715" i="5"/>
  <c r="A716" i="5" s="1"/>
  <c r="D715" i="5"/>
  <c r="C715" i="5"/>
  <c r="F499" i="5" l="1"/>
  <c r="E499" i="4"/>
  <c r="D499" i="4"/>
  <c r="B499" i="4"/>
  <c r="H499" i="4"/>
  <c r="G499" i="4"/>
  <c r="A500" i="4" s="1"/>
  <c r="F499" i="4"/>
  <c r="C499" i="4"/>
  <c r="D716" i="5"/>
  <c r="C716" i="5"/>
  <c r="E716" i="5"/>
  <c r="A717" i="5" s="1"/>
  <c r="B716" i="5"/>
  <c r="F500" i="5" l="1"/>
  <c r="H500" i="4"/>
  <c r="F500" i="4"/>
  <c r="E500" i="4"/>
  <c r="G500" i="4"/>
  <c r="A501" i="4" s="1"/>
  <c r="D500" i="4"/>
  <c r="C500" i="4"/>
  <c r="B500" i="4"/>
  <c r="D717" i="5"/>
  <c r="C717" i="5"/>
  <c r="E717" i="5"/>
  <c r="A718" i="5" s="1"/>
  <c r="B717" i="5"/>
  <c r="E718" i="5" l="1"/>
  <c r="A719" i="5" s="1"/>
  <c r="D718" i="5"/>
  <c r="C718" i="5"/>
  <c r="B718" i="5"/>
  <c r="F501" i="4"/>
  <c r="D501" i="4"/>
  <c r="F501" i="5"/>
  <c r="B501" i="4"/>
  <c r="H501" i="4"/>
  <c r="C501" i="4"/>
  <c r="E501" i="4"/>
  <c r="G501" i="4"/>
  <c r="A502" i="4" s="1"/>
  <c r="F502" i="5" l="1"/>
  <c r="C502" i="4"/>
  <c r="F502" i="4"/>
  <c r="G502" i="4"/>
  <c r="A503" i="4" s="1"/>
  <c r="B502" i="4"/>
  <c r="H502" i="4"/>
  <c r="E502" i="4"/>
  <c r="D502" i="4"/>
  <c r="D719" i="5"/>
  <c r="C719" i="5"/>
  <c r="B719" i="5"/>
  <c r="E719" i="5"/>
  <c r="A720" i="5" s="1"/>
  <c r="E720" i="5" l="1"/>
  <c r="A721" i="5" s="1"/>
  <c r="D720" i="5"/>
  <c r="C720" i="5"/>
  <c r="B720" i="5"/>
  <c r="F503" i="5"/>
  <c r="H503" i="4"/>
  <c r="G503" i="4"/>
  <c r="A504" i="4" s="1"/>
  <c r="F503" i="4"/>
  <c r="D503" i="4"/>
  <c r="C503" i="4"/>
  <c r="B503" i="4"/>
  <c r="E503" i="4"/>
  <c r="E721" i="5" l="1"/>
  <c r="A722" i="5" s="1"/>
  <c r="D721" i="5"/>
  <c r="C721" i="5"/>
  <c r="B721" i="5"/>
  <c r="F504" i="5"/>
  <c r="F504" i="4"/>
  <c r="D504" i="4"/>
  <c r="B504" i="4"/>
  <c r="H504" i="4"/>
  <c r="G504" i="4"/>
  <c r="A505" i="4" s="1"/>
  <c r="E504" i="4"/>
  <c r="C504" i="4"/>
  <c r="F505" i="5" l="1"/>
  <c r="F505" i="4"/>
  <c r="D505" i="4"/>
  <c r="C505" i="4"/>
  <c r="G505" i="4"/>
  <c r="A506" i="4" s="1"/>
  <c r="E505" i="4"/>
  <c r="H505" i="4"/>
  <c r="B505" i="4"/>
  <c r="B722" i="5"/>
  <c r="E722" i="5"/>
  <c r="A723" i="5" s="1"/>
  <c r="C722" i="5"/>
  <c r="D722" i="5"/>
  <c r="B723" i="5" l="1"/>
  <c r="E723" i="5"/>
  <c r="A724" i="5" s="1"/>
  <c r="D723" i="5"/>
  <c r="C723" i="5"/>
  <c r="F506" i="5"/>
  <c r="H506" i="4"/>
  <c r="E506" i="4"/>
  <c r="D506" i="4"/>
  <c r="C506" i="4"/>
  <c r="B506" i="4"/>
  <c r="F506" i="4"/>
  <c r="G506" i="4"/>
  <c r="A507" i="4" s="1"/>
  <c r="F507" i="5" l="1"/>
  <c r="F507" i="4"/>
  <c r="D507" i="4"/>
  <c r="E507" i="4"/>
  <c r="B507" i="4"/>
  <c r="H507" i="4"/>
  <c r="C507" i="4"/>
  <c r="G507" i="4"/>
  <c r="A508" i="4" s="1"/>
  <c r="E724" i="5"/>
  <c r="A725" i="5" s="1"/>
  <c r="D724" i="5"/>
  <c r="C724" i="5"/>
  <c r="B724" i="5"/>
  <c r="D725" i="5" l="1"/>
  <c r="E725" i="5"/>
  <c r="A726" i="5" s="1"/>
  <c r="C725" i="5"/>
  <c r="B725" i="5"/>
  <c r="F508" i="5"/>
  <c r="F508" i="4"/>
  <c r="D508" i="4"/>
  <c r="C508" i="4"/>
  <c r="G508" i="4"/>
  <c r="A509" i="4" s="1"/>
  <c r="E508" i="4"/>
  <c r="B508" i="4"/>
  <c r="H508" i="4"/>
  <c r="F509" i="5" l="1"/>
  <c r="B509" i="4"/>
  <c r="G509" i="4"/>
  <c r="A510" i="4" s="1"/>
  <c r="F509" i="4"/>
  <c r="E509" i="4"/>
  <c r="D509" i="4"/>
  <c r="C509" i="4"/>
  <c r="H509" i="4"/>
  <c r="D726" i="5"/>
  <c r="E726" i="5"/>
  <c r="A727" i="5" s="1"/>
  <c r="C726" i="5"/>
  <c r="B726" i="5"/>
  <c r="C727" i="5" l="1"/>
  <c r="E727" i="5"/>
  <c r="A728" i="5" s="1"/>
  <c r="D727" i="5"/>
  <c r="B727" i="5"/>
  <c r="F510" i="4"/>
  <c r="D510" i="4"/>
  <c r="H510" i="4"/>
  <c r="E510" i="4"/>
  <c r="C510" i="4"/>
  <c r="F510" i="5"/>
  <c r="B510" i="4"/>
  <c r="G510" i="4"/>
  <c r="A511" i="4" s="1"/>
  <c r="F511" i="5" l="1"/>
  <c r="H511" i="4"/>
  <c r="E511" i="4"/>
  <c r="G511" i="4"/>
  <c r="A512" i="4" s="1"/>
  <c r="F511" i="4"/>
  <c r="C511" i="4"/>
  <c r="D511" i="4"/>
  <c r="B511" i="4"/>
  <c r="D728" i="5"/>
  <c r="C728" i="5"/>
  <c r="B728" i="5"/>
  <c r="E728" i="5"/>
  <c r="A729" i="5" s="1"/>
  <c r="E729" i="5" l="1"/>
  <c r="A730" i="5" s="1"/>
  <c r="D729" i="5"/>
  <c r="C729" i="5"/>
  <c r="B729" i="5"/>
  <c r="F512" i="5"/>
  <c r="C512" i="4"/>
  <c r="B512" i="4"/>
  <c r="H512" i="4"/>
  <c r="G512" i="4"/>
  <c r="A513" i="4" s="1"/>
  <c r="F512" i="4"/>
  <c r="E512" i="4"/>
  <c r="D512" i="4"/>
  <c r="F513" i="5" l="1"/>
  <c r="F513" i="4"/>
  <c r="D513" i="4"/>
  <c r="H513" i="4"/>
  <c r="G513" i="4"/>
  <c r="A514" i="4" s="1"/>
  <c r="E513" i="4"/>
  <c r="C513" i="4"/>
  <c r="B513" i="4"/>
  <c r="B730" i="5"/>
  <c r="E730" i="5"/>
  <c r="A731" i="5" s="1"/>
  <c r="C730" i="5"/>
  <c r="D730" i="5"/>
  <c r="D731" i="5" l="1"/>
  <c r="B731" i="5"/>
  <c r="E731" i="5"/>
  <c r="A732" i="5" s="1"/>
  <c r="C731" i="5"/>
  <c r="F514" i="5"/>
  <c r="B514" i="4"/>
  <c r="G514" i="4"/>
  <c r="A515" i="4" s="1"/>
  <c r="E514" i="4"/>
  <c r="D514" i="4"/>
  <c r="H514" i="4"/>
  <c r="F514" i="4"/>
  <c r="C514" i="4"/>
  <c r="F515" i="5" l="1"/>
  <c r="H515" i="4"/>
  <c r="G515" i="4"/>
  <c r="A516" i="4" s="1"/>
  <c r="F515" i="4"/>
  <c r="E515" i="4"/>
  <c r="B515" i="4"/>
  <c r="D515" i="4"/>
  <c r="C515" i="4"/>
  <c r="E732" i="5"/>
  <c r="A733" i="5" s="1"/>
  <c r="D732" i="5"/>
  <c r="C732" i="5"/>
  <c r="B732" i="5"/>
  <c r="F516" i="5" l="1"/>
  <c r="F516" i="4"/>
  <c r="D516" i="4"/>
  <c r="H516" i="4"/>
  <c r="G516" i="4"/>
  <c r="A517" i="4" s="1"/>
  <c r="E516" i="4"/>
  <c r="C516" i="4"/>
  <c r="B516" i="4"/>
  <c r="E733" i="5"/>
  <c r="A734" i="5" s="1"/>
  <c r="B733" i="5"/>
  <c r="D733" i="5"/>
  <c r="C733" i="5"/>
  <c r="E734" i="5" l="1"/>
  <c r="A735" i="5" s="1"/>
  <c r="D734" i="5"/>
  <c r="C734" i="5"/>
  <c r="B734" i="5"/>
  <c r="F517" i="5"/>
  <c r="D517" i="4"/>
  <c r="B517" i="4"/>
  <c r="H517" i="4"/>
  <c r="G517" i="4"/>
  <c r="A518" i="4" s="1"/>
  <c r="F517" i="4"/>
  <c r="E517" i="4"/>
  <c r="C517" i="4"/>
  <c r="F518" i="5" l="1"/>
  <c r="G518" i="4"/>
  <c r="A519" i="4" s="1"/>
  <c r="C518" i="4"/>
  <c r="B518" i="4"/>
  <c r="H518" i="4"/>
  <c r="D518" i="4"/>
  <c r="F518" i="4"/>
  <c r="E518" i="4"/>
  <c r="E735" i="5"/>
  <c r="A736" i="5" s="1"/>
  <c r="C735" i="5"/>
  <c r="D735" i="5"/>
  <c r="B735" i="5"/>
  <c r="E736" i="5" l="1"/>
  <c r="A737" i="5" s="1"/>
  <c r="D736" i="5"/>
  <c r="C736" i="5"/>
  <c r="B736" i="5"/>
  <c r="F519" i="4"/>
  <c r="D519" i="4"/>
  <c r="F519" i="5"/>
  <c r="G519" i="4"/>
  <c r="A520" i="4" s="1"/>
  <c r="E519" i="4"/>
  <c r="C519" i="4"/>
  <c r="B519" i="4"/>
  <c r="H519" i="4"/>
  <c r="F520" i="5" l="1"/>
  <c r="F520" i="4"/>
  <c r="D520" i="4"/>
  <c r="C520" i="4"/>
  <c r="H520" i="4"/>
  <c r="G520" i="4"/>
  <c r="A521" i="4" s="1"/>
  <c r="B520" i="4"/>
  <c r="E520" i="4"/>
  <c r="D737" i="5"/>
  <c r="C737" i="5"/>
  <c r="B737" i="5"/>
  <c r="E737" i="5"/>
  <c r="A738" i="5" s="1"/>
  <c r="D738" i="5" l="1"/>
  <c r="C738" i="5"/>
  <c r="E738" i="5"/>
  <c r="A739" i="5" s="1"/>
  <c r="B738" i="5"/>
  <c r="F521" i="5"/>
  <c r="H521" i="4"/>
  <c r="G521" i="4"/>
  <c r="A522" i="4" s="1"/>
  <c r="F521" i="4"/>
  <c r="B521" i="4"/>
  <c r="E521" i="4"/>
  <c r="D521" i="4"/>
  <c r="C521" i="4"/>
  <c r="F522" i="4" l="1"/>
  <c r="D522" i="4"/>
  <c r="F522" i="5"/>
  <c r="E522" i="4"/>
  <c r="H522" i="4"/>
  <c r="G522" i="4"/>
  <c r="A523" i="4" s="1"/>
  <c r="B522" i="4"/>
  <c r="C522" i="4"/>
  <c r="E739" i="5"/>
  <c r="A740" i="5" s="1"/>
  <c r="C739" i="5"/>
  <c r="B739" i="5"/>
  <c r="D739" i="5"/>
  <c r="C740" i="5" l="1"/>
  <c r="B740" i="5"/>
  <c r="E740" i="5"/>
  <c r="A741" i="5" s="1"/>
  <c r="D740" i="5"/>
  <c r="F523" i="5"/>
  <c r="H523" i="4"/>
  <c r="F523" i="4"/>
  <c r="E523" i="4"/>
  <c r="D523" i="4"/>
  <c r="C523" i="4"/>
  <c r="B523" i="4"/>
  <c r="G523" i="4"/>
  <c r="A524" i="4" s="1"/>
  <c r="F524" i="5" l="1"/>
  <c r="G524" i="4"/>
  <c r="A525" i="4" s="1"/>
  <c r="B524" i="4"/>
  <c r="E524" i="4"/>
  <c r="D524" i="4"/>
  <c r="F524" i="4"/>
  <c r="C524" i="4"/>
  <c r="H524" i="4"/>
  <c r="E741" i="5"/>
  <c r="A742" i="5" s="1"/>
  <c r="D741" i="5"/>
  <c r="C741" i="5"/>
  <c r="B741" i="5"/>
  <c r="B742" i="5" l="1"/>
  <c r="E742" i="5"/>
  <c r="A743" i="5" s="1"/>
  <c r="D742" i="5"/>
  <c r="C742" i="5"/>
  <c r="F525" i="4"/>
  <c r="D525" i="4"/>
  <c r="F525" i="5"/>
  <c r="G525" i="4"/>
  <c r="A526" i="4" s="1"/>
  <c r="E525" i="4"/>
  <c r="C525" i="4"/>
  <c r="B525" i="4"/>
  <c r="H525" i="4"/>
  <c r="F526" i="5" l="1"/>
  <c r="H526" i="4"/>
  <c r="G526" i="4"/>
  <c r="A527" i="4" s="1"/>
  <c r="F526" i="4"/>
  <c r="C526" i="4"/>
  <c r="E526" i="4"/>
  <c r="D526" i="4"/>
  <c r="B526" i="4"/>
  <c r="D743" i="5"/>
  <c r="C743" i="5"/>
  <c r="B743" i="5"/>
  <c r="E743" i="5"/>
  <c r="A744" i="5" s="1"/>
  <c r="B744" i="5" l="1"/>
  <c r="C744" i="5"/>
  <c r="E744" i="5"/>
  <c r="A745" i="5" s="1"/>
  <c r="D744" i="5"/>
  <c r="F527" i="5"/>
  <c r="B527" i="4"/>
  <c r="D527" i="4"/>
  <c r="C527" i="4"/>
  <c r="H527" i="4"/>
  <c r="F527" i="4"/>
  <c r="E527" i="4"/>
  <c r="G527" i="4"/>
  <c r="A528" i="4" s="1"/>
  <c r="F528" i="5" l="1"/>
  <c r="F528" i="4"/>
  <c r="D528" i="4"/>
  <c r="E528" i="4"/>
  <c r="B528" i="4"/>
  <c r="H528" i="4"/>
  <c r="G528" i="4"/>
  <c r="A529" i="4" s="1"/>
  <c r="C528" i="4"/>
  <c r="E745" i="5"/>
  <c r="A746" i="5" s="1"/>
  <c r="D745" i="5"/>
  <c r="C745" i="5"/>
  <c r="B745" i="5"/>
  <c r="D746" i="5" l="1"/>
  <c r="C746" i="5"/>
  <c r="B746" i="5"/>
  <c r="E746" i="5"/>
  <c r="A747" i="5" s="1"/>
  <c r="F529" i="5"/>
  <c r="H529" i="4"/>
  <c r="G529" i="4"/>
  <c r="A530" i="4" s="1"/>
  <c r="F529" i="4"/>
  <c r="E529" i="4"/>
  <c r="C529" i="4"/>
  <c r="D529" i="4"/>
  <c r="B529" i="4"/>
  <c r="F530" i="5" l="1"/>
  <c r="D530" i="4"/>
  <c r="B530" i="4"/>
  <c r="H530" i="4"/>
  <c r="G530" i="4"/>
  <c r="A531" i="4" s="1"/>
  <c r="F530" i="4"/>
  <c r="E530" i="4"/>
  <c r="C530" i="4"/>
  <c r="E747" i="5"/>
  <c r="A748" i="5" s="1"/>
  <c r="D747" i="5"/>
  <c r="C747" i="5"/>
  <c r="B747" i="5"/>
  <c r="B748" i="5" l="1"/>
  <c r="D748" i="5"/>
  <c r="E748" i="5"/>
  <c r="A749" i="5" s="1"/>
  <c r="C748" i="5"/>
  <c r="F531" i="5"/>
  <c r="F531" i="4"/>
  <c r="D531" i="4"/>
  <c r="H531" i="4"/>
  <c r="G531" i="4"/>
  <c r="A532" i="4" s="1"/>
  <c r="E531" i="4"/>
  <c r="B531" i="4"/>
  <c r="C531" i="4"/>
  <c r="F532" i="5" l="1"/>
  <c r="E532" i="4"/>
  <c r="D532" i="4"/>
  <c r="B532" i="4"/>
  <c r="H532" i="4"/>
  <c r="G532" i="4"/>
  <c r="A533" i="4" s="1"/>
  <c r="F532" i="4"/>
  <c r="C532" i="4"/>
  <c r="E749" i="5"/>
  <c r="A750" i="5" s="1"/>
  <c r="D749" i="5"/>
  <c r="C749" i="5"/>
  <c r="B749" i="5"/>
  <c r="E750" i="5" l="1"/>
  <c r="A751" i="5" s="1"/>
  <c r="D750" i="5"/>
  <c r="C750" i="5"/>
  <c r="B750" i="5"/>
  <c r="F533" i="5"/>
  <c r="F533" i="4"/>
  <c r="D533" i="4"/>
  <c r="C533" i="4"/>
  <c r="H533" i="4"/>
  <c r="G533" i="4"/>
  <c r="A534" i="4" s="1"/>
  <c r="E533" i="4"/>
  <c r="B533" i="4"/>
  <c r="D751" i="5" l="1"/>
  <c r="C751" i="5"/>
  <c r="B751" i="5"/>
  <c r="E751" i="5"/>
  <c r="A752" i="5" s="1"/>
  <c r="F534" i="4"/>
  <c r="D534" i="4"/>
  <c r="F534" i="5"/>
  <c r="H534" i="4"/>
  <c r="G534" i="4"/>
  <c r="A535" i="4" s="1"/>
  <c r="E534" i="4"/>
  <c r="C534" i="4"/>
  <c r="B534" i="4"/>
  <c r="C752" i="5" l="1"/>
  <c r="D752" i="5"/>
  <c r="B752" i="5"/>
  <c r="E752" i="5"/>
  <c r="A753" i="5" s="1"/>
  <c r="F535" i="5"/>
  <c r="H535" i="4"/>
  <c r="G535" i="4"/>
  <c r="A536" i="4" s="1"/>
  <c r="F535" i="4"/>
  <c r="E535" i="4"/>
  <c r="C535" i="4"/>
  <c r="D535" i="4"/>
  <c r="B535" i="4"/>
  <c r="F536" i="5" l="1"/>
  <c r="H536" i="4"/>
  <c r="F536" i="4"/>
  <c r="E536" i="4"/>
  <c r="D536" i="4"/>
  <c r="C536" i="4"/>
  <c r="B536" i="4"/>
  <c r="G536" i="4"/>
  <c r="A537" i="4" s="1"/>
  <c r="E753" i="5"/>
  <c r="A754" i="5" s="1"/>
  <c r="B753" i="5"/>
  <c r="D753" i="5"/>
  <c r="C753" i="5"/>
  <c r="E754" i="5" l="1"/>
  <c r="A755" i="5" s="1"/>
  <c r="D754" i="5"/>
  <c r="C754" i="5"/>
  <c r="B754" i="5"/>
  <c r="F537" i="5"/>
  <c r="F537" i="4"/>
  <c r="D537" i="4"/>
  <c r="G537" i="4"/>
  <c r="A538" i="4" s="1"/>
  <c r="B537" i="4"/>
  <c r="E537" i="4"/>
  <c r="C537" i="4"/>
  <c r="H537" i="4"/>
  <c r="F538" i="5" l="1"/>
  <c r="E538" i="4"/>
  <c r="D538" i="4"/>
  <c r="C538" i="4"/>
  <c r="B538" i="4"/>
  <c r="G538" i="4"/>
  <c r="A539" i="4" s="1"/>
  <c r="H538" i="4"/>
  <c r="F538" i="4"/>
  <c r="E755" i="5"/>
  <c r="A756" i="5" s="1"/>
  <c r="D755" i="5"/>
  <c r="C755" i="5"/>
  <c r="B755" i="5"/>
  <c r="D756" i="5" l="1"/>
  <c r="E756" i="5"/>
  <c r="A757" i="5" s="1"/>
  <c r="C756" i="5"/>
  <c r="B756" i="5"/>
  <c r="F539" i="5"/>
  <c r="H539" i="4"/>
  <c r="G539" i="4"/>
  <c r="A540" i="4" s="1"/>
  <c r="D539" i="4"/>
  <c r="C539" i="4"/>
  <c r="B539" i="4"/>
  <c r="F539" i="4"/>
  <c r="E539" i="4"/>
  <c r="F540" i="5" l="1"/>
  <c r="F540" i="4"/>
  <c r="D540" i="4"/>
  <c r="B540" i="4"/>
  <c r="H540" i="4"/>
  <c r="G540" i="4"/>
  <c r="A541" i="4" s="1"/>
  <c r="C540" i="4"/>
  <c r="E540" i="4"/>
  <c r="B757" i="5"/>
  <c r="E757" i="5"/>
  <c r="A758" i="5" s="1"/>
  <c r="D757" i="5"/>
  <c r="C757" i="5"/>
  <c r="C758" i="5" l="1"/>
  <c r="B758" i="5"/>
  <c r="E758" i="5"/>
  <c r="A759" i="5" s="1"/>
  <c r="D758" i="5"/>
  <c r="F541" i="5"/>
  <c r="H541" i="4"/>
  <c r="G541" i="4"/>
  <c r="A542" i="4" s="1"/>
  <c r="D541" i="4"/>
  <c r="F541" i="4"/>
  <c r="C541" i="4"/>
  <c r="B541" i="4"/>
  <c r="E541" i="4"/>
  <c r="F542" i="5" l="1"/>
  <c r="B542" i="4"/>
  <c r="C542" i="4"/>
  <c r="H542" i="4"/>
  <c r="G542" i="4"/>
  <c r="A543" i="4" s="1"/>
  <c r="F542" i="4"/>
  <c r="E542" i="4"/>
  <c r="D542" i="4"/>
  <c r="E759" i="5"/>
  <c r="A760" i="5" s="1"/>
  <c r="D759" i="5"/>
  <c r="C759" i="5"/>
  <c r="B759" i="5"/>
  <c r="F543" i="5" l="1"/>
  <c r="F543" i="4"/>
  <c r="D543" i="4"/>
  <c r="E543" i="4"/>
  <c r="B543" i="4"/>
  <c r="G543" i="4"/>
  <c r="A544" i="4" s="1"/>
  <c r="C543" i="4"/>
  <c r="H543" i="4"/>
  <c r="E760" i="5"/>
  <c r="A761" i="5" s="1"/>
  <c r="D760" i="5"/>
  <c r="C760" i="5"/>
  <c r="B760" i="5"/>
  <c r="D761" i="5" l="1"/>
  <c r="B761" i="5"/>
  <c r="E761" i="5"/>
  <c r="A762" i="5" s="1"/>
  <c r="C761" i="5"/>
  <c r="F544" i="5"/>
  <c r="H544" i="4"/>
  <c r="G544" i="4"/>
  <c r="A545" i="4" s="1"/>
  <c r="F544" i="4"/>
  <c r="E544" i="4"/>
  <c r="D544" i="4"/>
  <c r="C544" i="4"/>
  <c r="B544" i="4"/>
  <c r="E762" i="5" l="1"/>
  <c r="A763" i="5" s="1"/>
  <c r="C762" i="5"/>
  <c r="B762" i="5"/>
  <c r="D762" i="5"/>
  <c r="E545" i="4"/>
  <c r="H545" i="4"/>
  <c r="G545" i="4"/>
  <c r="A546" i="4" s="1"/>
  <c r="F545" i="4"/>
  <c r="D545" i="4"/>
  <c r="C545" i="4"/>
  <c r="B545" i="4"/>
  <c r="F545" i="5"/>
  <c r="F546" i="4" l="1"/>
  <c r="D546" i="4"/>
  <c r="H546" i="4"/>
  <c r="E546" i="4"/>
  <c r="C546" i="4"/>
  <c r="G546" i="4"/>
  <c r="A547" i="4" s="1"/>
  <c r="B546" i="4"/>
  <c r="F546" i="5"/>
  <c r="E763" i="5"/>
  <c r="A764" i="5" s="1"/>
  <c r="D763" i="5"/>
  <c r="C763" i="5"/>
  <c r="B763" i="5"/>
  <c r="D764" i="5" l="1"/>
  <c r="B764" i="5"/>
  <c r="E764" i="5"/>
  <c r="A765" i="5" s="1"/>
  <c r="C764" i="5"/>
  <c r="F547" i="5"/>
  <c r="C547" i="4"/>
  <c r="B547" i="4"/>
  <c r="H547" i="4"/>
  <c r="G547" i="4"/>
  <c r="A548" i="4" s="1"/>
  <c r="D547" i="4"/>
  <c r="F547" i="4"/>
  <c r="E547" i="4"/>
  <c r="F548" i="5" l="1"/>
  <c r="G548" i="4"/>
  <c r="A549" i="4" s="1"/>
  <c r="B548" i="4"/>
  <c r="H548" i="4"/>
  <c r="F548" i="4"/>
  <c r="E548" i="4"/>
  <c r="D548" i="4"/>
  <c r="C548" i="4"/>
  <c r="B765" i="5"/>
  <c r="E765" i="5"/>
  <c r="A766" i="5" s="1"/>
  <c r="D765" i="5"/>
  <c r="C765" i="5"/>
  <c r="B766" i="5" l="1"/>
  <c r="E766" i="5"/>
  <c r="A767" i="5" s="1"/>
  <c r="D766" i="5"/>
  <c r="C766" i="5"/>
  <c r="F549" i="5"/>
  <c r="F549" i="4"/>
  <c r="D549" i="4"/>
  <c r="H549" i="4"/>
  <c r="G549" i="4"/>
  <c r="A550" i="4" s="1"/>
  <c r="B549" i="4"/>
  <c r="E549" i="4"/>
  <c r="C549" i="4"/>
  <c r="F550" i="5" l="1"/>
  <c r="B550" i="4"/>
  <c r="C550" i="4"/>
  <c r="H550" i="4"/>
  <c r="G550" i="4"/>
  <c r="A551" i="4" s="1"/>
  <c r="E550" i="4"/>
  <c r="D550" i="4"/>
  <c r="F550" i="4"/>
  <c r="E767" i="5"/>
  <c r="A768" i="5" s="1"/>
  <c r="C767" i="5"/>
  <c r="D767" i="5"/>
  <c r="B767" i="5"/>
  <c r="F551" i="5" l="1"/>
  <c r="F551" i="4"/>
  <c r="E551" i="4"/>
  <c r="C551" i="4"/>
  <c r="B551" i="4"/>
  <c r="H551" i="4"/>
  <c r="G551" i="4"/>
  <c r="A552" i="4" s="1"/>
  <c r="D551" i="4"/>
  <c r="E768" i="5"/>
  <c r="A769" i="5" s="1"/>
  <c r="D768" i="5"/>
  <c r="C768" i="5"/>
  <c r="B768" i="5"/>
  <c r="E769" i="5" l="1"/>
  <c r="A770" i="5" s="1"/>
  <c r="D769" i="5"/>
  <c r="C769" i="5"/>
  <c r="B769" i="5"/>
  <c r="F552" i="5"/>
  <c r="F552" i="4"/>
  <c r="D552" i="4"/>
  <c r="G552" i="4"/>
  <c r="A553" i="4" s="1"/>
  <c r="H552" i="4"/>
  <c r="E552" i="4"/>
  <c r="C552" i="4"/>
  <c r="B552" i="4"/>
  <c r="F553" i="5" l="1"/>
  <c r="D553" i="4"/>
  <c r="B553" i="4"/>
  <c r="C553" i="4"/>
  <c r="H553" i="4"/>
  <c r="G553" i="4"/>
  <c r="A554" i="4" s="1"/>
  <c r="F553" i="4"/>
  <c r="E553" i="4"/>
  <c r="D770" i="5"/>
  <c r="C770" i="5"/>
  <c r="B770" i="5"/>
  <c r="E770" i="5"/>
  <c r="A771" i="5" s="1"/>
  <c r="E771" i="5" l="1"/>
  <c r="A772" i="5" s="1"/>
  <c r="D771" i="5"/>
  <c r="C771" i="5"/>
  <c r="B771" i="5"/>
  <c r="F554" i="5"/>
  <c r="G554" i="4"/>
  <c r="A555" i="4" s="1"/>
  <c r="E554" i="4"/>
  <c r="D554" i="4"/>
  <c r="H554" i="4"/>
  <c r="C554" i="4"/>
  <c r="F554" i="4"/>
  <c r="B554" i="4"/>
  <c r="F555" i="5" l="1"/>
  <c r="F555" i="4"/>
  <c r="D555" i="4"/>
  <c r="H555" i="4"/>
  <c r="G555" i="4"/>
  <c r="A556" i="4" s="1"/>
  <c r="E555" i="4"/>
  <c r="C555" i="4"/>
  <c r="B555" i="4"/>
  <c r="E772" i="5"/>
  <c r="A773" i="5" s="1"/>
  <c r="D772" i="5"/>
  <c r="C772" i="5"/>
  <c r="B772" i="5"/>
  <c r="E773" i="5" l="1"/>
  <c r="A774" i="5" s="1"/>
  <c r="D773" i="5"/>
  <c r="C773" i="5"/>
  <c r="B773" i="5"/>
  <c r="F556" i="5"/>
  <c r="F556" i="4"/>
  <c r="D556" i="4"/>
  <c r="C556" i="4"/>
  <c r="H556" i="4"/>
  <c r="E556" i="4"/>
  <c r="B556" i="4"/>
  <c r="G556" i="4"/>
  <c r="A557" i="4" s="1"/>
  <c r="F557" i="5" l="1"/>
  <c r="G557" i="4"/>
  <c r="A558" i="4" s="1"/>
  <c r="F557" i="4"/>
  <c r="E557" i="4"/>
  <c r="D557" i="4"/>
  <c r="C557" i="4"/>
  <c r="B557" i="4"/>
  <c r="H557" i="4"/>
  <c r="B774" i="5"/>
  <c r="D774" i="5"/>
  <c r="E774" i="5"/>
  <c r="A775" i="5" s="1"/>
  <c r="C774" i="5"/>
  <c r="E775" i="5" l="1"/>
  <c r="A776" i="5" s="1"/>
  <c r="D775" i="5"/>
  <c r="B775" i="5"/>
  <c r="C775" i="5"/>
  <c r="F558" i="4"/>
  <c r="F558" i="5"/>
  <c r="D558" i="4"/>
  <c r="C558" i="4"/>
  <c r="E558" i="4"/>
  <c r="H558" i="4"/>
  <c r="G558" i="4"/>
  <c r="A559" i="4" s="1"/>
  <c r="B558" i="4"/>
  <c r="F559" i="5" l="1"/>
  <c r="H559" i="4"/>
  <c r="F559" i="4"/>
  <c r="E559" i="4"/>
  <c r="G559" i="4"/>
  <c r="A560" i="4" s="1"/>
  <c r="D559" i="4"/>
  <c r="C559" i="4"/>
  <c r="B559" i="4"/>
  <c r="C776" i="5"/>
  <c r="E776" i="5"/>
  <c r="A777" i="5" s="1"/>
  <c r="D776" i="5"/>
  <c r="B776" i="5"/>
  <c r="E777" i="5" l="1"/>
  <c r="A778" i="5" s="1"/>
  <c r="D777" i="5"/>
  <c r="C777" i="5"/>
  <c r="B777" i="5"/>
  <c r="F560" i="5"/>
  <c r="F560" i="4"/>
  <c r="G560" i="4"/>
  <c r="A561" i="4" s="1"/>
  <c r="H560" i="4"/>
  <c r="E560" i="4"/>
  <c r="D560" i="4"/>
  <c r="C560" i="4"/>
  <c r="B560" i="4"/>
  <c r="F561" i="4" l="1"/>
  <c r="D561" i="4"/>
  <c r="F561" i="5"/>
  <c r="G561" i="4"/>
  <c r="A562" i="4" s="1"/>
  <c r="E561" i="4"/>
  <c r="C561" i="4"/>
  <c r="B561" i="4"/>
  <c r="H561" i="4"/>
  <c r="E778" i="5"/>
  <c r="A779" i="5" s="1"/>
  <c r="D778" i="5"/>
  <c r="C778" i="5"/>
  <c r="B778" i="5"/>
  <c r="F562" i="5" l="1"/>
  <c r="H562" i="4"/>
  <c r="G562" i="4"/>
  <c r="A563" i="4" s="1"/>
  <c r="E562" i="4"/>
  <c r="C562" i="4"/>
  <c r="B562" i="4"/>
  <c r="F562" i="4"/>
  <c r="D562" i="4"/>
  <c r="E779" i="5"/>
  <c r="A780" i="5" s="1"/>
  <c r="B779" i="5"/>
  <c r="D779" i="5"/>
  <c r="C779" i="5"/>
  <c r="E780" i="5" l="1"/>
  <c r="A781" i="5" s="1"/>
  <c r="D780" i="5"/>
  <c r="B780" i="5"/>
  <c r="C780" i="5"/>
  <c r="B563" i="4"/>
  <c r="F563" i="5"/>
  <c r="H563" i="4"/>
  <c r="F563" i="4"/>
  <c r="E563" i="4"/>
  <c r="C563" i="4"/>
  <c r="D563" i="4"/>
  <c r="G563" i="4"/>
  <c r="A564" i="4" s="1"/>
  <c r="F564" i="5" l="1"/>
  <c r="F564" i="4"/>
  <c r="D564" i="4"/>
  <c r="C564" i="4"/>
  <c r="G564" i="4"/>
  <c r="A565" i="4" s="1"/>
  <c r="H564" i="4"/>
  <c r="E564" i="4"/>
  <c r="B564" i="4"/>
  <c r="C781" i="5"/>
  <c r="B781" i="5"/>
  <c r="D781" i="5"/>
  <c r="E781" i="5"/>
  <c r="A782" i="5" s="1"/>
  <c r="E782" i="5" l="1"/>
  <c r="A783" i="5" s="1"/>
  <c r="B782" i="5"/>
  <c r="C782" i="5"/>
  <c r="D782" i="5"/>
  <c r="F565" i="5"/>
  <c r="E565" i="4"/>
  <c r="D565" i="4"/>
  <c r="C565" i="4"/>
  <c r="B565" i="4"/>
  <c r="H565" i="4"/>
  <c r="G565" i="4"/>
  <c r="A566" i="4" s="1"/>
  <c r="F565" i="4"/>
  <c r="F566" i="5" l="1"/>
  <c r="D566" i="4"/>
  <c r="B566" i="4"/>
  <c r="G566" i="4"/>
  <c r="A567" i="4" s="1"/>
  <c r="F566" i="4"/>
  <c r="C566" i="4"/>
  <c r="E566" i="4"/>
  <c r="H566" i="4"/>
  <c r="E783" i="5"/>
  <c r="A784" i="5" s="1"/>
  <c r="B783" i="5"/>
  <c r="D783" i="5"/>
  <c r="C783" i="5"/>
  <c r="F567" i="5" l="1"/>
  <c r="F567" i="4"/>
  <c r="D567" i="4"/>
  <c r="E567" i="4"/>
  <c r="C567" i="4"/>
  <c r="B567" i="4"/>
  <c r="H567" i="4"/>
  <c r="G567" i="4"/>
  <c r="A568" i="4" s="1"/>
  <c r="E784" i="5"/>
  <c r="A785" i="5" s="1"/>
  <c r="B784" i="5"/>
  <c r="D784" i="5"/>
  <c r="C784" i="5"/>
  <c r="C785" i="5" l="1"/>
  <c r="E785" i="5"/>
  <c r="A786" i="5" s="1"/>
  <c r="D785" i="5"/>
  <c r="B785" i="5"/>
  <c r="F568" i="5"/>
  <c r="B568" i="4"/>
  <c r="H568" i="4"/>
  <c r="E568" i="4"/>
  <c r="F568" i="4"/>
  <c r="C568" i="4"/>
  <c r="G568" i="4"/>
  <c r="A569" i="4" s="1"/>
  <c r="D568" i="4"/>
  <c r="F569" i="5" l="1"/>
  <c r="F569" i="4"/>
  <c r="D569" i="4"/>
  <c r="C569" i="4"/>
  <c r="E569" i="4"/>
  <c r="B569" i="4"/>
  <c r="G569" i="4"/>
  <c r="A570" i="4" s="1"/>
  <c r="H569" i="4"/>
  <c r="D786" i="5"/>
  <c r="C786" i="5"/>
  <c r="B786" i="5"/>
  <c r="E786" i="5"/>
  <c r="A787" i="5" s="1"/>
  <c r="E787" i="5" l="1"/>
  <c r="A788" i="5" s="1"/>
  <c r="D787" i="5"/>
  <c r="C787" i="5"/>
  <c r="B787" i="5"/>
  <c r="F570" i="4"/>
  <c r="D570" i="4"/>
  <c r="F570" i="5"/>
  <c r="H570" i="4"/>
  <c r="G570" i="4"/>
  <c r="A571" i="4" s="1"/>
  <c r="E570" i="4"/>
  <c r="C570" i="4"/>
  <c r="B570" i="4"/>
  <c r="F571" i="5" l="1"/>
  <c r="G571" i="4"/>
  <c r="A572" i="4" s="1"/>
  <c r="D571" i="4"/>
  <c r="C571" i="4"/>
  <c r="H571" i="4"/>
  <c r="F571" i="4"/>
  <c r="E571" i="4"/>
  <c r="B571" i="4"/>
  <c r="E788" i="5"/>
  <c r="A789" i="5" s="1"/>
  <c r="D788" i="5"/>
  <c r="C788" i="5"/>
  <c r="B788" i="5"/>
  <c r="C789" i="5" l="1"/>
  <c r="E789" i="5"/>
  <c r="A790" i="5" s="1"/>
  <c r="D789" i="5"/>
  <c r="B789" i="5"/>
  <c r="F572" i="5"/>
  <c r="H572" i="4"/>
  <c r="F572" i="4"/>
  <c r="E572" i="4"/>
  <c r="C572" i="4"/>
  <c r="G572" i="4"/>
  <c r="A573" i="4" s="1"/>
  <c r="D572" i="4"/>
  <c r="B572" i="4"/>
  <c r="F573" i="4" l="1"/>
  <c r="D573" i="4"/>
  <c r="F573" i="5"/>
  <c r="E573" i="4"/>
  <c r="C573" i="4"/>
  <c r="B573" i="4"/>
  <c r="H573" i="4"/>
  <c r="G573" i="4"/>
  <c r="A574" i="4" s="1"/>
  <c r="E790" i="5"/>
  <c r="A791" i="5" s="1"/>
  <c r="C790" i="5"/>
  <c r="B790" i="5"/>
  <c r="D790" i="5"/>
  <c r="E791" i="5" l="1"/>
  <c r="A792" i="5" s="1"/>
  <c r="D791" i="5"/>
  <c r="C791" i="5"/>
  <c r="B791" i="5"/>
  <c r="F574" i="5"/>
  <c r="H574" i="4"/>
  <c r="G574" i="4"/>
  <c r="A575" i="4" s="1"/>
  <c r="F574" i="4"/>
  <c r="C574" i="4"/>
  <c r="B574" i="4"/>
  <c r="E574" i="4"/>
  <c r="D574" i="4"/>
  <c r="F575" i="5" l="1"/>
  <c r="H575" i="4"/>
  <c r="G575" i="4"/>
  <c r="A576" i="4" s="1"/>
  <c r="D575" i="4"/>
  <c r="E575" i="4"/>
  <c r="C575" i="4"/>
  <c r="B575" i="4"/>
  <c r="F575" i="4"/>
  <c r="D792" i="5"/>
  <c r="E792" i="5"/>
  <c r="A793" i="5" s="1"/>
  <c r="C792" i="5"/>
  <c r="B792" i="5"/>
  <c r="E793" i="5" l="1"/>
  <c r="A794" i="5" s="1"/>
  <c r="D793" i="5"/>
  <c r="C793" i="5"/>
  <c r="B793" i="5"/>
  <c r="F576" i="5"/>
  <c r="F576" i="4"/>
  <c r="D576" i="4"/>
  <c r="B576" i="4"/>
  <c r="E576" i="4"/>
  <c r="C576" i="4"/>
  <c r="G576" i="4"/>
  <c r="A577" i="4" s="1"/>
  <c r="H576" i="4"/>
  <c r="F577" i="5" l="1"/>
  <c r="D577" i="4"/>
  <c r="C577" i="4"/>
  <c r="B577" i="4"/>
  <c r="F577" i="4"/>
  <c r="E577" i="4"/>
  <c r="H577" i="4"/>
  <c r="G577" i="4"/>
  <c r="A578" i="4" s="1"/>
  <c r="E794" i="5"/>
  <c r="A795" i="5" s="1"/>
  <c r="C794" i="5"/>
  <c r="B794" i="5"/>
  <c r="D794" i="5"/>
  <c r="F578" i="5" l="1"/>
  <c r="D578" i="4"/>
  <c r="C578" i="4"/>
  <c r="B578" i="4"/>
  <c r="E578" i="4"/>
  <c r="H578" i="4"/>
  <c r="G578" i="4"/>
  <c r="A579" i="4" s="1"/>
  <c r="F578" i="4"/>
  <c r="E795" i="5"/>
  <c r="A796" i="5" s="1"/>
  <c r="C795" i="5"/>
  <c r="B795" i="5"/>
  <c r="D795" i="5"/>
  <c r="B796" i="5" l="1"/>
  <c r="E796" i="5"/>
  <c r="A797" i="5" s="1"/>
  <c r="D796" i="5"/>
  <c r="C796" i="5"/>
  <c r="F579" i="4"/>
  <c r="D579" i="4"/>
  <c r="F579" i="5"/>
  <c r="E579" i="4"/>
  <c r="B579" i="4"/>
  <c r="C579" i="4"/>
  <c r="H579" i="4"/>
  <c r="G579" i="4"/>
  <c r="A580" i="4" s="1"/>
  <c r="F580" i="5" l="1"/>
  <c r="H580" i="4"/>
  <c r="G580" i="4"/>
  <c r="A581" i="4" s="1"/>
  <c r="D580" i="4"/>
  <c r="F580" i="4"/>
  <c r="E580" i="4"/>
  <c r="C580" i="4"/>
  <c r="B580" i="4"/>
  <c r="D797" i="5"/>
  <c r="E797" i="5"/>
  <c r="A798" i="5" s="1"/>
  <c r="C797" i="5"/>
  <c r="B797" i="5"/>
  <c r="C798" i="5" l="1"/>
  <c r="B798" i="5"/>
  <c r="E798" i="5"/>
  <c r="A799" i="5" s="1"/>
  <c r="D798" i="5"/>
  <c r="B581" i="4"/>
  <c r="E581" i="4"/>
  <c r="D581" i="4"/>
  <c r="G581" i="4"/>
  <c r="A582" i="4" s="1"/>
  <c r="F581" i="4"/>
  <c r="C581" i="4"/>
  <c r="F581" i="5"/>
  <c r="H581" i="4"/>
  <c r="F582" i="5" l="1"/>
  <c r="F582" i="4"/>
  <c r="D582" i="4"/>
  <c r="H582" i="4"/>
  <c r="E582" i="4"/>
  <c r="C582" i="4"/>
  <c r="G582" i="4"/>
  <c r="A583" i="4" s="1"/>
  <c r="B582" i="4"/>
  <c r="E799" i="5"/>
  <c r="A800" i="5" s="1"/>
  <c r="C799" i="5"/>
  <c r="D799" i="5"/>
  <c r="B799" i="5"/>
  <c r="E800" i="5" l="1"/>
  <c r="A801" i="5" s="1"/>
  <c r="D800" i="5"/>
  <c r="C800" i="5"/>
  <c r="B800" i="5"/>
  <c r="F583" i="5"/>
  <c r="C583" i="4"/>
  <c r="B583" i="4"/>
  <c r="H583" i="4"/>
  <c r="F583" i="4"/>
  <c r="G583" i="4"/>
  <c r="A584" i="4" s="1"/>
  <c r="E583" i="4"/>
  <c r="D583" i="4"/>
  <c r="F584" i="5" l="1"/>
  <c r="H584" i="4"/>
  <c r="G584" i="4"/>
  <c r="A585" i="4" s="1"/>
  <c r="F584" i="4"/>
  <c r="E584" i="4"/>
  <c r="B584" i="4"/>
  <c r="D584" i="4"/>
  <c r="C584" i="4"/>
  <c r="D801" i="5"/>
  <c r="B801" i="5"/>
  <c r="E801" i="5"/>
  <c r="A802" i="5" s="1"/>
  <c r="C801" i="5"/>
  <c r="F585" i="5" l="1"/>
  <c r="F585" i="4"/>
  <c r="D585" i="4"/>
  <c r="H585" i="4"/>
  <c r="G585" i="4"/>
  <c r="A586" i="4" s="1"/>
  <c r="E585" i="4"/>
  <c r="C585" i="4"/>
  <c r="B585" i="4"/>
  <c r="C802" i="5"/>
  <c r="E802" i="5"/>
  <c r="A803" i="5" s="1"/>
  <c r="D802" i="5"/>
  <c r="B802" i="5"/>
  <c r="E803" i="5" l="1"/>
  <c r="A804" i="5" s="1"/>
  <c r="D803" i="5"/>
  <c r="C803" i="5"/>
  <c r="B803" i="5"/>
  <c r="B586" i="4"/>
  <c r="F586" i="5"/>
  <c r="H586" i="4"/>
  <c r="E586" i="4"/>
  <c r="D586" i="4"/>
  <c r="F586" i="4"/>
  <c r="C586" i="4"/>
  <c r="G586" i="4"/>
  <c r="A587" i="4" s="1"/>
  <c r="F587" i="5" l="1"/>
  <c r="H587" i="4"/>
  <c r="G587" i="4"/>
  <c r="A588" i="4" s="1"/>
  <c r="F587" i="4"/>
  <c r="E587" i="4"/>
  <c r="D587" i="4"/>
  <c r="B587" i="4"/>
  <c r="C587" i="4"/>
  <c r="C804" i="5"/>
  <c r="E804" i="5"/>
  <c r="A805" i="5" s="1"/>
  <c r="D804" i="5"/>
  <c r="B804" i="5"/>
  <c r="F588" i="5" l="1"/>
  <c r="F588" i="4"/>
  <c r="D588" i="4"/>
  <c r="H588" i="4"/>
  <c r="G588" i="4"/>
  <c r="A589" i="4" s="1"/>
  <c r="E588" i="4"/>
  <c r="C588" i="4"/>
  <c r="B588" i="4"/>
  <c r="E805" i="5"/>
  <c r="A806" i="5" s="1"/>
  <c r="C805" i="5"/>
  <c r="B805" i="5"/>
  <c r="D805" i="5"/>
  <c r="E806" i="5" l="1"/>
  <c r="A807" i="5" s="1"/>
  <c r="D806" i="5"/>
  <c r="C806" i="5"/>
  <c r="B806" i="5"/>
  <c r="F589" i="5"/>
  <c r="D589" i="4"/>
  <c r="B589" i="4"/>
  <c r="G589" i="4"/>
  <c r="A590" i="4" s="1"/>
  <c r="E589" i="4"/>
  <c r="C589" i="4"/>
  <c r="H589" i="4"/>
  <c r="F589" i="4"/>
  <c r="F590" i="5" l="1"/>
  <c r="E590" i="4"/>
  <c r="H590" i="4"/>
  <c r="F590" i="4"/>
  <c r="D590" i="4"/>
  <c r="C590" i="4"/>
  <c r="B590" i="4"/>
  <c r="G590" i="4"/>
  <c r="A591" i="4" s="1"/>
  <c r="E807" i="5"/>
  <c r="A808" i="5" s="1"/>
  <c r="D807" i="5"/>
  <c r="C807" i="5"/>
  <c r="B807" i="5"/>
  <c r="F591" i="4" l="1"/>
  <c r="D591" i="4"/>
  <c r="F591" i="5"/>
  <c r="H591" i="4"/>
  <c r="G591" i="4"/>
  <c r="A592" i="4" s="1"/>
  <c r="E591" i="4"/>
  <c r="C591" i="4"/>
  <c r="B591" i="4"/>
  <c r="E808" i="5"/>
  <c r="A809" i="5" s="1"/>
  <c r="D808" i="5"/>
  <c r="C808" i="5"/>
  <c r="B808" i="5"/>
  <c r="F592" i="5" l="1"/>
  <c r="F592" i="4"/>
  <c r="D592" i="4"/>
  <c r="C592" i="4"/>
  <c r="H592" i="4"/>
  <c r="G592" i="4"/>
  <c r="A593" i="4" s="1"/>
  <c r="E592" i="4"/>
  <c r="B592" i="4"/>
  <c r="E809" i="5"/>
  <c r="A810" i="5" s="1"/>
  <c r="D809" i="5"/>
  <c r="C809" i="5"/>
  <c r="B809" i="5"/>
  <c r="D810" i="5" l="1"/>
  <c r="B810" i="5"/>
  <c r="E810" i="5"/>
  <c r="A811" i="5" s="1"/>
  <c r="C810" i="5"/>
  <c r="F593" i="5"/>
  <c r="H593" i="4"/>
  <c r="G593" i="4"/>
  <c r="A594" i="4" s="1"/>
  <c r="F593" i="4"/>
  <c r="E593" i="4"/>
  <c r="C593" i="4"/>
  <c r="D593" i="4"/>
  <c r="B593" i="4"/>
  <c r="F594" i="5" l="1"/>
  <c r="F594" i="4"/>
  <c r="D594" i="4"/>
  <c r="B594" i="4"/>
  <c r="H594" i="4"/>
  <c r="G594" i="4"/>
  <c r="A595" i="4" s="1"/>
  <c r="E594" i="4"/>
  <c r="C594" i="4"/>
  <c r="E811" i="5"/>
  <c r="A812" i="5" s="1"/>
  <c r="D811" i="5"/>
  <c r="C811" i="5"/>
  <c r="B811" i="5"/>
  <c r="F595" i="5" l="1"/>
  <c r="H595" i="4"/>
  <c r="F595" i="4"/>
  <c r="E595" i="4"/>
  <c r="G595" i="4"/>
  <c r="A596" i="4" s="1"/>
  <c r="C595" i="4"/>
  <c r="B595" i="4"/>
  <c r="D595" i="4"/>
  <c r="E812" i="5"/>
  <c r="A813" i="5" s="1"/>
  <c r="C812" i="5"/>
  <c r="B812" i="5"/>
  <c r="D812" i="5"/>
  <c r="F596" i="5" l="1"/>
  <c r="G596" i="4"/>
  <c r="A597" i="4" s="1"/>
  <c r="F596" i="4"/>
  <c r="E596" i="4"/>
  <c r="D596" i="4"/>
  <c r="B596" i="4"/>
  <c r="H596" i="4"/>
  <c r="C596" i="4"/>
  <c r="E813" i="5"/>
  <c r="A814" i="5" s="1"/>
  <c r="C813" i="5"/>
  <c r="B813" i="5"/>
  <c r="D813" i="5"/>
  <c r="E814" i="5" l="1"/>
  <c r="A815" i="5" s="1"/>
  <c r="D814" i="5"/>
  <c r="B814" i="5"/>
  <c r="C814" i="5"/>
  <c r="F597" i="5"/>
  <c r="F597" i="4"/>
  <c r="D597" i="4"/>
  <c r="C597" i="4"/>
  <c r="B597" i="4"/>
  <c r="G597" i="4"/>
  <c r="A598" i="4" s="1"/>
  <c r="E597" i="4"/>
  <c r="H597" i="4"/>
  <c r="H598" i="4" l="1"/>
  <c r="G598" i="4"/>
  <c r="A599" i="4" s="1"/>
  <c r="F598" i="5"/>
  <c r="F598" i="4"/>
  <c r="E598" i="4"/>
  <c r="D598" i="4"/>
  <c r="B598" i="4"/>
  <c r="C598" i="4"/>
  <c r="E815" i="5"/>
  <c r="A816" i="5" s="1"/>
  <c r="C815" i="5"/>
  <c r="B815" i="5"/>
  <c r="D815" i="5"/>
  <c r="E816" i="5" l="1"/>
  <c r="A817" i="5" s="1"/>
  <c r="D816" i="5"/>
  <c r="C816" i="5"/>
  <c r="B816" i="5"/>
  <c r="B599" i="4"/>
  <c r="F599" i="5"/>
  <c r="G599" i="4"/>
  <c r="A600" i="4" s="1"/>
  <c r="H599" i="4"/>
  <c r="F599" i="4"/>
  <c r="E599" i="4"/>
  <c r="D599" i="4"/>
  <c r="C599" i="4"/>
  <c r="F600" i="5" l="1"/>
  <c r="F600" i="4"/>
  <c r="D600" i="4"/>
  <c r="G600" i="4"/>
  <c r="A601" i="4" s="1"/>
  <c r="E600" i="4"/>
  <c r="C600" i="4"/>
  <c r="B600" i="4"/>
  <c r="H600" i="4"/>
  <c r="C817" i="5"/>
  <c r="E817" i="5"/>
  <c r="A818" i="5" s="1"/>
  <c r="D817" i="5"/>
  <c r="B817" i="5"/>
  <c r="C818" i="5" l="1"/>
  <c r="B818" i="5"/>
  <c r="E818" i="5"/>
  <c r="A819" i="5" s="1"/>
  <c r="D818" i="5"/>
  <c r="F601" i="4"/>
  <c r="C601" i="4"/>
  <c r="B601" i="4"/>
  <c r="H601" i="4"/>
  <c r="G601" i="4"/>
  <c r="A602" i="4" s="1"/>
  <c r="E601" i="4"/>
  <c r="D601" i="4"/>
  <c r="F601" i="5"/>
  <c r="F602" i="5" l="1"/>
  <c r="D602" i="4"/>
  <c r="B602" i="4"/>
  <c r="H602" i="4"/>
  <c r="E602" i="4"/>
  <c r="C602" i="4"/>
  <c r="G602" i="4"/>
  <c r="A603" i="4" s="1"/>
  <c r="F602" i="4"/>
  <c r="E819" i="5"/>
  <c r="A820" i="5" s="1"/>
  <c r="D819" i="5"/>
  <c r="C819" i="5"/>
  <c r="B819" i="5"/>
  <c r="E820" i="5" l="1"/>
  <c r="A821" i="5" s="1"/>
  <c r="B820" i="5"/>
  <c r="D820" i="5"/>
  <c r="C820" i="5"/>
  <c r="F603" i="5"/>
  <c r="F603" i="4"/>
  <c r="D603" i="4"/>
  <c r="G603" i="4"/>
  <c r="A604" i="4" s="1"/>
  <c r="C603" i="4"/>
  <c r="H603" i="4"/>
  <c r="B603" i="4"/>
  <c r="E603" i="4"/>
  <c r="D821" i="5" l="1"/>
  <c r="E821" i="5"/>
  <c r="A822" i="5" s="1"/>
  <c r="C821" i="5"/>
  <c r="B821" i="5"/>
  <c r="F604" i="5"/>
  <c r="E604" i="4"/>
  <c r="D604" i="4"/>
  <c r="C604" i="4"/>
  <c r="B604" i="4"/>
  <c r="H604" i="4"/>
  <c r="G604" i="4"/>
  <c r="A605" i="4" s="1"/>
  <c r="F604" i="4"/>
  <c r="F605" i="5" l="1"/>
  <c r="F605" i="4"/>
  <c r="D605" i="4"/>
  <c r="C605" i="4"/>
  <c r="E605" i="4"/>
  <c r="G605" i="4"/>
  <c r="A606" i="4" s="1"/>
  <c r="B605" i="4"/>
  <c r="H605" i="4"/>
  <c r="E822" i="5"/>
  <c r="A823" i="5" s="1"/>
  <c r="D822" i="5"/>
  <c r="B822" i="5"/>
  <c r="C822" i="5"/>
  <c r="E823" i="5" l="1"/>
  <c r="A824" i="5" s="1"/>
  <c r="D823" i="5"/>
  <c r="C823" i="5"/>
  <c r="B823" i="5"/>
  <c r="F606" i="5"/>
  <c r="F606" i="4"/>
  <c r="D606" i="4"/>
  <c r="B606" i="4"/>
  <c r="E606" i="4"/>
  <c r="C606" i="4"/>
  <c r="H606" i="4"/>
  <c r="G606" i="4"/>
  <c r="A607" i="4" s="1"/>
  <c r="F607" i="5" l="1"/>
  <c r="H607" i="4"/>
  <c r="E607" i="4"/>
  <c r="G607" i="4"/>
  <c r="A608" i="4" s="1"/>
  <c r="D607" i="4"/>
  <c r="B607" i="4"/>
  <c r="F607" i="4"/>
  <c r="C607" i="4"/>
  <c r="C824" i="5"/>
  <c r="D824" i="5"/>
  <c r="E824" i="5"/>
  <c r="A825" i="5" s="1"/>
  <c r="B824" i="5"/>
  <c r="F608" i="5" l="1"/>
  <c r="H608" i="4"/>
  <c r="F608" i="4"/>
  <c r="E608" i="4"/>
  <c r="C608" i="4"/>
  <c r="B608" i="4"/>
  <c r="G608" i="4"/>
  <c r="A609" i="4" s="1"/>
  <c r="D608" i="4"/>
  <c r="D825" i="5"/>
  <c r="C825" i="5"/>
  <c r="B825" i="5"/>
  <c r="E825" i="5"/>
  <c r="A826" i="5" s="1"/>
  <c r="F609" i="4" l="1"/>
  <c r="D609" i="4"/>
  <c r="F609" i="5"/>
  <c r="C609" i="4"/>
  <c r="H609" i="4"/>
  <c r="G609" i="4"/>
  <c r="A610" i="4" s="1"/>
  <c r="B609" i="4"/>
  <c r="E609" i="4"/>
  <c r="E826" i="5"/>
  <c r="A827" i="5" s="1"/>
  <c r="C826" i="5"/>
  <c r="B826" i="5"/>
  <c r="D826" i="5"/>
  <c r="E827" i="5" l="1"/>
  <c r="A828" i="5" s="1"/>
  <c r="C827" i="5"/>
  <c r="B827" i="5"/>
  <c r="D827" i="5"/>
  <c r="F610" i="5"/>
  <c r="G610" i="4"/>
  <c r="A611" i="4" s="1"/>
  <c r="F610" i="4"/>
  <c r="D610" i="4"/>
  <c r="C610" i="4"/>
  <c r="B610" i="4"/>
  <c r="E610" i="4"/>
  <c r="H610" i="4"/>
  <c r="F611" i="5" l="1"/>
  <c r="H611" i="4"/>
  <c r="G611" i="4"/>
  <c r="A612" i="4" s="1"/>
  <c r="F611" i="4"/>
  <c r="C611" i="4"/>
  <c r="E611" i="4"/>
  <c r="B611" i="4"/>
  <c r="D611" i="4"/>
  <c r="E828" i="5"/>
  <c r="A829" i="5" s="1"/>
  <c r="D828" i="5"/>
  <c r="C828" i="5"/>
  <c r="B828" i="5"/>
  <c r="F612" i="5" l="1"/>
  <c r="F612" i="4"/>
  <c r="D612" i="4"/>
  <c r="B612" i="4"/>
  <c r="E612" i="4"/>
  <c r="C612" i="4"/>
  <c r="H612" i="4"/>
  <c r="G612" i="4"/>
  <c r="A613" i="4" s="1"/>
  <c r="E829" i="5"/>
  <c r="A830" i="5" s="1"/>
  <c r="D829" i="5"/>
  <c r="C829" i="5"/>
  <c r="B829" i="5"/>
  <c r="E830" i="5" l="1"/>
  <c r="A831" i="5" s="1"/>
  <c r="C830" i="5"/>
  <c r="D830" i="5"/>
  <c r="B830" i="5"/>
  <c r="F613" i="5"/>
  <c r="B613" i="4"/>
  <c r="H613" i="4"/>
  <c r="G613" i="4"/>
  <c r="A614" i="4" s="1"/>
  <c r="F613" i="4"/>
  <c r="E613" i="4"/>
  <c r="C613" i="4"/>
  <c r="D613" i="4"/>
  <c r="F614" i="5" l="1"/>
  <c r="G614" i="4"/>
  <c r="A615" i="4" s="1"/>
  <c r="F614" i="4"/>
  <c r="E614" i="4"/>
  <c r="D614" i="4"/>
  <c r="C614" i="4"/>
  <c r="H614" i="4"/>
  <c r="B614" i="4"/>
  <c r="E831" i="5"/>
  <c r="A832" i="5" s="1"/>
  <c r="C831" i="5"/>
  <c r="B831" i="5"/>
  <c r="D831" i="5"/>
  <c r="E832" i="5" l="1"/>
  <c r="A833" i="5" s="1"/>
  <c r="C832" i="5"/>
  <c r="B832" i="5"/>
  <c r="D832" i="5"/>
  <c r="F615" i="4"/>
  <c r="D615" i="4"/>
  <c r="E615" i="4"/>
  <c r="B615" i="4"/>
  <c r="C615" i="4"/>
  <c r="H615" i="4"/>
  <c r="G615" i="4"/>
  <c r="A616" i="4" s="1"/>
  <c r="F615" i="5"/>
  <c r="D833" i="5" l="1"/>
  <c r="E833" i="5"/>
  <c r="A834" i="5" s="1"/>
  <c r="C833" i="5"/>
  <c r="B833" i="5"/>
  <c r="F616" i="5"/>
  <c r="G616" i="4"/>
  <c r="A617" i="4" s="1"/>
  <c r="D616" i="4"/>
  <c r="C616" i="4"/>
  <c r="B616" i="4"/>
  <c r="H616" i="4"/>
  <c r="F616" i="4"/>
  <c r="E616" i="4"/>
  <c r="F617" i="5" l="1"/>
  <c r="F617" i="4"/>
  <c r="D617" i="4"/>
  <c r="C617" i="4"/>
  <c r="H617" i="4"/>
  <c r="G617" i="4"/>
  <c r="A618" i="4" s="1"/>
  <c r="B617" i="4"/>
  <c r="E617" i="4"/>
  <c r="E834" i="5"/>
  <c r="A835" i="5" s="1"/>
  <c r="D834" i="5"/>
  <c r="C834" i="5"/>
  <c r="B834" i="5"/>
  <c r="E835" i="5" l="1"/>
  <c r="A836" i="5" s="1"/>
  <c r="B835" i="5"/>
  <c r="D835" i="5"/>
  <c r="C835" i="5"/>
  <c r="F618" i="5"/>
  <c r="F618" i="4"/>
  <c r="D618" i="4"/>
  <c r="H618" i="4"/>
  <c r="E618" i="4"/>
  <c r="C618" i="4"/>
  <c r="G618" i="4"/>
  <c r="A619" i="4" s="1"/>
  <c r="B618" i="4"/>
  <c r="F619" i="5" l="1"/>
  <c r="H619" i="4"/>
  <c r="G619" i="4"/>
  <c r="A620" i="4" s="1"/>
  <c r="F619" i="4"/>
  <c r="D619" i="4"/>
  <c r="E619" i="4"/>
  <c r="C619" i="4"/>
  <c r="B619" i="4"/>
  <c r="C836" i="5"/>
  <c r="E836" i="5"/>
  <c r="A837" i="5" s="1"/>
  <c r="D836" i="5"/>
  <c r="B836" i="5"/>
  <c r="C837" i="5" l="1"/>
  <c r="B837" i="5"/>
  <c r="E837" i="5"/>
  <c r="A838" i="5" s="1"/>
  <c r="D837" i="5"/>
  <c r="F620" i="5"/>
  <c r="D620" i="4"/>
  <c r="B620" i="4"/>
  <c r="H620" i="4"/>
  <c r="F620" i="4"/>
  <c r="E620" i="4"/>
  <c r="C620" i="4"/>
  <c r="G620" i="4"/>
  <c r="A621" i="4" s="1"/>
  <c r="B838" i="5" l="1"/>
  <c r="E838" i="5"/>
  <c r="A839" i="5" s="1"/>
  <c r="D838" i="5"/>
  <c r="C838" i="5"/>
  <c r="F621" i="5"/>
  <c r="F621" i="4"/>
  <c r="D621" i="4"/>
  <c r="H621" i="4"/>
  <c r="G621" i="4"/>
  <c r="A622" i="4" s="1"/>
  <c r="E621" i="4"/>
  <c r="B621" i="4"/>
  <c r="C621" i="4"/>
  <c r="F622" i="5" l="1"/>
  <c r="B622" i="4"/>
  <c r="H622" i="4"/>
  <c r="G622" i="4"/>
  <c r="A623" i="4" s="1"/>
  <c r="F622" i="4"/>
  <c r="E622" i="4"/>
  <c r="D622" i="4"/>
  <c r="C622" i="4"/>
  <c r="E839" i="5"/>
  <c r="A840" i="5" s="1"/>
  <c r="D839" i="5"/>
  <c r="C839" i="5"/>
  <c r="B839" i="5"/>
  <c r="E840" i="5" l="1"/>
  <c r="A841" i="5" s="1"/>
  <c r="D840" i="5"/>
  <c r="C840" i="5"/>
  <c r="B840" i="5"/>
  <c r="F623" i="5"/>
  <c r="H623" i="4"/>
  <c r="G623" i="4"/>
  <c r="A624" i="4" s="1"/>
  <c r="F623" i="4"/>
  <c r="E623" i="4"/>
  <c r="D623" i="4"/>
  <c r="B623" i="4"/>
  <c r="C623" i="4"/>
  <c r="F624" i="5" l="1"/>
  <c r="F624" i="4"/>
  <c r="D624" i="4"/>
  <c r="H624" i="4"/>
  <c r="G624" i="4"/>
  <c r="A625" i="4" s="1"/>
  <c r="C624" i="4"/>
  <c r="B624" i="4"/>
  <c r="E624" i="4"/>
  <c r="E841" i="5"/>
  <c r="A842" i="5" s="1"/>
  <c r="D841" i="5"/>
  <c r="B841" i="5"/>
  <c r="C841" i="5"/>
  <c r="D842" i="5" l="1"/>
  <c r="B842" i="5"/>
  <c r="C842" i="5"/>
  <c r="E842" i="5"/>
  <c r="A843" i="5" s="1"/>
  <c r="F625" i="5"/>
  <c r="D625" i="4"/>
  <c r="B625" i="4"/>
  <c r="G625" i="4"/>
  <c r="A626" i="4" s="1"/>
  <c r="F625" i="4"/>
  <c r="E625" i="4"/>
  <c r="C625" i="4"/>
  <c r="H625" i="4"/>
  <c r="F626" i="5" l="1"/>
  <c r="H626" i="4"/>
  <c r="B626" i="4"/>
  <c r="E626" i="4"/>
  <c r="D626" i="4"/>
  <c r="C626" i="4"/>
  <c r="G626" i="4"/>
  <c r="A627" i="4" s="1"/>
  <c r="F626" i="4"/>
  <c r="E843" i="5"/>
  <c r="A844" i="5" s="1"/>
  <c r="D843" i="5"/>
  <c r="C843" i="5"/>
  <c r="B843" i="5"/>
  <c r="F627" i="5" l="1"/>
  <c r="F627" i="4"/>
  <c r="D627" i="4"/>
  <c r="H627" i="4"/>
  <c r="G627" i="4"/>
  <c r="A628" i="4" s="1"/>
  <c r="E627" i="4"/>
  <c r="C627" i="4"/>
  <c r="B627" i="4"/>
  <c r="C844" i="5"/>
  <c r="B844" i="5"/>
  <c r="E844" i="5"/>
  <c r="A845" i="5" s="1"/>
  <c r="D844" i="5"/>
  <c r="E845" i="5" l="1"/>
  <c r="A846" i="5" s="1"/>
  <c r="D845" i="5"/>
  <c r="C845" i="5"/>
  <c r="B845" i="5"/>
  <c r="F628" i="5"/>
  <c r="F628" i="4"/>
  <c r="D628" i="4"/>
  <c r="C628" i="4"/>
  <c r="H628" i="4"/>
  <c r="G628" i="4"/>
  <c r="A629" i="4" s="1"/>
  <c r="E628" i="4"/>
  <c r="B628" i="4"/>
  <c r="F629" i="5" l="1"/>
  <c r="H629" i="4"/>
  <c r="G629" i="4"/>
  <c r="A630" i="4" s="1"/>
  <c r="F629" i="4"/>
  <c r="E629" i="4"/>
  <c r="C629" i="4"/>
  <c r="B629" i="4"/>
  <c r="D629" i="4"/>
  <c r="C846" i="5"/>
  <c r="E846" i="5"/>
  <c r="A847" i="5" s="1"/>
  <c r="D846" i="5"/>
  <c r="B846" i="5"/>
  <c r="E847" i="5" l="1"/>
  <c r="A848" i="5" s="1"/>
  <c r="D847" i="5"/>
  <c r="C847" i="5"/>
  <c r="B847" i="5"/>
  <c r="F630" i="4"/>
  <c r="D630" i="4"/>
  <c r="F630" i="5"/>
  <c r="H630" i="4"/>
  <c r="E630" i="4"/>
  <c r="C630" i="4"/>
  <c r="B630" i="4"/>
  <c r="G630" i="4"/>
  <c r="A631" i="4" s="1"/>
  <c r="F631" i="5" l="1"/>
  <c r="H631" i="4"/>
  <c r="F631" i="4"/>
  <c r="E631" i="4"/>
  <c r="G631" i="4"/>
  <c r="A632" i="4" s="1"/>
  <c r="D631" i="4"/>
  <c r="C631" i="4"/>
  <c r="B631" i="4"/>
  <c r="D848" i="5"/>
  <c r="B848" i="5"/>
  <c r="E848" i="5"/>
  <c r="A849" i="5" s="1"/>
  <c r="C848" i="5"/>
  <c r="E849" i="5" l="1"/>
  <c r="A850" i="5" s="1"/>
  <c r="D849" i="5"/>
  <c r="C849" i="5"/>
  <c r="B849" i="5"/>
  <c r="F632" i="5"/>
  <c r="B632" i="4"/>
  <c r="D632" i="4"/>
  <c r="C632" i="4"/>
  <c r="H632" i="4"/>
  <c r="G632" i="4"/>
  <c r="A633" i="4" s="1"/>
  <c r="F632" i="4"/>
  <c r="E632" i="4"/>
  <c r="F633" i="5" l="1"/>
  <c r="F633" i="4"/>
  <c r="D633" i="4"/>
  <c r="B633" i="4"/>
  <c r="H633" i="4"/>
  <c r="G633" i="4"/>
  <c r="A634" i="4" s="1"/>
  <c r="E633" i="4"/>
  <c r="C633" i="4"/>
  <c r="C850" i="5"/>
  <c r="B850" i="5"/>
  <c r="E850" i="5"/>
  <c r="A851" i="5" s="1"/>
  <c r="D850" i="5"/>
  <c r="E851" i="5" l="1"/>
  <c r="A852" i="5" s="1"/>
  <c r="B851" i="5"/>
  <c r="D851" i="5"/>
  <c r="C851" i="5"/>
  <c r="F634" i="5"/>
  <c r="H634" i="4"/>
  <c r="G634" i="4"/>
  <c r="A635" i="4" s="1"/>
  <c r="F634" i="4"/>
  <c r="E634" i="4"/>
  <c r="D634" i="4"/>
  <c r="C634" i="4"/>
  <c r="B634" i="4"/>
  <c r="F635" i="5" l="1"/>
  <c r="B635" i="4"/>
  <c r="E635" i="4"/>
  <c r="H635" i="4"/>
  <c r="G635" i="4"/>
  <c r="A636" i="4" s="1"/>
  <c r="F635" i="4"/>
  <c r="D635" i="4"/>
  <c r="C635" i="4"/>
  <c r="D852" i="5"/>
  <c r="E852" i="5"/>
  <c r="A853" i="5" s="1"/>
  <c r="B852" i="5"/>
  <c r="C852" i="5"/>
  <c r="C853" i="5" l="1"/>
  <c r="B853" i="5"/>
  <c r="E853" i="5"/>
  <c r="A854" i="5" s="1"/>
  <c r="D853" i="5"/>
  <c r="F636" i="5"/>
  <c r="F636" i="4"/>
  <c r="E636" i="4"/>
  <c r="D636" i="4"/>
  <c r="H636" i="4"/>
  <c r="G636" i="4"/>
  <c r="A637" i="4" s="1"/>
  <c r="C636" i="4"/>
  <c r="B636" i="4"/>
  <c r="F637" i="5" l="1"/>
  <c r="D637" i="4"/>
  <c r="C637" i="4"/>
  <c r="H637" i="4"/>
  <c r="B637" i="4"/>
  <c r="G637" i="4"/>
  <c r="A638" i="4" s="1"/>
  <c r="F637" i="4"/>
  <c r="E637" i="4"/>
  <c r="E854" i="5"/>
  <c r="A855" i="5" s="1"/>
  <c r="D854" i="5"/>
  <c r="B854" i="5"/>
  <c r="C854" i="5"/>
  <c r="E855" i="5" l="1"/>
  <c r="A856" i="5" s="1"/>
  <c r="C855" i="5"/>
  <c r="D855" i="5"/>
  <c r="B855" i="5"/>
  <c r="F638" i="5"/>
  <c r="E638" i="4"/>
  <c r="C638" i="4"/>
  <c r="B638" i="4"/>
  <c r="H638" i="4"/>
  <c r="F638" i="4"/>
  <c r="D638" i="4"/>
  <c r="G638" i="4"/>
  <c r="A639" i="4" s="1"/>
  <c r="F639" i="5" l="1"/>
  <c r="F639" i="4"/>
  <c r="E639" i="4"/>
  <c r="D639" i="4"/>
  <c r="C639" i="4"/>
  <c r="H639" i="4"/>
  <c r="G639" i="4"/>
  <c r="A640" i="4" s="1"/>
  <c r="B639" i="4"/>
  <c r="C856" i="5"/>
  <c r="E856" i="5"/>
  <c r="A857" i="5" s="1"/>
  <c r="D856" i="5"/>
  <c r="B856" i="5"/>
  <c r="B857" i="5" l="1"/>
  <c r="D857" i="5"/>
  <c r="E857" i="5"/>
  <c r="A858" i="5" s="1"/>
  <c r="C857" i="5"/>
  <c r="F640" i="5"/>
  <c r="B640" i="4"/>
  <c r="G640" i="4"/>
  <c r="A641" i="4" s="1"/>
  <c r="E640" i="4"/>
  <c r="D640" i="4"/>
  <c r="H640" i="4"/>
  <c r="C640" i="4"/>
  <c r="F640" i="4"/>
  <c r="F641" i="5" l="1"/>
  <c r="H641" i="4"/>
  <c r="F641" i="4"/>
  <c r="E641" i="4"/>
  <c r="G641" i="4"/>
  <c r="A642" i="4" s="1"/>
  <c r="D641" i="4"/>
  <c r="C641" i="4"/>
  <c r="B641" i="4"/>
  <c r="E858" i="5"/>
  <c r="A859" i="5" s="1"/>
  <c r="D858" i="5"/>
  <c r="C858" i="5"/>
  <c r="B858" i="5"/>
  <c r="E859" i="5" l="1"/>
  <c r="A860" i="5" s="1"/>
  <c r="B859" i="5"/>
  <c r="D859" i="5"/>
  <c r="C859" i="5"/>
  <c r="F642" i="5"/>
  <c r="F642" i="4"/>
  <c r="E642" i="4"/>
  <c r="D642" i="4"/>
  <c r="H642" i="4"/>
  <c r="G642" i="4"/>
  <c r="A643" i="4" s="1"/>
  <c r="B642" i="4"/>
  <c r="C642" i="4"/>
  <c r="F643" i="5" l="1"/>
  <c r="D643" i="4"/>
  <c r="H643" i="4"/>
  <c r="G643" i="4"/>
  <c r="A644" i="4" s="1"/>
  <c r="F643" i="4"/>
  <c r="E643" i="4"/>
  <c r="C643" i="4"/>
  <c r="B643" i="4"/>
  <c r="D860" i="5"/>
  <c r="C860" i="5"/>
  <c r="B860" i="5"/>
  <c r="E860" i="5"/>
  <c r="A861" i="5" s="1"/>
  <c r="E861" i="5" l="1"/>
  <c r="A862" i="5" s="1"/>
  <c r="B861" i="5"/>
  <c r="D861" i="5"/>
  <c r="C861" i="5"/>
  <c r="F644" i="5"/>
  <c r="H644" i="4"/>
  <c r="G644" i="4"/>
  <c r="A645" i="4" s="1"/>
  <c r="C644" i="4"/>
  <c r="E644" i="4"/>
  <c r="B644" i="4"/>
  <c r="D644" i="4"/>
  <c r="F644" i="4"/>
  <c r="F645" i="5" l="1"/>
  <c r="F645" i="4"/>
  <c r="E645" i="4"/>
  <c r="D645" i="4"/>
  <c r="C645" i="4"/>
  <c r="H645" i="4"/>
  <c r="G645" i="4"/>
  <c r="A646" i="4" s="1"/>
  <c r="B645" i="4"/>
  <c r="C862" i="5"/>
  <c r="E862" i="5"/>
  <c r="A863" i="5" s="1"/>
  <c r="D862" i="5"/>
  <c r="B862" i="5"/>
  <c r="E863" i="5" l="1"/>
  <c r="A864" i="5" s="1"/>
  <c r="C863" i="5"/>
  <c r="B863" i="5"/>
  <c r="D863" i="5"/>
  <c r="F646" i="5"/>
  <c r="H646" i="4"/>
  <c r="G646" i="4"/>
  <c r="A647" i="4" s="1"/>
  <c r="D646" i="4"/>
  <c r="C646" i="4"/>
  <c r="B646" i="4"/>
  <c r="F646" i="4"/>
  <c r="E646" i="4"/>
  <c r="F647" i="5" l="1"/>
  <c r="B647" i="4"/>
  <c r="H647" i="4"/>
  <c r="G647" i="4"/>
  <c r="A648" i="4" s="1"/>
  <c r="F647" i="4"/>
  <c r="E647" i="4"/>
  <c r="D647" i="4"/>
  <c r="C647" i="4"/>
  <c r="E864" i="5"/>
  <c r="A865" i="5" s="1"/>
  <c r="D864" i="5"/>
  <c r="C864" i="5"/>
  <c r="B864" i="5"/>
  <c r="D865" i="5" l="1"/>
  <c r="B865" i="5"/>
  <c r="E865" i="5"/>
  <c r="A866" i="5" s="1"/>
  <c r="C865" i="5"/>
  <c r="F648" i="5"/>
  <c r="F648" i="4"/>
  <c r="E648" i="4"/>
  <c r="D648" i="4"/>
  <c r="G648" i="4"/>
  <c r="A649" i="4" s="1"/>
  <c r="C648" i="4"/>
  <c r="H648" i="4"/>
  <c r="B648" i="4"/>
  <c r="F649" i="5" l="1"/>
  <c r="D649" i="4"/>
  <c r="C649" i="4"/>
  <c r="G649" i="4"/>
  <c r="A650" i="4" s="1"/>
  <c r="E649" i="4"/>
  <c r="B649" i="4"/>
  <c r="H649" i="4"/>
  <c r="F649" i="4"/>
  <c r="D866" i="5"/>
  <c r="E866" i="5"/>
  <c r="A867" i="5" s="1"/>
  <c r="B866" i="5"/>
  <c r="C866" i="5"/>
  <c r="E867" i="5" l="1"/>
  <c r="A868" i="5" s="1"/>
  <c r="D867" i="5"/>
  <c r="B867" i="5"/>
  <c r="C867" i="5"/>
  <c r="F650" i="5"/>
  <c r="H650" i="4"/>
  <c r="G650" i="4"/>
  <c r="A651" i="4" s="1"/>
  <c r="E650" i="4"/>
  <c r="F650" i="4"/>
  <c r="D650" i="4"/>
  <c r="C650" i="4"/>
  <c r="B650" i="4"/>
  <c r="F651" i="4" l="1"/>
  <c r="E651" i="4"/>
  <c r="D651" i="4"/>
  <c r="H651" i="4"/>
  <c r="G651" i="4"/>
  <c r="A652" i="4" s="1"/>
  <c r="C651" i="4"/>
  <c r="B651" i="4"/>
  <c r="F651" i="5"/>
  <c r="D868" i="5"/>
  <c r="C868" i="5"/>
  <c r="B868" i="5"/>
  <c r="E868" i="5"/>
  <c r="A869" i="5" s="1"/>
  <c r="D869" i="5" l="1"/>
  <c r="C869" i="5"/>
  <c r="B869" i="5"/>
  <c r="E869" i="5"/>
  <c r="A870" i="5" s="1"/>
  <c r="F652" i="5"/>
  <c r="D652" i="4"/>
  <c r="B652" i="4"/>
  <c r="E652" i="4"/>
  <c r="C652" i="4"/>
  <c r="H652" i="4"/>
  <c r="F652" i="4"/>
  <c r="G652" i="4"/>
  <c r="A653" i="4" s="1"/>
  <c r="F653" i="5" l="1"/>
  <c r="G653" i="4"/>
  <c r="A654" i="4" s="1"/>
  <c r="F653" i="4"/>
  <c r="E653" i="4"/>
  <c r="D653" i="4"/>
  <c r="C653" i="4"/>
  <c r="H653" i="4"/>
  <c r="B653" i="4"/>
  <c r="D870" i="5"/>
  <c r="C870" i="5"/>
  <c r="B870" i="5"/>
  <c r="E870" i="5"/>
  <c r="A871" i="5" s="1"/>
  <c r="E871" i="5" l="1"/>
  <c r="A872" i="5" s="1"/>
  <c r="B871" i="5"/>
  <c r="D871" i="5"/>
  <c r="C871" i="5"/>
  <c r="F654" i="4"/>
  <c r="E654" i="4"/>
  <c r="D654" i="4"/>
  <c r="B654" i="4"/>
  <c r="F654" i="5"/>
  <c r="H654" i="4"/>
  <c r="G654" i="4"/>
  <c r="A655" i="4" s="1"/>
  <c r="C654" i="4"/>
  <c r="G655" i="4" l="1"/>
  <c r="A656" i="4" s="1"/>
  <c r="E655" i="4"/>
  <c r="D655" i="4"/>
  <c r="H655" i="4"/>
  <c r="F655" i="4"/>
  <c r="C655" i="4"/>
  <c r="B655" i="4"/>
  <c r="F655" i="5"/>
  <c r="C872" i="5"/>
  <c r="B872" i="5"/>
  <c r="E872" i="5"/>
  <c r="A873" i="5" s="1"/>
  <c r="D872" i="5"/>
  <c r="E873" i="5" l="1"/>
  <c r="A874" i="5" s="1"/>
  <c r="D873" i="5"/>
  <c r="C873" i="5"/>
  <c r="B873" i="5"/>
  <c r="F656" i="5"/>
  <c r="D656" i="4"/>
  <c r="C656" i="4"/>
  <c r="B656" i="4"/>
  <c r="H656" i="4"/>
  <c r="G656" i="4"/>
  <c r="A657" i="4" s="1"/>
  <c r="F656" i="4"/>
  <c r="E656" i="4"/>
  <c r="F657" i="4" l="1"/>
  <c r="E657" i="4"/>
  <c r="D657" i="4"/>
  <c r="F657" i="5"/>
  <c r="B657" i="4"/>
  <c r="H657" i="4"/>
  <c r="C657" i="4"/>
  <c r="G657" i="4"/>
  <c r="A658" i="4" s="1"/>
  <c r="D874" i="5"/>
  <c r="C874" i="5"/>
  <c r="E874" i="5"/>
  <c r="A875" i="5" s="1"/>
  <c r="B874" i="5"/>
  <c r="F658" i="5" l="1"/>
  <c r="H658" i="4"/>
  <c r="G658" i="4"/>
  <c r="A659" i="4" s="1"/>
  <c r="F658" i="4"/>
  <c r="E658" i="4"/>
  <c r="D658" i="4"/>
  <c r="C658" i="4"/>
  <c r="B658" i="4"/>
  <c r="E875" i="5"/>
  <c r="A876" i="5" s="1"/>
  <c r="D875" i="5"/>
  <c r="C875" i="5"/>
  <c r="B875" i="5"/>
  <c r="E876" i="5" l="1"/>
  <c r="A877" i="5" s="1"/>
  <c r="D876" i="5"/>
  <c r="B876" i="5"/>
  <c r="C876" i="5"/>
  <c r="F659" i="5"/>
  <c r="B659" i="4"/>
  <c r="H659" i="4"/>
  <c r="G659" i="4"/>
  <c r="A660" i="4" s="1"/>
  <c r="F659" i="4"/>
  <c r="E659" i="4"/>
  <c r="D659" i="4"/>
  <c r="C659" i="4"/>
  <c r="F660" i="5" l="1"/>
  <c r="F660" i="4"/>
  <c r="E660" i="4"/>
  <c r="D660" i="4"/>
  <c r="C660" i="4"/>
  <c r="B660" i="4"/>
  <c r="H660" i="4"/>
  <c r="G660" i="4"/>
  <c r="A661" i="4" s="1"/>
  <c r="D877" i="5"/>
  <c r="B877" i="5"/>
  <c r="C877" i="5"/>
  <c r="E877" i="5"/>
  <c r="A878" i="5" s="1"/>
  <c r="C878" i="5" l="1"/>
  <c r="B878" i="5"/>
  <c r="E878" i="5"/>
  <c r="A879" i="5" s="1"/>
  <c r="D878" i="5"/>
  <c r="F661" i="5"/>
  <c r="B661" i="4"/>
  <c r="G661" i="4"/>
  <c r="A662" i="4" s="1"/>
  <c r="H661" i="4"/>
  <c r="F661" i="4"/>
  <c r="E661" i="4"/>
  <c r="D661" i="4"/>
  <c r="C661" i="4"/>
  <c r="E662" i="4" l="1"/>
  <c r="C662" i="4"/>
  <c r="B662" i="4"/>
  <c r="H662" i="4"/>
  <c r="G662" i="4"/>
  <c r="A663" i="4" s="1"/>
  <c r="F662" i="4"/>
  <c r="D662" i="4"/>
  <c r="F662" i="5"/>
  <c r="E879" i="5"/>
  <c r="A880" i="5" s="1"/>
  <c r="D879" i="5"/>
  <c r="C879" i="5"/>
  <c r="B879" i="5"/>
  <c r="F663" i="5" l="1"/>
  <c r="F663" i="4"/>
  <c r="E663" i="4"/>
  <c r="D663" i="4"/>
  <c r="H663" i="4"/>
  <c r="G663" i="4"/>
  <c r="A664" i="4" s="1"/>
  <c r="C663" i="4"/>
  <c r="B663" i="4"/>
  <c r="E880" i="5"/>
  <c r="A881" i="5" s="1"/>
  <c r="D880" i="5"/>
  <c r="C880" i="5"/>
  <c r="B880" i="5"/>
  <c r="F664" i="5" l="1"/>
  <c r="E664" i="4"/>
  <c r="D664" i="4"/>
  <c r="C664" i="4"/>
  <c r="B664" i="4"/>
  <c r="H664" i="4"/>
  <c r="F664" i="4"/>
  <c r="G664" i="4"/>
  <c r="A665" i="4" s="1"/>
  <c r="B881" i="5"/>
  <c r="C881" i="5"/>
  <c r="D881" i="5"/>
  <c r="E881" i="5"/>
  <c r="A882" i="5" s="1"/>
  <c r="C882" i="5" l="1"/>
  <c r="E882" i="5"/>
  <c r="A883" i="5" s="1"/>
  <c r="D882" i="5"/>
  <c r="B882" i="5"/>
  <c r="F665" i="5"/>
  <c r="H665" i="4"/>
  <c r="F665" i="4"/>
  <c r="E665" i="4"/>
  <c r="D665" i="4"/>
  <c r="C665" i="4"/>
  <c r="B665" i="4"/>
  <c r="G665" i="4"/>
  <c r="A666" i="4" s="1"/>
  <c r="F666" i="5" l="1"/>
  <c r="F666" i="4"/>
  <c r="E666" i="4"/>
  <c r="D666" i="4"/>
  <c r="B666" i="4"/>
  <c r="H666" i="4"/>
  <c r="G666" i="4"/>
  <c r="A667" i="4" s="1"/>
  <c r="C666" i="4"/>
  <c r="E883" i="5"/>
  <c r="A884" i="5" s="1"/>
  <c r="D883" i="5"/>
  <c r="B883" i="5"/>
  <c r="C883" i="5"/>
  <c r="F667" i="5" l="1"/>
  <c r="H667" i="4"/>
  <c r="G667" i="4"/>
  <c r="A668" i="4" s="1"/>
  <c r="F667" i="4"/>
  <c r="E667" i="4"/>
  <c r="C667" i="4"/>
  <c r="B667" i="4"/>
  <c r="D667" i="4"/>
  <c r="C884" i="5"/>
  <c r="B884" i="5"/>
  <c r="D884" i="5"/>
  <c r="E884" i="5"/>
  <c r="A885" i="5" s="1"/>
  <c r="C885" i="5" l="1"/>
  <c r="B885" i="5"/>
  <c r="D885" i="5"/>
  <c r="E885" i="5"/>
  <c r="A886" i="5" s="1"/>
  <c r="F668" i="5"/>
  <c r="H668" i="4"/>
  <c r="D668" i="4"/>
  <c r="C668" i="4"/>
  <c r="B668" i="4"/>
  <c r="G668" i="4"/>
  <c r="A669" i="4" s="1"/>
  <c r="E668" i="4"/>
  <c r="F668" i="4"/>
  <c r="F669" i="5" l="1"/>
  <c r="F669" i="4"/>
  <c r="E669" i="4"/>
  <c r="D669" i="4"/>
  <c r="C669" i="4"/>
  <c r="H669" i="4"/>
  <c r="G669" i="4"/>
  <c r="A670" i="4" s="1"/>
  <c r="B669" i="4"/>
  <c r="E886" i="5"/>
  <c r="A887" i="5" s="1"/>
  <c r="B886" i="5"/>
  <c r="D886" i="5"/>
  <c r="C886" i="5"/>
  <c r="F670" i="5" l="1"/>
  <c r="G670" i="4"/>
  <c r="A671" i="4" s="1"/>
  <c r="H670" i="4"/>
  <c r="F670" i="4"/>
  <c r="E670" i="4"/>
  <c r="D670" i="4"/>
  <c r="C670" i="4"/>
  <c r="B670" i="4"/>
  <c r="E887" i="5"/>
  <c r="A888" i="5" s="1"/>
  <c r="B887" i="5"/>
  <c r="D887" i="5"/>
  <c r="C887" i="5"/>
  <c r="E888" i="5" l="1"/>
  <c r="A889" i="5" s="1"/>
  <c r="D888" i="5"/>
  <c r="C888" i="5"/>
  <c r="B888" i="5"/>
  <c r="F671" i="5"/>
  <c r="H671" i="4"/>
  <c r="G671" i="4"/>
  <c r="A672" i="4" s="1"/>
  <c r="F671" i="4"/>
  <c r="E671" i="4"/>
  <c r="D671" i="4"/>
  <c r="C671" i="4"/>
  <c r="B671" i="4"/>
  <c r="F672" i="5" l="1"/>
  <c r="F672" i="4"/>
  <c r="E672" i="4"/>
  <c r="D672" i="4"/>
  <c r="G672" i="4"/>
  <c r="A673" i="4" s="1"/>
  <c r="C672" i="4"/>
  <c r="H672" i="4"/>
  <c r="B672" i="4"/>
  <c r="E889" i="5"/>
  <c r="A890" i="5" s="1"/>
  <c r="D889" i="5"/>
  <c r="C889" i="5"/>
  <c r="B889" i="5"/>
  <c r="F673" i="5" l="1"/>
  <c r="H673" i="4"/>
  <c r="F673" i="4"/>
  <c r="E673" i="4"/>
  <c r="B673" i="4"/>
  <c r="C673" i="4"/>
  <c r="G673" i="4"/>
  <c r="A674" i="4" s="1"/>
  <c r="D673" i="4"/>
  <c r="D890" i="5"/>
  <c r="E890" i="5"/>
  <c r="A891" i="5" s="1"/>
  <c r="C890" i="5"/>
  <c r="B890" i="5"/>
  <c r="F674" i="5" l="1"/>
  <c r="E674" i="4"/>
  <c r="H674" i="4"/>
  <c r="G674" i="4"/>
  <c r="A675" i="4" s="1"/>
  <c r="F674" i="4"/>
  <c r="D674" i="4"/>
  <c r="C674" i="4"/>
  <c r="B674" i="4"/>
  <c r="E891" i="5"/>
  <c r="A892" i="5" s="1"/>
  <c r="D891" i="5"/>
  <c r="B891" i="5"/>
  <c r="C891" i="5"/>
  <c r="F675" i="5" l="1"/>
  <c r="F675" i="4"/>
  <c r="E675" i="4"/>
  <c r="D675" i="4"/>
  <c r="H675" i="4"/>
  <c r="G675" i="4"/>
  <c r="A676" i="4" s="1"/>
  <c r="C675" i="4"/>
  <c r="B675" i="4"/>
  <c r="C892" i="5"/>
  <c r="E892" i="5"/>
  <c r="A893" i="5" s="1"/>
  <c r="B892" i="5"/>
  <c r="D892" i="5"/>
  <c r="E893" i="5" l="1"/>
  <c r="A894" i="5" s="1"/>
  <c r="C893" i="5"/>
  <c r="B893" i="5"/>
  <c r="D893" i="5"/>
  <c r="F676" i="5"/>
  <c r="D676" i="4"/>
  <c r="B676" i="4"/>
  <c r="H676" i="4"/>
  <c r="G676" i="4"/>
  <c r="A677" i="4" s="1"/>
  <c r="F676" i="4"/>
  <c r="E676" i="4"/>
  <c r="C676" i="4"/>
  <c r="F677" i="5" l="1"/>
  <c r="G677" i="4"/>
  <c r="A678" i="4" s="1"/>
  <c r="F677" i="4"/>
  <c r="D677" i="4"/>
  <c r="C677" i="4"/>
  <c r="B677" i="4"/>
  <c r="E677" i="4"/>
  <c r="H677" i="4"/>
  <c r="E894" i="5"/>
  <c r="A895" i="5" s="1"/>
  <c r="D894" i="5"/>
  <c r="C894" i="5"/>
  <c r="B894" i="5"/>
  <c r="E895" i="5" l="1"/>
  <c r="A896" i="5" s="1"/>
  <c r="B895" i="5"/>
  <c r="C895" i="5"/>
  <c r="D895" i="5"/>
  <c r="F678" i="5"/>
  <c r="F678" i="4"/>
  <c r="E678" i="4"/>
  <c r="D678" i="4"/>
  <c r="C678" i="4"/>
  <c r="H678" i="4"/>
  <c r="G678" i="4"/>
  <c r="A679" i="4" s="1"/>
  <c r="B678" i="4"/>
  <c r="F679" i="5" l="1"/>
  <c r="G679" i="4"/>
  <c r="A680" i="4" s="1"/>
  <c r="E679" i="4"/>
  <c r="D679" i="4"/>
  <c r="C679" i="4"/>
  <c r="B679" i="4"/>
  <c r="F679" i="4"/>
  <c r="H679" i="4"/>
  <c r="E896" i="5"/>
  <c r="A897" i="5" s="1"/>
  <c r="B896" i="5"/>
  <c r="D896" i="5"/>
  <c r="C896" i="5"/>
  <c r="F680" i="5" l="1"/>
  <c r="G680" i="4"/>
  <c r="A681" i="4" s="1"/>
  <c r="F680" i="4"/>
  <c r="E680" i="4"/>
  <c r="D680" i="4"/>
  <c r="C680" i="4"/>
  <c r="B680" i="4"/>
  <c r="H680" i="4"/>
  <c r="B897" i="5"/>
  <c r="E897" i="5"/>
  <c r="A898" i="5" s="1"/>
  <c r="D897" i="5"/>
  <c r="C897" i="5"/>
  <c r="C898" i="5" l="1"/>
  <c r="B898" i="5"/>
  <c r="E898" i="5"/>
  <c r="A899" i="5" s="1"/>
  <c r="D898" i="5"/>
  <c r="F681" i="5"/>
  <c r="F681" i="4"/>
  <c r="E681" i="4"/>
  <c r="D681" i="4"/>
  <c r="C681" i="4"/>
  <c r="H681" i="4"/>
  <c r="G681" i="4"/>
  <c r="A682" i="4" s="1"/>
  <c r="B681" i="4"/>
  <c r="H682" i="4" l="1"/>
  <c r="G682" i="4"/>
  <c r="A683" i="4" s="1"/>
  <c r="D682" i="4"/>
  <c r="F682" i="5"/>
  <c r="F682" i="4"/>
  <c r="E682" i="4"/>
  <c r="C682" i="4"/>
  <c r="B682" i="4"/>
  <c r="E899" i="5"/>
  <c r="A900" i="5" s="1"/>
  <c r="D899" i="5"/>
  <c r="B899" i="5"/>
  <c r="C899" i="5"/>
  <c r="B900" i="5" l="1"/>
  <c r="E900" i="5"/>
  <c r="A901" i="5" s="1"/>
  <c r="D900" i="5"/>
  <c r="C900" i="5"/>
  <c r="F683" i="5"/>
  <c r="B683" i="4"/>
  <c r="H683" i="4"/>
  <c r="D683" i="4"/>
  <c r="C683" i="4"/>
  <c r="F683" i="4"/>
  <c r="E683" i="4"/>
  <c r="G683" i="4"/>
  <c r="A684" i="4" s="1"/>
  <c r="E901" i="5" l="1"/>
  <c r="A902" i="5" s="1"/>
  <c r="D901" i="5"/>
  <c r="C901" i="5"/>
  <c r="B901" i="5"/>
  <c r="F684" i="5"/>
  <c r="F684" i="4"/>
  <c r="E684" i="4"/>
  <c r="D684" i="4"/>
  <c r="H684" i="4"/>
  <c r="G684" i="4"/>
  <c r="A685" i="4" s="1"/>
  <c r="C684" i="4"/>
  <c r="B684" i="4"/>
  <c r="F685" i="5" l="1"/>
  <c r="F685" i="4"/>
  <c r="D685" i="4"/>
  <c r="E685" i="4"/>
  <c r="C685" i="4"/>
  <c r="B685" i="4"/>
  <c r="G685" i="4"/>
  <c r="A686" i="4" s="1"/>
  <c r="H685" i="4"/>
  <c r="E902" i="5"/>
  <c r="A903" i="5" s="1"/>
  <c r="D902" i="5"/>
  <c r="B902" i="5"/>
  <c r="C902" i="5"/>
  <c r="E903" i="5" l="1"/>
  <c r="A904" i="5" s="1"/>
  <c r="B903" i="5"/>
  <c r="D903" i="5"/>
  <c r="C903" i="5"/>
  <c r="F686" i="5"/>
  <c r="H686" i="4"/>
  <c r="E686" i="4"/>
  <c r="C686" i="4"/>
  <c r="B686" i="4"/>
  <c r="D686" i="4"/>
  <c r="G686" i="4"/>
  <c r="A687" i="4" s="1"/>
  <c r="F686" i="4"/>
  <c r="F687" i="4" l="1"/>
  <c r="E687" i="4"/>
  <c r="D687" i="4"/>
  <c r="F687" i="5"/>
  <c r="H687" i="4"/>
  <c r="G687" i="4"/>
  <c r="A688" i="4" s="1"/>
  <c r="B687" i="4"/>
  <c r="C687" i="4"/>
  <c r="C904" i="5"/>
  <c r="B904" i="5"/>
  <c r="E904" i="5"/>
  <c r="A905" i="5" s="1"/>
  <c r="D904" i="5"/>
  <c r="E905" i="5" l="1"/>
  <c r="A906" i="5" s="1"/>
  <c r="D905" i="5"/>
  <c r="B905" i="5"/>
  <c r="C905" i="5"/>
  <c r="F688" i="5"/>
  <c r="H688" i="4"/>
  <c r="G688" i="4"/>
  <c r="A689" i="4" s="1"/>
  <c r="F688" i="4"/>
  <c r="E688" i="4"/>
  <c r="D688" i="4"/>
  <c r="C688" i="4"/>
  <c r="B688" i="4"/>
  <c r="F689" i="5" l="1"/>
  <c r="G689" i="4"/>
  <c r="A690" i="4" s="1"/>
  <c r="F689" i="4"/>
  <c r="E689" i="4"/>
  <c r="D689" i="4"/>
  <c r="B689" i="4"/>
  <c r="H689" i="4"/>
  <c r="C689" i="4"/>
  <c r="D906" i="5"/>
  <c r="C906" i="5"/>
  <c r="E906" i="5"/>
  <c r="A907" i="5" s="1"/>
  <c r="B906" i="5"/>
  <c r="E907" i="5" l="1"/>
  <c r="A908" i="5" s="1"/>
  <c r="B907" i="5"/>
  <c r="D907" i="5"/>
  <c r="C907" i="5"/>
  <c r="F690" i="5"/>
  <c r="F690" i="4"/>
  <c r="E690" i="4"/>
  <c r="D690" i="4"/>
  <c r="C690" i="4"/>
  <c r="H690" i="4"/>
  <c r="B690" i="4"/>
  <c r="G690" i="4"/>
  <c r="A691" i="4" s="1"/>
  <c r="F691" i="5" l="1"/>
  <c r="D691" i="4"/>
  <c r="B691" i="4"/>
  <c r="H691" i="4"/>
  <c r="G691" i="4"/>
  <c r="A692" i="4" s="1"/>
  <c r="E691" i="4"/>
  <c r="F691" i="4"/>
  <c r="C691" i="4"/>
  <c r="E908" i="5"/>
  <c r="A909" i="5" s="1"/>
  <c r="D908" i="5"/>
  <c r="C908" i="5"/>
  <c r="B908" i="5"/>
  <c r="D909" i="5" l="1"/>
  <c r="C909" i="5"/>
  <c r="B909" i="5"/>
  <c r="E909" i="5"/>
  <c r="A910" i="5" s="1"/>
  <c r="F692" i="5"/>
  <c r="H692" i="4"/>
  <c r="G692" i="4"/>
  <c r="A693" i="4" s="1"/>
  <c r="F692" i="4"/>
  <c r="E692" i="4"/>
  <c r="D692" i="4"/>
  <c r="C692" i="4"/>
  <c r="B692" i="4"/>
  <c r="E910" i="5" l="1"/>
  <c r="A911" i="5" s="1"/>
  <c r="D910" i="5"/>
  <c r="B910" i="5"/>
  <c r="C910" i="5"/>
  <c r="F693" i="5"/>
  <c r="F693" i="4"/>
  <c r="E693" i="4"/>
  <c r="D693" i="4"/>
  <c r="H693" i="4"/>
  <c r="G693" i="4"/>
  <c r="A694" i="4" s="1"/>
  <c r="C693" i="4"/>
  <c r="B693" i="4"/>
  <c r="G694" i="4" l="1"/>
  <c r="A695" i="4" s="1"/>
  <c r="E694" i="4"/>
  <c r="C694" i="4"/>
  <c r="H694" i="4"/>
  <c r="F694" i="4"/>
  <c r="D694" i="4"/>
  <c r="B694" i="4"/>
  <c r="F694" i="5"/>
  <c r="E911" i="5"/>
  <c r="A912" i="5" s="1"/>
  <c r="C911" i="5"/>
  <c r="B911" i="5"/>
  <c r="D911" i="5"/>
  <c r="C912" i="5" l="1"/>
  <c r="E912" i="5"/>
  <c r="A913" i="5" s="1"/>
  <c r="D912" i="5"/>
  <c r="B912" i="5"/>
  <c r="F695" i="5"/>
  <c r="C695" i="4"/>
  <c r="H695" i="4"/>
  <c r="G695" i="4"/>
  <c r="A696" i="4" s="1"/>
  <c r="E695" i="4"/>
  <c r="D695" i="4"/>
  <c r="B695" i="4"/>
  <c r="F695" i="4"/>
  <c r="F696" i="5" l="1"/>
  <c r="F696" i="4"/>
  <c r="E696" i="4"/>
  <c r="D696" i="4"/>
  <c r="H696" i="4"/>
  <c r="G696" i="4"/>
  <c r="A697" i="4" s="1"/>
  <c r="C696" i="4"/>
  <c r="B696" i="4"/>
  <c r="C913" i="5"/>
  <c r="B913" i="5"/>
  <c r="E913" i="5"/>
  <c r="A914" i="5" s="1"/>
  <c r="D913" i="5"/>
  <c r="B914" i="5" l="1"/>
  <c r="E914" i="5"/>
  <c r="A915" i="5" s="1"/>
  <c r="D914" i="5"/>
  <c r="C914" i="5"/>
  <c r="H697" i="4"/>
  <c r="D697" i="4"/>
  <c r="F697" i="5"/>
  <c r="G697" i="4"/>
  <c r="A698" i="4" s="1"/>
  <c r="F697" i="4"/>
  <c r="E697" i="4"/>
  <c r="C697" i="4"/>
  <c r="B697" i="4"/>
  <c r="E915" i="5" l="1"/>
  <c r="A916" i="5" s="1"/>
  <c r="D915" i="5"/>
  <c r="C915" i="5"/>
  <c r="B915" i="5"/>
  <c r="F698" i="5"/>
  <c r="B698" i="4"/>
  <c r="C698" i="4"/>
  <c r="F698" i="4"/>
  <c r="E698" i="4"/>
  <c r="D698" i="4"/>
  <c r="H698" i="4"/>
  <c r="G698" i="4"/>
  <c r="A699" i="4" s="1"/>
  <c r="F699" i="4" l="1"/>
  <c r="E699" i="4"/>
  <c r="D699" i="4"/>
  <c r="F699" i="5"/>
  <c r="G699" i="4"/>
  <c r="A700" i="4" s="1"/>
  <c r="C699" i="4"/>
  <c r="H699" i="4"/>
  <c r="B699" i="4"/>
  <c r="E916" i="5"/>
  <c r="A917" i="5" s="1"/>
  <c r="B916" i="5"/>
  <c r="D916" i="5"/>
  <c r="C916" i="5"/>
  <c r="B917" i="5" l="1"/>
  <c r="D917" i="5"/>
  <c r="C917" i="5"/>
  <c r="E917" i="5"/>
  <c r="A918" i="5" s="1"/>
  <c r="F700" i="5"/>
  <c r="G700" i="4"/>
  <c r="A701" i="4" s="1"/>
  <c r="H700" i="4"/>
  <c r="F700" i="4"/>
  <c r="E700" i="4"/>
  <c r="D700" i="4"/>
  <c r="C700" i="4"/>
  <c r="B700" i="4"/>
  <c r="D918" i="5" l="1"/>
  <c r="C918" i="5"/>
  <c r="B918" i="5"/>
  <c r="E918" i="5"/>
  <c r="A919" i="5" s="1"/>
  <c r="F701" i="5"/>
  <c r="E701" i="4"/>
  <c r="C701" i="4"/>
  <c r="G701" i="4"/>
  <c r="A702" i="4" s="1"/>
  <c r="F701" i="4"/>
  <c r="H701" i="4"/>
  <c r="B701" i="4"/>
  <c r="D701" i="4"/>
  <c r="E919" i="5" l="1"/>
  <c r="A920" i="5" s="1"/>
  <c r="C919" i="5"/>
  <c r="D919" i="5"/>
  <c r="B919" i="5"/>
  <c r="F702" i="4"/>
  <c r="E702" i="4"/>
  <c r="F702" i="5"/>
  <c r="D702" i="4"/>
  <c r="H702" i="4"/>
  <c r="G702" i="4"/>
  <c r="A703" i="4" s="1"/>
  <c r="C702" i="4"/>
  <c r="B702" i="4"/>
  <c r="C920" i="5" l="1"/>
  <c r="B920" i="5"/>
  <c r="E920" i="5"/>
  <c r="A921" i="5" s="1"/>
  <c r="D920" i="5"/>
  <c r="F703" i="5"/>
  <c r="H703" i="4"/>
  <c r="C703" i="4"/>
  <c r="B703" i="4"/>
  <c r="D703" i="4"/>
  <c r="G703" i="4"/>
  <c r="A704" i="4" s="1"/>
  <c r="F703" i="4"/>
  <c r="E703" i="4"/>
  <c r="F704" i="5" l="1"/>
  <c r="H704" i="4"/>
  <c r="F704" i="4"/>
  <c r="B704" i="4"/>
  <c r="E704" i="4"/>
  <c r="G704" i="4"/>
  <c r="A705" i="4" s="1"/>
  <c r="D704" i="4"/>
  <c r="C704" i="4"/>
  <c r="E921" i="5"/>
  <c r="A922" i="5" s="1"/>
  <c r="D921" i="5"/>
  <c r="B921" i="5"/>
  <c r="C921" i="5"/>
  <c r="E922" i="5" l="1"/>
  <c r="A923" i="5" s="1"/>
  <c r="D922" i="5"/>
  <c r="C922" i="5"/>
  <c r="B922" i="5"/>
  <c r="F705" i="5"/>
  <c r="F705" i="4"/>
  <c r="E705" i="4"/>
  <c r="D705" i="4"/>
  <c r="H705" i="4"/>
  <c r="G705" i="4"/>
  <c r="A706" i="4" s="1"/>
  <c r="C705" i="4"/>
  <c r="B705" i="4"/>
  <c r="F706" i="5" l="1"/>
  <c r="B706" i="4"/>
  <c r="H706" i="4"/>
  <c r="G706" i="4"/>
  <c r="A707" i="4" s="1"/>
  <c r="F706" i="4"/>
  <c r="E706" i="4"/>
  <c r="D706" i="4"/>
  <c r="C706" i="4"/>
  <c r="E923" i="5"/>
  <c r="A924" i="5" s="1"/>
  <c r="D923" i="5"/>
  <c r="C923" i="5"/>
  <c r="B923" i="5"/>
  <c r="E924" i="5" l="1"/>
  <c r="A925" i="5" s="1"/>
  <c r="D924" i="5"/>
  <c r="C924" i="5"/>
  <c r="B924" i="5"/>
  <c r="F707" i="5"/>
  <c r="E707" i="4"/>
  <c r="F707" i="4"/>
  <c r="D707" i="4"/>
  <c r="C707" i="4"/>
  <c r="B707" i="4"/>
  <c r="H707" i="4"/>
  <c r="G707" i="4"/>
  <c r="A708" i="4" s="1"/>
  <c r="F708" i="4" l="1"/>
  <c r="E708" i="4"/>
  <c r="D708" i="4"/>
  <c r="C708" i="4"/>
  <c r="F708" i="5"/>
  <c r="G708" i="4"/>
  <c r="A709" i="4" s="1"/>
  <c r="H708" i="4"/>
  <c r="B708" i="4"/>
  <c r="E925" i="5"/>
  <c r="A926" i="5" s="1"/>
  <c r="D925" i="5"/>
  <c r="C925" i="5"/>
  <c r="B925" i="5"/>
  <c r="F709" i="5" l="1"/>
  <c r="H709" i="4"/>
  <c r="F709" i="4"/>
  <c r="E709" i="4"/>
  <c r="D709" i="4"/>
  <c r="C709" i="4"/>
  <c r="G709" i="4"/>
  <c r="A710" i="4" s="1"/>
  <c r="B709" i="4"/>
  <c r="D926" i="5"/>
  <c r="C926" i="5"/>
  <c r="E926" i="5"/>
  <c r="A927" i="5" s="1"/>
  <c r="B926" i="5"/>
  <c r="H710" i="4" l="1"/>
  <c r="F710" i="5"/>
  <c r="B710" i="4"/>
  <c r="C710" i="4"/>
  <c r="D710" i="4"/>
  <c r="G710" i="4"/>
  <c r="A711" i="4" s="1"/>
  <c r="E710" i="4"/>
  <c r="F710" i="4"/>
  <c r="E927" i="5"/>
  <c r="A928" i="5" s="1"/>
  <c r="C927" i="5"/>
  <c r="B927" i="5"/>
  <c r="D927" i="5"/>
  <c r="D928" i="5" l="1"/>
  <c r="C928" i="5"/>
  <c r="E928" i="5"/>
  <c r="A929" i="5" s="1"/>
  <c r="B928" i="5"/>
  <c r="F711" i="5"/>
  <c r="F711" i="4"/>
  <c r="E711" i="4"/>
  <c r="D711" i="4"/>
  <c r="G711" i="4"/>
  <c r="A712" i="4" s="1"/>
  <c r="H711" i="4"/>
  <c r="C711" i="4"/>
  <c r="B711" i="4"/>
  <c r="F712" i="5" l="1"/>
  <c r="H712" i="4"/>
  <c r="E712" i="4"/>
  <c r="D712" i="4"/>
  <c r="C712" i="4"/>
  <c r="B712" i="4"/>
  <c r="F712" i="4"/>
  <c r="G712" i="4"/>
  <c r="A713" i="4" s="1"/>
  <c r="E929" i="5"/>
  <c r="A930" i="5" s="1"/>
  <c r="C929" i="5"/>
  <c r="D929" i="5"/>
  <c r="B929" i="5"/>
  <c r="F713" i="5" l="1"/>
  <c r="F713" i="4"/>
  <c r="D713" i="4"/>
  <c r="C713" i="4"/>
  <c r="H713" i="4"/>
  <c r="G713" i="4"/>
  <c r="A714" i="4" s="1"/>
  <c r="E713" i="4"/>
  <c r="B713" i="4"/>
  <c r="E930" i="5"/>
  <c r="A931" i="5" s="1"/>
  <c r="C930" i="5"/>
  <c r="B930" i="5"/>
  <c r="D930" i="5"/>
  <c r="E931" i="5" l="1"/>
  <c r="A932" i="5" s="1"/>
  <c r="C931" i="5"/>
  <c r="B931" i="5"/>
  <c r="D931" i="5"/>
  <c r="F714" i="5"/>
  <c r="F714" i="4"/>
  <c r="E714" i="4"/>
  <c r="D714" i="4"/>
  <c r="C714" i="4"/>
  <c r="H714" i="4"/>
  <c r="G714" i="4"/>
  <c r="A715" i="4" s="1"/>
  <c r="B714" i="4"/>
  <c r="F715" i="5" l="1"/>
  <c r="D715" i="4"/>
  <c r="B715" i="4"/>
  <c r="F715" i="4"/>
  <c r="E715" i="4"/>
  <c r="H715" i="4"/>
  <c r="G715" i="4"/>
  <c r="A716" i="4" s="1"/>
  <c r="C715" i="4"/>
  <c r="B932" i="5"/>
  <c r="E932" i="5"/>
  <c r="A933" i="5" s="1"/>
  <c r="D932" i="5"/>
  <c r="C932" i="5"/>
  <c r="F716" i="5" l="1"/>
  <c r="G716" i="4"/>
  <c r="A717" i="4" s="1"/>
  <c r="F716" i="4"/>
  <c r="E716" i="4"/>
  <c r="D716" i="4"/>
  <c r="C716" i="4"/>
  <c r="B716" i="4"/>
  <c r="H716" i="4"/>
  <c r="C933" i="5"/>
  <c r="B933" i="5"/>
  <c r="D933" i="5"/>
  <c r="E933" i="5"/>
  <c r="A934" i="5" s="1"/>
  <c r="D934" i="5" l="1"/>
  <c r="C934" i="5"/>
  <c r="B934" i="5"/>
  <c r="E934" i="5"/>
  <c r="A935" i="5" s="1"/>
  <c r="F717" i="4"/>
  <c r="E717" i="4"/>
  <c r="D717" i="4"/>
  <c r="G717" i="4"/>
  <c r="A718" i="4" s="1"/>
  <c r="B717" i="4"/>
  <c r="C717" i="4"/>
  <c r="F717" i="5"/>
  <c r="H717" i="4"/>
  <c r="F718" i="5" l="1"/>
  <c r="G718" i="4"/>
  <c r="A719" i="4" s="1"/>
  <c r="E718" i="4"/>
  <c r="F718" i="4"/>
  <c r="C718" i="4"/>
  <c r="B718" i="4"/>
  <c r="H718" i="4"/>
  <c r="D718" i="4"/>
  <c r="E935" i="5"/>
  <c r="A936" i="5" s="1"/>
  <c r="D935" i="5"/>
  <c r="C935" i="5"/>
  <c r="B935" i="5"/>
  <c r="D936" i="5" l="1"/>
  <c r="C936" i="5"/>
  <c r="E936" i="5"/>
  <c r="A937" i="5" s="1"/>
  <c r="B936" i="5"/>
  <c r="F719" i="5"/>
  <c r="H719" i="4"/>
  <c r="G719" i="4"/>
  <c r="A720" i="4" s="1"/>
  <c r="F719" i="4"/>
  <c r="E719" i="4"/>
  <c r="D719" i="4"/>
  <c r="C719" i="4"/>
  <c r="B719" i="4"/>
  <c r="F720" i="5" l="1"/>
  <c r="F720" i="4"/>
  <c r="E720" i="4"/>
  <c r="D720" i="4"/>
  <c r="H720" i="4"/>
  <c r="G720" i="4"/>
  <c r="A721" i="4" s="1"/>
  <c r="C720" i="4"/>
  <c r="B720" i="4"/>
  <c r="E937" i="5"/>
  <c r="A938" i="5" s="1"/>
  <c r="D937" i="5"/>
  <c r="C937" i="5"/>
  <c r="B937" i="5"/>
  <c r="B938" i="5" l="1"/>
  <c r="E938" i="5"/>
  <c r="A939" i="5" s="1"/>
  <c r="C938" i="5"/>
  <c r="D938" i="5"/>
  <c r="F721" i="5"/>
  <c r="H721" i="4"/>
  <c r="D721" i="4"/>
  <c r="F721" i="4"/>
  <c r="C721" i="4"/>
  <c r="B721" i="4"/>
  <c r="G721" i="4"/>
  <c r="A722" i="4" s="1"/>
  <c r="E721" i="4"/>
  <c r="F722" i="5" l="1"/>
  <c r="B722" i="4"/>
  <c r="C722" i="4"/>
  <c r="H722" i="4"/>
  <c r="G722" i="4"/>
  <c r="A723" i="4" s="1"/>
  <c r="E722" i="4"/>
  <c r="D722" i="4"/>
  <c r="F722" i="4"/>
  <c r="E939" i="5"/>
  <c r="A940" i="5" s="1"/>
  <c r="D939" i="5"/>
  <c r="C939" i="5"/>
  <c r="B939" i="5"/>
  <c r="E940" i="5" l="1"/>
  <c r="A941" i="5" s="1"/>
  <c r="D940" i="5"/>
  <c r="C940" i="5"/>
  <c r="B940" i="5"/>
  <c r="F723" i="5"/>
  <c r="F723" i="4"/>
  <c r="E723" i="4"/>
  <c r="D723" i="4"/>
  <c r="H723" i="4"/>
  <c r="G723" i="4"/>
  <c r="A724" i="4" s="1"/>
  <c r="C723" i="4"/>
  <c r="B723" i="4"/>
  <c r="F724" i="5" l="1"/>
  <c r="G724" i="4"/>
  <c r="A725" i="4" s="1"/>
  <c r="H724" i="4"/>
  <c r="D724" i="4"/>
  <c r="C724" i="4"/>
  <c r="B724" i="4"/>
  <c r="F724" i="4"/>
  <c r="E724" i="4"/>
  <c r="E941" i="5"/>
  <c r="A942" i="5" s="1"/>
  <c r="C941" i="5"/>
  <c r="B941" i="5"/>
  <c r="D941" i="5"/>
  <c r="E942" i="5" l="1"/>
  <c r="A943" i="5" s="1"/>
  <c r="D942" i="5"/>
  <c r="C942" i="5"/>
  <c r="B942" i="5"/>
  <c r="F725" i="5"/>
  <c r="E725" i="4"/>
  <c r="C725" i="4"/>
  <c r="F725" i="4"/>
  <c r="B725" i="4"/>
  <c r="H725" i="4"/>
  <c r="G725" i="4"/>
  <c r="A726" i="4" s="1"/>
  <c r="D725" i="4"/>
  <c r="F726" i="5" l="1"/>
  <c r="F726" i="4"/>
  <c r="E726" i="4"/>
  <c r="D726" i="4"/>
  <c r="G726" i="4"/>
  <c r="A727" i="4" s="1"/>
  <c r="H726" i="4"/>
  <c r="C726" i="4"/>
  <c r="B726" i="4"/>
  <c r="E943" i="5"/>
  <c r="A944" i="5" s="1"/>
  <c r="D943" i="5"/>
  <c r="C943" i="5"/>
  <c r="B943" i="5"/>
  <c r="E944" i="5" l="1"/>
  <c r="A945" i="5" s="1"/>
  <c r="D944" i="5"/>
  <c r="C944" i="5"/>
  <c r="B944" i="5"/>
  <c r="F727" i="5"/>
  <c r="H727" i="4"/>
  <c r="G727" i="4"/>
  <c r="A728" i="4" s="1"/>
  <c r="F727" i="4"/>
  <c r="E727" i="4"/>
  <c r="C727" i="4"/>
  <c r="D727" i="4"/>
  <c r="B727" i="4"/>
  <c r="F728" i="5" l="1"/>
  <c r="H728" i="4"/>
  <c r="F728" i="4"/>
  <c r="B728" i="4"/>
  <c r="E728" i="4"/>
  <c r="D728" i="4"/>
  <c r="G728" i="4"/>
  <c r="A729" i="4" s="1"/>
  <c r="C728" i="4"/>
  <c r="D945" i="5"/>
  <c r="E945" i="5"/>
  <c r="A946" i="5" s="1"/>
  <c r="C945" i="5"/>
  <c r="B945" i="5"/>
  <c r="C946" i="5" l="1"/>
  <c r="B946" i="5"/>
  <c r="D946" i="5"/>
  <c r="E946" i="5"/>
  <c r="A947" i="5" s="1"/>
  <c r="F729" i="5"/>
  <c r="F729" i="4"/>
  <c r="E729" i="4"/>
  <c r="D729" i="4"/>
  <c r="G729" i="4"/>
  <c r="A730" i="4" s="1"/>
  <c r="B729" i="4"/>
  <c r="H729" i="4"/>
  <c r="C729" i="4"/>
  <c r="F730" i="5" l="1"/>
  <c r="H730" i="4"/>
  <c r="G730" i="4"/>
  <c r="A731" i="4" s="1"/>
  <c r="F730" i="4"/>
  <c r="E730" i="4"/>
  <c r="D730" i="4"/>
  <c r="C730" i="4"/>
  <c r="B730" i="4"/>
  <c r="E947" i="5"/>
  <c r="A948" i="5" s="1"/>
  <c r="D947" i="5"/>
  <c r="C947" i="5"/>
  <c r="B947" i="5"/>
  <c r="E948" i="5" l="1"/>
  <c r="A949" i="5" s="1"/>
  <c r="D948" i="5"/>
  <c r="C948" i="5"/>
  <c r="B948" i="5"/>
  <c r="F731" i="5"/>
  <c r="E731" i="4"/>
  <c r="B731" i="4"/>
  <c r="F731" i="4"/>
  <c r="H731" i="4"/>
  <c r="G731" i="4"/>
  <c r="A732" i="4" s="1"/>
  <c r="D731" i="4"/>
  <c r="C731" i="4"/>
  <c r="F732" i="5" l="1"/>
  <c r="F732" i="4"/>
  <c r="E732" i="4"/>
  <c r="D732" i="4"/>
  <c r="C732" i="4"/>
  <c r="H732" i="4"/>
  <c r="G732" i="4"/>
  <c r="A733" i="4" s="1"/>
  <c r="B732" i="4"/>
  <c r="E949" i="5"/>
  <c r="A950" i="5" s="1"/>
  <c r="D949" i="5"/>
  <c r="C949" i="5"/>
  <c r="B949" i="5"/>
  <c r="E950" i="5" l="1"/>
  <c r="A951" i="5" s="1"/>
  <c r="D950" i="5"/>
  <c r="C950" i="5"/>
  <c r="B950" i="5"/>
  <c r="F733" i="5"/>
  <c r="E733" i="4"/>
  <c r="C733" i="4"/>
  <c r="B733" i="4"/>
  <c r="H733" i="4"/>
  <c r="G733" i="4"/>
  <c r="A734" i="4" s="1"/>
  <c r="F733" i="4"/>
  <c r="D733" i="4"/>
  <c r="E951" i="5" l="1"/>
  <c r="A952" i="5" s="1"/>
  <c r="C951" i="5"/>
  <c r="B951" i="5"/>
  <c r="D951" i="5"/>
  <c r="F734" i="5"/>
  <c r="H734" i="4"/>
  <c r="G734" i="4"/>
  <c r="A735" i="4" s="1"/>
  <c r="F734" i="4"/>
  <c r="E734" i="4"/>
  <c r="C734" i="4"/>
  <c r="B734" i="4"/>
  <c r="D734" i="4"/>
  <c r="F735" i="5" l="1"/>
  <c r="F735" i="4"/>
  <c r="E735" i="4"/>
  <c r="D735" i="4"/>
  <c r="G735" i="4"/>
  <c r="A736" i="4" s="1"/>
  <c r="B735" i="4"/>
  <c r="H735" i="4"/>
  <c r="C735" i="4"/>
  <c r="D952" i="5"/>
  <c r="E952" i="5"/>
  <c r="A953" i="5" s="1"/>
  <c r="C952" i="5"/>
  <c r="B952" i="5"/>
  <c r="E953" i="5" l="1"/>
  <c r="A954" i="5" s="1"/>
  <c r="D953" i="5"/>
  <c r="C953" i="5"/>
  <c r="B953" i="5"/>
  <c r="F736" i="5"/>
  <c r="H736" i="4"/>
  <c r="B736" i="4"/>
  <c r="D736" i="4"/>
  <c r="C736" i="4"/>
  <c r="G736" i="4"/>
  <c r="A737" i="4" s="1"/>
  <c r="F736" i="4"/>
  <c r="E736" i="4"/>
  <c r="F737" i="5" l="1"/>
  <c r="C737" i="4"/>
  <c r="D737" i="4"/>
  <c r="H737" i="4"/>
  <c r="G737" i="4"/>
  <c r="A738" i="4" s="1"/>
  <c r="E737" i="4"/>
  <c r="F737" i="4"/>
  <c r="B737" i="4"/>
  <c r="B954" i="5"/>
  <c r="C954" i="5"/>
  <c r="E954" i="5"/>
  <c r="A955" i="5" s="1"/>
  <c r="D954" i="5"/>
  <c r="F738" i="4" l="1"/>
  <c r="E738" i="4"/>
  <c r="F738" i="5"/>
  <c r="D738" i="4"/>
  <c r="C738" i="4"/>
  <c r="B738" i="4"/>
  <c r="G738" i="4"/>
  <c r="A739" i="4" s="1"/>
  <c r="H738" i="4"/>
  <c r="E955" i="5"/>
  <c r="A956" i="5" s="1"/>
  <c r="D955" i="5"/>
  <c r="C955" i="5"/>
  <c r="B955" i="5"/>
  <c r="F739" i="5" l="1"/>
  <c r="D739" i="4"/>
  <c r="B739" i="4"/>
  <c r="H739" i="4"/>
  <c r="G739" i="4"/>
  <c r="A740" i="4" s="1"/>
  <c r="F739" i="4"/>
  <c r="E739" i="4"/>
  <c r="C739" i="4"/>
  <c r="D956" i="5"/>
  <c r="C956" i="5"/>
  <c r="B956" i="5"/>
  <c r="E956" i="5"/>
  <c r="A957" i="5" s="1"/>
  <c r="B957" i="5" l="1"/>
  <c r="E957" i="5"/>
  <c r="A958" i="5" s="1"/>
  <c r="D957" i="5"/>
  <c r="C957" i="5"/>
  <c r="F740" i="5"/>
  <c r="G740" i="4"/>
  <c r="A741" i="4" s="1"/>
  <c r="F740" i="4"/>
  <c r="D740" i="4"/>
  <c r="H740" i="4"/>
  <c r="E740" i="4"/>
  <c r="C740" i="4"/>
  <c r="B740" i="4"/>
  <c r="F741" i="5" l="1"/>
  <c r="F741" i="4"/>
  <c r="E741" i="4"/>
  <c r="D741" i="4"/>
  <c r="H741" i="4"/>
  <c r="G741" i="4"/>
  <c r="A742" i="4" s="1"/>
  <c r="C741" i="4"/>
  <c r="B741" i="4"/>
  <c r="E958" i="5"/>
  <c r="A959" i="5" s="1"/>
  <c r="B958" i="5"/>
  <c r="D958" i="5"/>
  <c r="C958" i="5"/>
  <c r="E959" i="5" l="1"/>
  <c r="A960" i="5" s="1"/>
  <c r="C959" i="5"/>
  <c r="B959" i="5"/>
  <c r="D959" i="5"/>
  <c r="F742" i="5"/>
  <c r="G742" i="4"/>
  <c r="A743" i="4" s="1"/>
  <c r="E742" i="4"/>
  <c r="H742" i="4"/>
  <c r="F742" i="4"/>
  <c r="C742" i="4"/>
  <c r="B742" i="4"/>
  <c r="D742" i="4"/>
  <c r="F743" i="5" l="1"/>
  <c r="F743" i="4"/>
  <c r="G743" i="4"/>
  <c r="A744" i="4" s="1"/>
  <c r="E743" i="4"/>
  <c r="D743" i="4"/>
  <c r="C743" i="4"/>
  <c r="H743" i="4"/>
  <c r="B743" i="4"/>
  <c r="E960" i="5"/>
  <c r="A961" i="5" s="1"/>
  <c r="C960" i="5"/>
  <c r="B960" i="5"/>
  <c r="D960" i="5"/>
  <c r="E961" i="5" l="1"/>
  <c r="A962" i="5" s="1"/>
  <c r="C961" i="5"/>
  <c r="B961" i="5"/>
  <c r="D961" i="5"/>
  <c r="F744" i="4"/>
  <c r="E744" i="4"/>
  <c r="D744" i="4"/>
  <c r="H744" i="4"/>
  <c r="G744" i="4"/>
  <c r="A745" i="4" s="1"/>
  <c r="B744" i="4"/>
  <c r="F744" i="5"/>
  <c r="C744" i="4"/>
  <c r="F745" i="5" l="1"/>
  <c r="H745" i="4"/>
  <c r="D745" i="4"/>
  <c r="B745" i="4"/>
  <c r="C745" i="4"/>
  <c r="G745" i="4"/>
  <c r="A746" i="4" s="1"/>
  <c r="F745" i="4"/>
  <c r="E745" i="4"/>
  <c r="E962" i="5"/>
  <c r="A963" i="5" s="1"/>
  <c r="D962" i="5"/>
  <c r="C962" i="5"/>
  <c r="B962" i="5"/>
  <c r="B746" i="4" l="1"/>
  <c r="F746" i="5"/>
  <c r="D746" i="4"/>
  <c r="C746" i="4"/>
  <c r="H746" i="4"/>
  <c r="F746" i="4"/>
  <c r="E746" i="4"/>
  <c r="G746" i="4"/>
  <c r="A747" i="4" s="1"/>
  <c r="E963" i="5"/>
  <c r="A964" i="5" s="1"/>
  <c r="D963" i="5"/>
  <c r="C963" i="5"/>
  <c r="B963" i="5"/>
  <c r="E964" i="5" l="1"/>
  <c r="A965" i="5" s="1"/>
  <c r="C964" i="5"/>
  <c r="B964" i="5"/>
  <c r="D964" i="5"/>
  <c r="F747" i="5"/>
  <c r="F747" i="4"/>
  <c r="E747" i="4"/>
  <c r="D747" i="4"/>
  <c r="H747" i="4"/>
  <c r="G747" i="4"/>
  <c r="A748" i="4" s="1"/>
  <c r="C747" i="4"/>
  <c r="B747" i="4"/>
  <c r="D965" i="5" l="1"/>
  <c r="E965" i="5"/>
  <c r="A966" i="5" s="1"/>
  <c r="C965" i="5"/>
  <c r="B965" i="5"/>
  <c r="F748" i="5"/>
  <c r="G748" i="4"/>
  <c r="A749" i="4" s="1"/>
  <c r="F748" i="4"/>
  <c r="E748" i="4"/>
  <c r="H748" i="4"/>
  <c r="B748" i="4"/>
  <c r="D748" i="4"/>
  <c r="C748" i="4"/>
  <c r="D966" i="5" l="1"/>
  <c r="E966" i="5"/>
  <c r="A967" i="5" s="1"/>
  <c r="B966" i="5"/>
  <c r="C966" i="5"/>
  <c r="F749" i="5"/>
  <c r="E749" i="4"/>
  <c r="C749" i="4"/>
  <c r="G749" i="4"/>
  <c r="A750" i="4" s="1"/>
  <c r="B749" i="4"/>
  <c r="H749" i="4"/>
  <c r="D749" i="4"/>
  <c r="F749" i="4"/>
  <c r="F750" i="5" l="1"/>
  <c r="F750" i="4"/>
  <c r="E750" i="4"/>
  <c r="D750" i="4"/>
  <c r="H750" i="4"/>
  <c r="G750" i="4"/>
  <c r="A751" i="4" s="1"/>
  <c r="C750" i="4"/>
  <c r="B750" i="4"/>
  <c r="E967" i="5"/>
  <c r="A968" i="5" s="1"/>
  <c r="C967" i="5"/>
  <c r="B967" i="5"/>
  <c r="D967" i="5"/>
  <c r="C968" i="5" l="1"/>
  <c r="B968" i="5"/>
  <c r="E968" i="5"/>
  <c r="A969" i="5" s="1"/>
  <c r="D968" i="5"/>
  <c r="F751" i="5"/>
  <c r="D751" i="4"/>
  <c r="C751" i="4"/>
  <c r="B751" i="4"/>
  <c r="G751" i="4"/>
  <c r="A752" i="4" s="1"/>
  <c r="F751" i="4"/>
  <c r="E751" i="4"/>
  <c r="H751" i="4"/>
  <c r="F752" i="5" l="1"/>
  <c r="H752" i="4"/>
  <c r="F752" i="4"/>
  <c r="B752" i="4"/>
  <c r="E752" i="4"/>
  <c r="D752" i="4"/>
  <c r="G752" i="4"/>
  <c r="A753" i="4" s="1"/>
  <c r="C752" i="4"/>
  <c r="E969" i="5"/>
  <c r="A970" i="5" s="1"/>
  <c r="D969" i="5"/>
  <c r="C969" i="5"/>
  <c r="B969" i="5"/>
  <c r="F753" i="5" l="1"/>
  <c r="F753" i="4"/>
  <c r="E753" i="4"/>
  <c r="D753" i="4"/>
  <c r="H753" i="4"/>
  <c r="G753" i="4"/>
  <c r="A754" i="4" s="1"/>
  <c r="B753" i="4"/>
  <c r="C753" i="4"/>
  <c r="C970" i="5"/>
  <c r="E970" i="5"/>
  <c r="A971" i="5" s="1"/>
  <c r="D970" i="5"/>
  <c r="B970" i="5"/>
  <c r="E971" i="5" l="1"/>
  <c r="A972" i="5" s="1"/>
  <c r="B971" i="5"/>
  <c r="D971" i="5"/>
  <c r="C971" i="5"/>
  <c r="F754" i="5"/>
  <c r="C754" i="4"/>
  <c r="H754" i="4"/>
  <c r="E754" i="4"/>
  <c r="D754" i="4"/>
  <c r="B754" i="4"/>
  <c r="F754" i="4"/>
  <c r="G754" i="4"/>
  <c r="A755" i="4" s="1"/>
  <c r="F755" i="5" l="1"/>
  <c r="E755" i="4"/>
  <c r="H755" i="4"/>
  <c r="G755" i="4"/>
  <c r="A756" i="4" s="1"/>
  <c r="F755" i="4"/>
  <c r="D755" i="4"/>
  <c r="C755" i="4"/>
  <c r="B755" i="4"/>
  <c r="E972" i="5"/>
  <c r="A973" i="5" s="1"/>
  <c r="D972" i="5"/>
  <c r="C972" i="5"/>
  <c r="B972" i="5"/>
  <c r="D973" i="5" l="1"/>
  <c r="C973" i="5"/>
  <c r="B973" i="5"/>
  <c r="E973" i="5"/>
  <c r="A974" i="5" s="1"/>
  <c r="F756" i="5"/>
  <c r="F756" i="4"/>
  <c r="E756" i="4"/>
  <c r="D756" i="4"/>
  <c r="C756" i="4"/>
  <c r="H756" i="4"/>
  <c r="G756" i="4"/>
  <c r="A757" i="4" s="1"/>
  <c r="B756" i="4"/>
  <c r="F757" i="5" l="1"/>
  <c r="B757" i="4"/>
  <c r="H757" i="4"/>
  <c r="E757" i="4"/>
  <c r="F757" i="4"/>
  <c r="D757" i="4"/>
  <c r="C757" i="4"/>
  <c r="G757" i="4"/>
  <c r="A758" i="4" s="1"/>
  <c r="E974" i="5"/>
  <c r="A975" i="5" s="1"/>
  <c r="D974" i="5"/>
  <c r="C974" i="5"/>
  <c r="B974" i="5"/>
  <c r="E975" i="5" l="1"/>
  <c r="A976" i="5" s="1"/>
  <c r="B975" i="5"/>
  <c r="D975" i="5"/>
  <c r="C975" i="5"/>
  <c r="F758" i="5"/>
  <c r="H758" i="4"/>
  <c r="D758" i="4"/>
  <c r="C758" i="4"/>
  <c r="B758" i="4"/>
  <c r="F758" i="4"/>
  <c r="E758" i="4"/>
  <c r="G758" i="4"/>
  <c r="A759" i="4" s="1"/>
  <c r="F759" i="5" l="1"/>
  <c r="F759" i="4"/>
  <c r="E759" i="4"/>
  <c r="D759" i="4"/>
  <c r="G759" i="4"/>
  <c r="A760" i="4" s="1"/>
  <c r="H759" i="4"/>
  <c r="C759" i="4"/>
  <c r="B759" i="4"/>
  <c r="B976" i="5"/>
  <c r="E976" i="5"/>
  <c r="A977" i="5" s="1"/>
  <c r="C976" i="5"/>
  <c r="D976" i="5"/>
  <c r="E977" i="5" l="1"/>
  <c r="A978" i="5" s="1"/>
  <c r="D977" i="5"/>
  <c r="C977" i="5"/>
  <c r="B977" i="5"/>
  <c r="F760" i="5"/>
  <c r="H760" i="4"/>
  <c r="F760" i="4"/>
  <c r="E760" i="4"/>
  <c r="C760" i="4"/>
  <c r="G760" i="4"/>
  <c r="A761" i="4" s="1"/>
  <c r="D760" i="4"/>
  <c r="B760" i="4"/>
  <c r="C978" i="5" l="1"/>
  <c r="B978" i="5"/>
  <c r="D978" i="5"/>
  <c r="E978" i="5"/>
  <c r="A979" i="5" s="1"/>
  <c r="F761" i="5"/>
  <c r="F761" i="4"/>
  <c r="H761" i="4"/>
  <c r="G761" i="4"/>
  <c r="A762" i="4" s="1"/>
  <c r="E761" i="4"/>
  <c r="D761" i="4"/>
  <c r="C761" i="4"/>
  <c r="B761" i="4"/>
  <c r="F762" i="4" l="1"/>
  <c r="E762" i="4"/>
  <c r="D762" i="4"/>
  <c r="F762" i="5"/>
  <c r="C762" i="4"/>
  <c r="B762" i="4"/>
  <c r="H762" i="4"/>
  <c r="G762" i="4"/>
  <c r="A763" i="4" s="1"/>
  <c r="E979" i="5"/>
  <c r="A980" i="5" s="1"/>
  <c r="B979" i="5"/>
  <c r="D979" i="5"/>
  <c r="C979" i="5"/>
  <c r="C980" i="5" l="1"/>
  <c r="B980" i="5"/>
  <c r="E980" i="5"/>
  <c r="A981" i="5" s="1"/>
  <c r="D980" i="5"/>
  <c r="F763" i="5"/>
  <c r="D763" i="4"/>
  <c r="B763" i="4"/>
  <c r="H763" i="4"/>
  <c r="G763" i="4"/>
  <c r="A764" i="4" s="1"/>
  <c r="E763" i="4"/>
  <c r="C763" i="4"/>
  <c r="F763" i="4"/>
  <c r="C981" i="5" l="1"/>
  <c r="B981" i="5"/>
  <c r="D981" i="5"/>
  <c r="E981" i="5"/>
  <c r="A982" i="5" s="1"/>
  <c r="F764" i="5"/>
  <c r="F764" i="4"/>
  <c r="D764" i="4"/>
  <c r="C764" i="4"/>
  <c r="H764" i="4"/>
  <c r="E764" i="4"/>
  <c r="B764" i="4"/>
  <c r="G764" i="4"/>
  <c r="A765" i="4" s="1"/>
  <c r="E982" i="5" l="1"/>
  <c r="A983" i="5" s="1"/>
  <c r="D982" i="5"/>
  <c r="C982" i="5"/>
  <c r="B982" i="5"/>
  <c r="F765" i="5"/>
  <c r="F765" i="4"/>
  <c r="E765" i="4"/>
  <c r="D765" i="4"/>
  <c r="G765" i="4"/>
  <c r="A766" i="4" s="1"/>
  <c r="C765" i="4"/>
  <c r="B765" i="4"/>
  <c r="H765" i="4"/>
  <c r="F766" i="5" l="1"/>
  <c r="G766" i="4"/>
  <c r="A767" i="4" s="1"/>
  <c r="E766" i="4"/>
  <c r="H766" i="4"/>
  <c r="C766" i="4"/>
  <c r="F766" i="4"/>
  <c r="D766" i="4"/>
  <c r="B766" i="4"/>
  <c r="E983" i="5"/>
  <c r="A984" i="5" s="1"/>
  <c r="D983" i="5"/>
  <c r="C983" i="5"/>
  <c r="B983" i="5"/>
  <c r="B984" i="5" l="1"/>
  <c r="C984" i="5"/>
  <c r="D984" i="5"/>
  <c r="E984" i="5"/>
  <c r="A985" i="5" s="1"/>
  <c r="F767" i="5"/>
  <c r="D767" i="4"/>
  <c r="F767" i="4"/>
  <c r="E767" i="4"/>
  <c r="C767" i="4"/>
  <c r="B767" i="4"/>
  <c r="H767" i="4"/>
  <c r="G767" i="4"/>
  <c r="A768" i="4" s="1"/>
  <c r="F768" i="5" l="1"/>
  <c r="F768" i="4"/>
  <c r="E768" i="4"/>
  <c r="D768" i="4"/>
  <c r="G768" i="4"/>
  <c r="A769" i="4" s="1"/>
  <c r="B768" i="4"/>
  <c r="C768" i="4"/>
  <c r="H768" i="4"/>
  <c r="E985" i="5"/>
  <c r="A986" i="5" s="1"/>
  <c r="D985" i="5"/>
  <c r="B985" i="5"/>
  <c r="C985" i="5"/>
  <c r="E986" i="5" l="1"/>
  <c r="A987" i="5" s="1"/>
  <c r="C986" i="5"/>
  <c r="B986" i="5"/>
  <c r="D986" i="5"/>
  <c r="H769" i="4"/>
  <c r="D769" i="4"/>
  <c r="F769" i="5"/>
  <c r="G769" i="4"/>
  <c r="A770" i="4" s="1"/>
  <c r="F769" i="4"/>
  <c r="E769" i="4"/>
  <c r="C769" i="4"/>
  <c r="B769" i="4"/>
  <c r="F770" i="5" l="1"/>
  <c r="B770" i="4"/>
  <c r="F770" i="4"/>
  <c r="H770" i="4"/>
  <c r="G770" i="4"/>
  <c r="A771" i="4" s="1"/>
  <c r="E770" i="4"/>
  <c r="D770" i="4"/>
  <c r="C770" i="4"/>
  <c r="E987" i="5"/>
  <c r="A988" i="5" s="1"/>
  <c r="B987" i="5"/>
  <c r="D987" i="5"/>
  <c r="C987" i="5"/>
  <c r="E988" i="5" l="1"/>
  <c r="A989" i="5" s="1"/>
  <c r="C988" i="5"/>
  <c r="B988" i="5"/>
  <c r="D988" i="5"/>
  <c r="F771" i="5"/>
  <c r="F771" i="4"/>
  <c r="E771" i="4"/>
  <c r="D771" i="4"/>
  <c r="H771" i="4"/>
  <c r="B771" i="4"/>
  <c r="G771" i="4"/>
  <c r="A772" i="4" s="1"/>
  <c r="C771" i="4"/>
  <c r="F772" i="5" l="1"/>
  <c r="G772" i="4"/>
  <c r="A773" i="4" s="1"/>
  <c r="E772" i="4"/>
  <c r="C772" i="4"/>
  <c r="B772" i="4"/>
  <c r="H772" i="4"/>
  <c r="F772" i="4"/>
  <c r="D772" i="4"/>
  <c r="E989" i="5"/>
  <c r="A990" i="5" s="1"/>
  <c r="D989" i="5"/>
  <c r="C989" i="5"/>
  <c r="B989" i="5"/>
  <c r="D990" i="5" l="1"/>
  <c r="C990" i="5"/>
  <c r="E990" i="5"/>
  <c r="A991" i="5" s="1"/>
  <c r="B990" i="5"/>
  <c r="F773" i="5"/>
  <c r="E773" i="4"/>
  <c r="C773" i="4"/>
  <c r="B773" i="4"/>
  <c r="G773" i="4"/>
  <c r="A774" i="4" s="1"/>
  <c r="F773" i="4"/>
  <c r="D773" i="4"/>
  <c r="H773" i="4"/>
  <c r="F774" i="4" l="1"/>
  <c r="E774" i="4"/>
  <c r="D774" i="4"/>
  <c r="F774" i="5"/>
  <c r="H774" i="4"/>
  <c r="G774" i="4"/>
  <c r="A775" i="4" s="1"/>
  <c r="C774" i="4"/>
  <c r="B774" i="4"/>
  <c r="E991" i="5"/>
  <c r="A992" i="5" s="1"/>
  <c r="D991" i="5"/>
  <c r="B991" i="5"/>
  <c r="C991" i="5"/>
  <c r="F775" i="5" l="1"/>
  <c r="H775" i="4"/>
  <c r="F775" i="4"/>
  <c r="E775" i="4"/>
  <c r="B775" i="4"/>
  <c r="G775" i="4"/>
  <c r="A776" i="4" s="1"/>
  <c r="D775" i="4"/>
  <c r="C775" i="4"/>
  <c r="D992" i="5"/>
  <c r="C992" i="5"/>
  <c r="B992" i="5"/>
  <c r="E992" i="5"/>
  <c r="A993" i="5" s="1"/>
  <c r="E993" i="5" l="1"/>
  <c r="A994" i="5" s="1"/>
  <c r="B993" i="5"/>
  <c r="C993" i="5"/>
  <c r="D993" i="5"/>
  <c r="F776" i="5"/>
  <c r="H776" i="4"/>
  <c r="F776" i="4"/>
  <c r="B776" i="4"/>
  <c r="D776" i="4"/>
  <c r="E776" i="4"/>
  <c r="G776" i="4"/>
  <c r="A777" i="4" s="1"/>
  <c r="C776" i="4"/>
  <c r="F777" i="5" l="1"/>
  <c r="F777" i="4"/>
  <c r="E777" i="4"/>
  <c r="D777" i="4"/>
  <c r="H777" i="4"/>
  <c r="G777" i="4"/>
  <c r="A778" i="4" s="1"/>
  <c r="C777" i="4"/>
  <c r="B777" i="4"/>
  <c r="C994" i="5"/>
  <c r="B994" i="5"/>
  <c r="E994" i="5"/>
  <c r="A995" i="5" s="1"/>
  <c r="D994" i="5"/>
  <c r="E995" i="5" l="1"/>
  <c r="A996" i="5" s="1"/>
  <c r="B995" i="5"/>
  <c r="C995" i="5"/>
  <c r="D995" i="5"/>
  <c r="F778" i="5"/>
  <c r="D778" i="4"/>
  <c r="C778" i="4"/>
  <c r="B778" i="4"/>
  <c r="H778" i="4"/>
  <c r="G778" i="4"/>
  <c r="A779" i="4" s="1"/>
  <c r="F778" i="4"/>
  <c r="E778" i="4"/>
  <c r="F779" i="5" l="1"/>
  <c r="E779" i="4"/>
  <c r="H779" i="4"/>
  <c r="G779" i="4"/>
  <c r="A780" i="4" s="1"/>
  <c r="C779" i="4"/>
  <c r="D779" i="4"/>
  <c r="B779" i="4"/>
  <c r="F779" i="4"/>
  <c r="E996" i="5"/>
  <c r="A997" i="5" s="1"/>
  <c r="C996" i="5"/>
  <c r="B996" i="5"/>
  <c r="D996" i="5"/>
  <c r="C997" i="5" l="1"/>
  <c r="B997" i="5"/>
  <c r="D997" i="5"/>
  <c r="E997" i="5"/>
  <c r="A998" i="5" s="1"/>
  <c r="F780" i="4"/>
  <c r="E780" i="4"/>
  <c r="D780" i="4"/>
  <c r="C780" i="4"/>
  <c r="G780" i="4"/>
  <c r="A781" i="4" s="1"/>
  <c r="H780" i="4"/>
  <c r="B780" i="4"/>
  <c r="F780" i="5"/>
  <c r="F781" i="5" l="1"/>
  <c r="C781" i="4"/>
  <c r="B781" i="4"/>
  <c r="E781" i="4"/>
  <c r="D781" i="4"/>
  <c r="G781" i="4"/>
  <c r="A782" i="4" s="1"/>
  <c r="F781" i="4"/>
  <c r="H781" i="4"/>
  <c r="E998" i="5"/>
  <c r="A999" i="5" s="1"/>
  <c r="D998" i="5"/>
  <c r="C998" i="5"/>
  <c r="B998" i="5"/>
  <c r="E999" i="5" l="1"/>
  <c r="A1000" i="5" s="1"/>
  <c r="D999" i="5"/>
  <c r="C999" i="5"/>
  <c r="B999" i="5"/>
  <c r="F782" i="5"/>
  <c r="H782" i="4"/>
  <c r="G782" i="4"/>
  <c r="A783" i="4" s="1"/>
  <c r="F782" i="4"/>
  <c r="E782" i="4"/>
  <c r="D782" i="4"/>
  <c r="C782" i="4"/>
  <c r="B782" i="4"/>
  <c r="F783" i="5" l="1"/>
  <c r="F783" i="4"/>
  <c r="E783" i="4"/>
  <c r="D783" i="4"/>
  <c r="G783" i="4"/>
  <c r="A784" i="4" s="1"/>
  <c r="B783" i="4"/>
  <c r="H783" i="4"/>
  <c r="C783" i="4"/>
  <c r="B1000" i="5"/>
  <c r="D1000" i="5"/>
  <c r="E1000" i="5"/>
  <c r="A1001" i="5" s="1"/>
  <c r="C1000" i="5"/>
  <c r="D1001" i="5" l="1"/>
  <c r="B1001" i="5"/>
  <c r="E1001" i="5"/>
  <c r="A1002" i="5" s="1"/>
  <c r="C1001" i="5"/>
  <c r="F784" i="5"/>
  <c r="E784" i="4"/>
  <c r="C784" i="4"/>
  <c r="B784" i="4"/>
  <c r="H784" i="4"/>
  <c r="D784" i="4"/>
  <c r="G784" i="4"/>
  <c r="A785" i="4" s="1"/>
  <c r="F784" i="4"/>
  <c r="F785" i="5" l="1"/>
  <c r="D785" i="4"/>
  <c r="H785" i="4"/>
  <c r="G785" i="4"/>
  <c r="A786" i="4" s="1"/>
  <c r="F785" i="4"/>
  <c r="E785" i="4"/>
  <c r="B785" i="4"/>
  <c r="C785" i="4"/>
  <c r="B1002" i="5"/>
  <c r="E1002" i="5"/>
  <c r="A1003" i="5" s="1"/>
  <c r="D1002" i="5"/>
  <c r="C1002" i="5"/>
  <c r="E1003" i="5" l="1"/>
  <c r="A1004" i="5" s="1"/>
  <c r="D1003" i="5"/>
  <c r="C1003" i="5"/>
  <c r="B1003" i="5"/>
  <c r="F786" i="4"/>
  <c r="E786" i="4"/>
  <c r="D786" i="4"/>
  <c r="F786" i="5"/>
  <c r="C786" i="4"/>
  <c r="H786" i="4"/>
  <c r="G786" i="4"/>
  <c r="A787" i="4" s="1"/>
  <c r="B786" i="4"/>
  <c r="F787" i="5" l="1"/>
  <c r="D787" i="4"/>
  <c r="B787" i="4"/>
  <c r="H787" i="4"/>
  <c r="G787" i="4"/>
  <c r="A788" i="4" s="1"/>
  <c r="F787" i="4"/>
  <c r="E787" i="4"/>
  <c r="C787" i="4"/>
  <c r="E1004" i="5"/>
  <c r="A1005" i="5" s="1"/>
  <c r="C1004" i="5"/>
  <c r="D1004" i="5"/>
  <c r="B1004" i="5"/>
  <c r="C1005" i="5" l="1"/>
  <c r="D1005" i="5"/>
  <c r="B1005" i="5"/>
  <c r="E1005" i="5"/>
  <c r="A1006" i="5" s="1"/>
  <c r="F788" i="5"/>
  <c r="C788" i="4"/>
  <c r="F788" i="4"/>
  <c r="H788" i="4"/>
  <c r="G788" i="4"/>
  <c r="A789" i="4" s="1"/>
  <c r="E788" i="4"/>
  <c r="D788" i="4"/>
  <c r="B788" i="4"/>
  <c r="F789" i="5" l="1"/>
  <c r="F789" i="4"/>
  <c r="E789" i="4"/>
  <c r="D789" i="4"/>
  <c r="H789" i="4"/>
  <c r="B789" i="4"/>
  <c r="C789" i="4"/>
  <c r="G789" i="4"/>
  <c r="A790" i="4" s="1"/>
  <c r="C1006" i="5"/>
  <c r="E1006" i="5"/>
  <c r="A1007" i="5" s="1"/>
  <c r="D1006" i="5"/>
  <c r="B1006" i="5"/>
  <c r="E1007" i="5" l="1"/>
  <c r="A1008" i="5" s="1"/>
  <c r="C1007" i="5"/>
  <c r="B1007" i="5"/>
  <c r="D1007" i="5"/>
  <c r="F790" i="5"/>
  <c r="G790" i="4"/>
  <c r="A791" i="4" s="1"/>
  <c r="E790" i="4"/>
  <c r="F790" i="4"/>
  <c r="C790" i="4"/>
  <c r="B790" i="4"/>
  <c r="H790" i="4"/>
  <c r="D790" i="4"/>
  <c r="F791" i="5" l="1"/>
  <c r="G791" i="4"/>
  <c r="A792" i="4" s="1"/>
  <c r="F791" i="4"/>
  <c r="C791" i="4"/>
  <c r="H791" i="4"/>
  <c r="E791" i="4"/>
  <c r="D791" i="4"/>
  <c r="B791" i="4"/>
  <c r="C1008" i="5"/>
  <c r="B1008" i="5"/>
  <c r="E1008" i="5"/>
  <c r="A1009" i="5" s="1"/>
  <c r="D1008" i="5"/>
  <c r="D1009" i="5" l="1"/>
  <c r="B1009" i="5"/>
  <c r="E1009" i="5"/>
  <c r="A1010" i="5" s="1"/>
  <c r="C1009" i="5"/>
  <c r="F792" i="4"/>
  <c r="F792" i="5"/>
  <c r="E792" i="4"/>
  <c r="D792" i="4"/>
  <c r="H792" i="4"/>
  <c r="G792" i="4"/>
  <c r="A793" i="4" s="1"/>
  <c r="C792" i="4"/>
  <c r="B792" i="4"/>
  <c r="F793" i="5" l="1"/>
  <c r="H793" i="4"/>
  <c r="D793" i="4"/>
  <c r="G793" i="4"/>
  <c r="A794" i="4" s="1"/>
  <c r="F793" i="4"/>
  <c r="B793" i="4"/>
  <c r="E793" i="4"/>
  <c r="C793" i="4"/>
  <c r="E1010" i="5"/>
  <c r="A1011" i="5" s="1"/>
  <c r="B1010" i="5"/>
  <c r="D1010" i="5"/>
  <c r="C1010" i="5"/>
  <c r="E1011" i="5" l="1"/>
  <c r="A1012" i="5" s="1"/>
  <c r="D1011" i="5"/>
  <c r="B1011" i="5"/>
  <c r="C1011" i="5"/>
  <c r="F794" i="5"/>
  <c r="B794" i="4"/>
  <c r="D794" i="4"/>
  <c r="F794" i="4"/>
  <c r="E794" i="4"/>
  <c r="C794" i="4"/>
  <c r="H794" i="4"/>
  <c r="G794" i="4"/>
  <c r="A795" i="4" s="1"/>
  <c r="F795" i="5" l="1"/>
  <c r="F795" i="4"/>
  <c r="E795" i="4"/>
  <c r="D795" i="4"/>
  <c r="H795" i="4"/>
  <c r="G795" i="4"/>
  <c r="A796" i="4" s="1"/>
  <c r="B795" i="4"/>
  <c r="C795" i="4"/>
  <c r="E1012" i="5"/>
  <c r="A1013" i="5" s="1"/>
  <c r="D1012" i="5"/>
  <c r="B1012" i="5"/>
  <c r="C1012" i="5"/>
  <c r="E1013" i="5" l="1"/>
  <c r="A1014" i="5" s="1"/>
  <c r="D1013" i="5"/>
  <c r="C1013" i="5"/>
  <c r="B1013" i="5"/>
  <c r="G796" i="4"/>
  <c r="A797" i="4" s="1"/>
  <c r="B796" i="4"/>
  <c r="C796" i="4"/>
  <c r="H796" i="4"/>
  <c r="F796" i="4"/>
  <c r="E796" i="4"/>
  <c r="D796" i="4"/>
  <c r="F796" i="5"/>
  <c r="B1014" i="5" l="1"/>
  <c r="E1014" i="5"/>
  <c r="A1015" i="5" s="1"/>
  <c r="C1014" i="5"/>
  <c r="D1014" i="5"/>
  <c r="F797" i="5"/>
  <c r="E797" i="4"/>
  <c r="C797" i="4"/>
  <c r="F797" i="4"/>
  <c r="D797" i="4"/>
  <c r="B797" i="4"/>
  <c r="H797" i="4"/>
  <c r="G797" i="4"/>
  <c r="A798" i="4" s="1"/>
  <c r="E1015" i="5" l="1"/>
  <c r="A1016" i="5" s="1"/>
  <c r="D1015" i="5"/>
  <c r="C1015" i="5"/>
  <c r="B1015" i="5"/>
  <c r="F798" i="5"/>
  <c r="F798" i="4"/>
  <c r="E798" i="4"/>
  <c r="D798" i="4"/>
  <c r="H798" i="4"/>
  <c r="B798" i="4"/>
  <c r="G798" i="4"/>
  <c r="A799" i="4" s="1"/>
  <c r="C798" i="4"/>
  <c r="F799" i="5" l="1"/>
  <c r="H799" i="4"/>
  <c r="F799" i="4"/>
  <c r="E799" i="4"/>
  <c r="G799" i="4"/>
  <c r="A800" i="4" s="1"/>
  <c r="D799" i="4"/>
  <c r="C799" i="4"/>
  <c r="B799" i="4"/>
  <c r="C1016" i="5"/>
  <c r="B1016" i="5"/>
  <c r="E1016" i="5"/>
  <c r="A1017" i="5" s="1"/>
  <c r="D1016" i="5"/>
  <c r="C1017" i="5" l="1"/>
  <c r="B1017" i="5"/>
  <c r="E1017" i="5"/>
  <c r="A1018" i="5" s="1"/>
  <c r="D1017" i="5"/>
  <c r="F800" i="5"/>
  <c r="H800" i="4"/>
  <c r="F800" i="4"/>
  <c r="B800" i="4"/>
  <c r="E800" i="4"/>
  <c r="C800" i="4"/>
  <c r="G800" i="4"/>
  <c r="A801" i="4" s="1"/>
  <c r="D800" i="4"/>
  <c r="E1018" i="5" l="1"/>
  <c r="A1019" i="5" s="1"/>
  <c r="D1018" i="5"/>
  <c r="C1018" i="5"/>
  <c r="B1018" i="5"/>
  <c r="F801" i="4"/>
  <c r="E801" i="4"/>
  <c r="D801" i="4"/>
  <c r="H801" i="4"/>
  <c r="G801" i="4"/>
  <c r="A802" i="4" s="1"/>
  <c r="C801" i="4"/>
  <c r="F801" i="5"/>
  <c r="B801" i="4"/>
  <c r="F802" i="5" l="1"/>
  <c r="F802" i="4"/>
  <c r="E802" i="4"/>
  <c r="B802" i="4"/>
  <c r="H802" i="4"/>
  <c r="G802" i="4"/>
  <c r="A803" i="4" s="1"/>
  <c r="C802" i="4"/>
  <c r="D802" i="4"/>
  <c r="E1019" i="5"/>
  <c r="A1020" i="5" s="1"/>
  <c r="D1019" i="5"/>
  <c r="C1019" i="5"/>
  <c r="B1019" i="5"/>
  <c r="E1020" i="5" l="1"/>
  <c r="A1021" i="5" s="1"/>
  <c r="D1020" i="5"/>
  <c r="B1020" i="5"/>
  <c r="C1020" i="5"/>
  <c r="F803" i="5"/>
  <c r="E803" i="4"/>
  <c r="G803" i="4"/>
  <c r="A804" i="4" s="1"/>
  <c r="D803" i="4"/>
  <c r="C803" i="4"/>
  <c r="F803" i="4"/>
  <c r="H803" i="4"/>
  <c r="B803" i="4"/>
  <c r="F804" i="5" l="1"/>
  <c r="F804" i="4"/>
  <c r="E804" i="4"/>
  <c r="D804" i="4"/>
  <c r="C804" i="4"/>
  <c r="H804" i="4"/>
  <c r="G804" i="4"/>
  <c r="A805" i="4" s="1"/>
  <c r="B804" i="4"/>
  <c r="D1021" i="5"/>
  <c r="B1021" i="5"/>
  <c r="E1021" i="5"/>
  <c r="A1022" i="5" s="1"/>
  <c r="C1021" i="5"/>
  <c r="F805" i="5" l="1"/>
  <c r="G805" i="4"/>
  <c r="A806" i="4" s="1"/>
  <c r="D805" i="4"/>
  <c r="C805" i="4"/>
  <c r="B805" i="4"/>
  <c r="H805" i="4"/>
  <c r="F805" i="4"/>
  <c r="E805" i="4"/>
  <c r="D1022" i="5"/>
  <c r="C1022" i="5"/>
  <c r="B1022" i="5"/>
  <c r="E1022" i="5"/>
  <c r="A1023" i="5" s="1"/>
  <c r="E1023" i="5" l="1"/>
  <c r="A1024" i="5" s="1"/>
  <c r="D1023" i="5"/>
  <c r="B1023" i="5"/>
  <c r="C1023" i="5"/>
  <c r="F806" i="5"/>
  <c r="H806" i="4"/>
  <c r="G806" i="4"/>
  <c r="A807" i="4" s="1"/>
  <c r="D806" i="4"/>
  <c r="F806" i="4"/>
  <c r="E806" i="4"/>
  <c r="C806" i="4"/>
  <c r="B806" i="4"/>
  <c r="E1024" i="5" l="1"/>
  <c r="A1025" i="5" s="1"/>
  <c r="D1024" i="5"/>
  <c r="C1024" i="5"/>
  <c r="B1024" i="5"/>
  <c r="F807" i="5"/>
  <c r="F807" i="4"/>
  <c r="E807" i="4"/>
  <c r="D807" i="4"/>
  <c r="H807" i="4"/>
  <c r="G807" i="4"/>
  <c r="A808" i="4" s="1"/>
  <c r="C807" i="4"/>
  <c r="B807" i="4"/>
  <c r="F808" i="5" l="1"/>
  <c r="B808" i="4"/>
  <c r="C808" i="4"/>
  <c r="D808" i="4"/>
  <c r="H808" i="4"/>
  <c r="E808" i="4"/>
  <c r="G808" i="4"/>
  <c r="A809" i="4" s="1"/>
  <c r="F808" i="4"/>
  <c r="C1025" i="5"/>
  <c r="E1025" i="5"/>
  <c r="A1026" i="5" s="1"/>
  <c r="D1025" i="5"/>
  <c r="B1025" i="5"/>
  <c r="C1026" i="5" l="1"/>
  <c r="B1026" i="5"/>
  <c r="E1026" i="5"/>
  <c r="A1027" i="5" s="1"/>
  <c r="D1026" i="5"/>
  <c r="F809" i="5"/>
  <c r="B809" i="4"/>
  <c r="H809" i="4"/>
  <c r="G809" i="4"/>
  <c r="A810" i="4" s="1"/>
  <c r="F809" i="4"/>
  <c r="E809" i="4"/>
  <c r="D809" i="4"/>
  <c r="C809" i="4"/>
  <c r="E1027" i="5" l="1"/>
  <c r="A1028" i="5" s="1"/>
  <c r="D1027" i="5"/>
  <c r="C1027" i="5"/>
  <c r="B1027" i="5"/>
  <c r="F810" i="5"/>
  <c r="F810" i="4"/>
  <c r="E810" i="4"/>
  <c r="D810" i="4"/>
  <c r="H810" i="4"/>
  <c r="C810" i="4"/>
  <c r="B810" i="4"/>
  <c r="G810" i="4"/>
  <c r="A811" i="4" s="1"/>
  <c r="F811" i="5" l="1"/>
  <c r="F811" i="4"/>
  <c r="D811" i="4"/>
  <c r="H811" i="4"/>
  <c r="C811" i="4"/>
  <c r="G811" i="4"/>
  <c r="A812" i="4" s="1"/>
  <c r="E811" i="4"/>
  <c r="B811" i="4"/>
  <c r="D1028" i="5"/>
  <c r="E1028" i="5"/>
  <c r="A1029" i="5" s="1"/>
  <c r="C1028" i="5"/>
  <c r="B1028" i="5"/>
  <c r="C1029" i="5" l="1"/>
  <c r="B1029" i="5"/>
  <c r="E1029" i="5"/>
  <c r="A1030" i="5" s="1"/>
  <c r="D1029" i="5"/>
  <c r="E812" i="4"/>
  <c r="F812" i="5"/>
  <c r="C812" i="4"/>
  <c r="H812" i="4"/>
  <c r="D812" i="4"/>
  <c r="B812" i="4"/>
  <c r="F812" i="4"/>
  <c r="G812" i="4"/>
  <c r="A813" i="4" s="1"/>
  <c r="F813" i="5" l="1"/>
  <c r="F813" i="4"/>
  <c r="E813" i="4"/>
  <c r="D813" i="4"/>
  <c r="G813" i="4"/>
  <c r="A814" i="4" s="1"/>
  <c r="H813" i="4"/>
  <c r="C813" i="4"/>
  <c r="B813" i="4"/>
  <c r="E1030" i="5"/>
  <c r="A1031" i="5" s="1"/>
  <c r="B1030" i="5"/>
  <c r="D1030" i="5"/>
  <c r="C1030" i="5"/>
  <c r="E1031" i="5" l="1"/>
  <c r="A1032" i="5" s="1"/>
  <c r="B1031" i="5"/>
  <c r="D1031" i="5"/>
  <c r="C1031" i="5"/>
  <c r="F814" i="5"/>
  <c r="H814" i="4"/>
  <c r="G814" i="4"/>
  <c r="A815" i="4" s="1"/>
  <c r="F814" i="4"/>
  <c r="E814" i="4"/>
  <c r="D814" i="4"/>
  <c r="C814" i="4"/>
  <c r="B814" i="4"/>
  <c r="H815" i="4" l="1"/>
  <c r="B815" i="4"/>
  <c r="F815" i="5"/>
  <c r="G815" i="4"/>
  <c r="A816" i="4" s="1"/>
  <c r="F815" i="4"/>
  <c r="E815" i="4"/>
  <c r="D815" i="4"/>
  <c r="C815" i="4"/>
  <c r="B1032" i="5"/>
  <c r="E1032" i="5"/>
  <c r="A1033" i="5" s="1"/>
  <c r="D1032" i="5"/>
  <c r="C1032" i="5"/>
  <c r="F816" i="4" l="1"/>
  <c r="E816" i="4"/>
  <c r="D816" i="4"/>
  <c r="F816" i="5"/>
  <c r="H816" i="4"/>
  <c r="G816" i="4"/>
  <c r="A817" i="4" s="1"/>
  <c r="C816" i="4"/>
  <c r="B816" i="4"/>
  <c r="E1033" i="5"/>
  <c r="A1034" i="5" s="1"/>
  <c r="D1033" i="5"/>
  <c r="B1033" i="5"/>
  <c r="C1033" i="5"/>
  <c r="B1034" i="5" l="1"/>
  <c r="E1034" i="5"/>
  <c r="A1035" i="5" s="1"/>
  <c r="C1034" i="5"/>
  <c r="D1034" i="5"/>
  <c r="F817" i="5"/>
  <c r="H817" i="4"/>
  <c r="B817" i="4"/>
  <c r="F817" i="4"/>
  <c r="E817" i="4"/>
  <c r="D817" i="4"/>
  <c r="C817" i="4"/>
  <c r="G817" i="4"/>
  <c r="A818" i="4" s="1"/>
  <c r="F818" i="5" l="1"/>
  <c r="F818" i="4"/>
  <c r="E818" i="4"/>
  <c r="D818" i="4"/>
  <c r="C818" i="4"/>
  <c r="B818" i="4"/>
  <c r="H818" i="4"/>
  <c r="G818" i="4"/>
  <c r="A819" i="4" s="1"/>
  <c r="E1035" i="5"/>
  <c r="A1036" i="5" s="1"/>
  <c r="D1035" i="5"/>
  <c r="B1035" i="5"/>
  <c r="C1035" i="5"/>
  <c r="D1036" i="5" l="1"/>
  <c r="C1036" i="5"/>
  <c r="B1036" i="5"/>
  <c r="E1036" i="5"/>
  <c r="A1037" i="5" s="1"/>
  <c r="F819" i="5"/>
  <c r="F819" i="4"/>
  <c r="E819" i="4"/>
  <c r="D819" i="4"/>
  <c r="C819" i="4"/>
  <c r="H819" i="4"/>
  <c r="G819" i="4"/>
  <c r="A820" i="4" s="1"/>
  <c r="B819" i="4"/>
  <c r="F820" i="5" l="1"/>
  <c r="E820" i="4"/>
  <c r="D820" i="4"/>
  <c r="B820" i="4"/>
  <c r="H820" i="4"/>
  <c r="G820" i="4"/>
  <c r="A821" i="4" s="1"/>
  <c r="F820" i="4"/>
  <c r="C820" i="4"/>
  <c r="E1037" i="5"/>
  <c r="A1038" i="5" s="1"/>
  <c r="D1037" i="5"/>
  <c r="C1037" i="5"/>
  <c r="B1037" i="5"/>
  <c r="E1038" i="5" l="1"/>
  <c r="A1039" i="5" s="1"/>
  <c r="D1038" i="5"/>
  <c r="C1038" i="5"/>
  <c r="B1038" i="5"/>
  <c r="F821" i="5"/>
  <c r="H821" i="4"/>
  <c r="G821" i="4"/>
  <c r="A822" i="4" s="1"/>
  <c r="F821" i="4"/>
  <c r="E821" i="4"/>
  <c r="D821" i="4"/>
  <c r="C821" i="4"/>
  <c r="B821" i="4"/>
  <c r="F822" i="5" l="1"/>
  <c r="F822" i="4"/>
  <c r="E822" i="4"/>
  <c r="D822" i="4"/>
  <c r="B822" i="4"/>
  <c r="G822" i="4"/>
  <c r="A823" i="4" s="1"/>
  <c r="H822" i="4"/>
  <c r="C822" i="4"/>
  <c r="E1039" i="5"/>
  <c r="A1040" i="5" s="1"/>
  <c r="D1039" i="5"/>
  <c r="C1039" i="5"/>
  <c r="B1039" i="5"/>
  <c r="D1040" i="5" l="1"/>
  <c r="C1040" i="5"/>
  <c r="B1040" i="5"/>
  <c r="E1040" i="5"/>
  <c r="A1041" i="5" s="1"/>
  <c r="F823" i="5"/>
  <c r="G823" i="4"/>
  <c r="A824" i="4" s="1"/>
  <c r="F823" i="4"/>
  <c r="C823" i="4"/>
  <c r="H823" i="4"/>
  <c r="E823" i="4"/>
  <c r="D823" i="4"/>
  <c r="B823" i="4"/>
  <c r="D1041" i="5" l="1"/>
  <c r="E1041" i="5"/>
  <c r="A1042" i="5" s="1"/>
  <c r="C1041" i="5"/>
  <c r="B1041" i="5"/>
  <c r="F824" i="5"/>
  <c r="H824" i="4"/>
  <c r="B824" i="4"/>
  <c r="D824" i="4"/>
  <c r="C824" i="4"/>
  <c r="F824" i="4"/>
  <c r="E824" i="4"/>
  <c r="G824" i="4"/>
  <c r="A825" i="4" s="1"/>
  <c r="F825" i="4" l="1"/>
  <c r="E825" i="4"/>
  <c r="F825" i="5"/>
  <c r="D825" i="4"/>
  <c r="H825" i="4"/>
  <c r="G825" i="4"/>
  <c r="A826" i="4" s="1"/>
  <c r="C825" i="4"/>
  <c r="B825" i="4"/>
  <c r="D1042" i="5"/>
  <c r="B1042" i="5"/>
  <c r="E1042" i="5"/>
  <c r="A1043" i="5" s="1"/>
  <c r="C1042" i="5"/>
  <c r="D826" i="4" l="1"/>
  <c r="B826" i="4"/>
  <c r="F826" i="5"/>
  <c r="C826" i="4"/>
  <c r="H826" i="4"/>
  <c r="E826" i="4"/>
  <c r="G826" i="4"/>
  <c r="A827" i="4" s="1"/>
  <c r="F826" i="4"/>
  <c r="E1043" i="5"/>
  <c r="A1044" i="5" s="1"/>
  <c r="D1043" i="5"/>
  <c r="B1043" i="5"/>
  <c r="C1043" i="5"/>
  <c r="D1044" i="5" l="1"/>
  <c r="C1044" i="5"/>
  <c r="B1044" i="5"/>
  <c r="E1044" i="5"/>
  <c r="A1045" i="5" s="1"/>
  <c r="F827" i="5"/>
  <c r="D827" i="4"/>
  <c r="B827" i="4"/>
  <c r="H827" i="4"/>
  <c r="G827" i="4"/>
  <c r="A828" i="4" s="1"/>
  <c r="F827" i="4"/>
  <c r="E827" i="4"/>
  <c r="C827" i="4"/>
  <c r="F828" i="5" l="1"/>
  <c r="F828" i="4"/>
  <c r="E828" i="4"/>
  <c r="D828" i="4"/>
  <c r="H828" i="4"/>
  <c r="B828" i="4"/>
  <c r="C828" i="4"/>
  <c r="G828" i="4"/>
  <c r="A829" i="4" s="1"/>
  <c r="B1045" i="5"/>
  <c r="E1045" i="5"/>
  <c r="A1046" i="5" s="1"/>
  <c r="D1045" i="5"/>
  <c r="C1045" i="5"/>
  <c r="G829" i="4" l="1"/>
  <c r="A830" i="4" s="1"/>
  <c r="D829" i="4"/>
  <c r="H829" i="4"/>
  <c r="F829" i="4"/>
  <c r="E829" i="4"/>
  <c r="C829" i="4"/>
  <c r="B829" i="4"/>
  <c r="F829" i="5"/>
  <c r="D1046" i="5"/>
  <c r="B1046" i="5"/>
  <c r="E1046" i="5"/>
  <c r="A1047" i="5" s="1"/>
  <c r="C1046" i="5"/>
  <c r="E1047" i="5" l="1"/>
  <c r="A1048" i="5" s="1"/>
  <c r="D1047" i="5"/>
  <c r="B1047" i="5"/>
  <c r="C1047" i="5"/>
  <c r="F830" i="5"/>
  <c r="E830" i="4"/>
  <c r="B830" i="4"/>
  <c r="H830" i="4"/>
  <c r="G830" i="4"/>
  <c r="A831" i="4" s="1"/>
  <c r="F830" i="4"/>
  <c r="D830" i="4"/>
  <c r="C830" i="4"/>
  <c r="D1048" i="5" l="1"/>
  <c r="C1048" i="5"/>
  <c r="B1048" i="5"/>
  <c r="E1048" i="5"/>
  <c r="A1049" i="5" s="1"/>
  <c r="F831" i="4"/>
  <c r="E831" i="4"/>
  <c r="D831" i="4"/>
  <c r="H831" i="4"/>
  <c r="C831" i="4"/>
  <c r="B831" i="4"/>
  <c r="F831" i="5"/>
  <c r="G831" i="4"/>
  <c r="A832" i="4" s="1"/>
  <c r="E1049" i="5" l="1"/>
  <c r="A1050" i="5" s="1"/>
  <c r="D1049" i="5"/>
  <c r="C1049" i="5"/>
  <c r="B1049" i="5"/>
  <c r="F832" i="5"/>
  <c r="G832" i="4"/>
  <c r="A833" i="4" s="1"/>
  <c r="H832" i="4"/>
  <c r="F832" i="4"/>
  <c r="E832" i="4"/>
  <c r="C832" i="4"/>
  <c r="D832" i="4"/>
  <c r="B832" i="4"/>
  <c r="F833" i="5" l="1"/>
  <c r="B833" i="4"/>
  <c r="E833" i="4"/>
  <c r="D833" i="4"/>
  <c r="C833" i="4"/>
  <c r="F833" i="4"/>
  <c r="G833" i="4"/>
  <c r="A834" i="4" s="1"/>
  <c r="H833" i="4"/>
  <c r="D1050" i="5"/>
  <c r="E1050" i="5"/>
  <c r="A1051" i="5" s="1"/>
  <c r="C1050" i="5"/>
  <c r="B1050" i="5"/>
  <c r="E1051" i="5" l="1"/>
  <c r="A1052" i="5" s="1"/>
  <c r="D1051" i="5"/>
  <c r="C1051" i="5"/>
  <c r="B1051" i="5"/>
  <c r="F834" i="5"/>
  <c r="F834" i="4"/>
  <c r="E834" i="4"/>
  <c r="D834" i="4"/>
  <c r="H834" i="4"/>
  <c r="G834" i="4"/>
  <c r="A835" i="4" s="1"/>
  <c r="C834" i="4"/>
  <c r="B834" i="4"/>
  <c r="G835" i="4" l="1"/>
  <c r="A836" i="4" s="1"/>
  <c r="D835" i="4"/>
  <c r="C835" i="4"/>
  <c r="F835" i="5"/>
  <c r="H835" i="4"/>
  <c r="B835" i="4"/>
  <c r="E835" i="4"/>
  <c r="F835" i="4"/>
  <c r="D1052" i="5"/>
  <c r="C1052" i="5"/>
  <c r="B1052" i="5"/>
  <c r="E1052" i="5"/>
  <c r="A1053" i="5" s="1"/>
  <c r="D1053" i="5" l="1"/>
  <c r="B1053" i="5"/>
  <c r="E1053" i="5"/>
  <c r="A1054" i="5" s="1"/>
  <c r="C1053" i="5"/>
  <c r="F836" i="5"/>
  <c r="E836" i="4"/>
  <c r="B836" i="4"/>
  <c r="H836" i="4"/>
  <c r="G836" i="4"/>
  <c r="A837" i="4" s="1"/>
  <c r="F836" i="4"/>
  <c r="D836" i="4"/>
  <c r="C836" i="4"/>
  <c r="E1054" i="5" l="1"/>
  <c r="A1055" i="5" s="1"/>
  <c r="D1054" i="5"/>
  <c r="B1054" i="5"/>
  <c r="C1054" i="5"/>
  <c r="F837" i="4"/>
  <c r="E837" i="4"/>
  <c r="D837" i="4"/>
  <c r="F837" i="5"/>
  <c r="B837" i="4"/>
  <c r="H837" i="4"/>
  <c r="G837" i="4"/>
  <c r="A838" i="4" s="1"/>
  <c r="C837" i="4"/>
  <c r="F838" i="5" l="1"/>
  <c r="C838" i="4"/>
  <c r="H838" i="4"/>
  <c r="G838" i="4"/>
  <c r="A839" i="4" s="1"/>
  <c r="F838" i="4"/>
  <c r="E838" i="4"/>
  <c r="D838" i="4"/>
  <c r="B838" i="4"/>
  <c r="E1055" i="5"/>
  <c r="A1056" i="5" s="1"/>
  <c r="B1055" i="5"/>
  <c r="D1055" i="5"/>
  <c r="C1055" i="5"/>
  <c r="F839" i="5" l="1"/>
  <c r="H839" i="4"/>
  <c r="E839" i="4"/>
  <c r="F839" i="4"/>
  <c r="D839" i="4"/>
  <c r="C839" i="4"/>
  <c r="B839" i="4"/>
  <c r="G839" i="4"/>
  <c r="A840" i="4" s="1"/>
  <c r="D1056" i="5"/>
  <c r="C1056" i="5"/>
  <c r="B1056" i="5"/>
  <c r="E1056" i="5"/>
  <c r="A1057" i="5" s="1"/>
  <c r="D1057" i="5" l="1"/>
  <c r="B1057" i="5"/>
  <c r="E1057" i="5"/>
  <c r="A1058" i="5" s="1"/>
  <c r="C1057" i="5"/>
  <c r="F840" i="5"/>
  <c r="F840" i="4"/>
  <c r="E840" i="4"/>
  <c r="D840" i="4"/>
  <c r="H840" i="4"/>
  <c r="G840" i="4"/>
  <c r="A841" i="4" s="1"/>
  <c r="C840" i="4"/>
  <c r="B840" i="4"/>
  <c r="F841" i="5" l="1"/>
  <c r="B841" i="4"/>
  <c r="G841" i="4"/>
  <c r="A842" i="4" s="1"/>
  <c r="F841" i="4"/>
  <c r="C841" i="4"/>
  <c r="E841" i="4"/>
  <c r="D841" i="4"/>
  <c r="H841" i="4"/>
  <c r="E1058" i="5"/>
  <c r="A1059" i="5" s="1"/>
  <c r="D1058" i="5"/>
  <c r="C1058" i="5"/>
  <c r="B1058" i="5"/>
  <c r="E1059" i="5" l="1"/>
  <c r="A1060" i="5" s="1"/>
  <c r="D1059" i="5"/>
  <c r="C1059" i="5"/>
  <c r="B1059" i="5"/>
  <c r="F842" i="5"/>
  <c r="H842" i="4"/>
  <c r="F842" i="4"/>
  <c r="E842" i="4"/>
  <c r="D842" i="4"/>
  <c r="B842" i="4"/>
  <c r="C842" i="4"/>
  <c r="G842" i="4"/>
  <c r="A843" i="4" s="1"/>
  <c r="D1060" i="5" l="1"/>
  <c r="C1060" i="5"/>
  <c r="B1060" i="5"/>
  <c r="E1060" i="5"/>
  <c r="A1061" i="5" s="1"/>
  <c r="F843" i="5"/>
  <c r="F843" i="4"/>
  <c r="E843" i="4"/>
  <c r="D843" i="4"/>
  <c r="C843" i="4"/>
  <c r="H843" i="4"/>
  <c r="G843" i="4"/>
  <c r="A844" i="4" s="1"/>
  <c r="B843" i="4"/>
  <c r="F844" i="5" l="1"/>
  <c r="H844" i="4"/>
  <c r="G844" i="4"/>
  <c r="A845" i="4" s="1"/>
  <c r="F844" i="4"/>
  <c r="E844" i="4"/>
  <c r="D844" i="4"/>
  <c r="C844" i="4"/>
  <c r="B844" i="4"/>
  <c r="C1061" i="5"/>
  <c r="B1061" i="5"/>
  <c r="E1061" i="5"/>
  <c r="A1062" i="5" s="1"/>
  <c r="D1061" i="5"/>
  <c r="B1062" i="5" l="1"/>
  <c r="E1062" i="5"/>
  <c r="A1063" i="5" s="1"/>
  <c r="D1062" i="5"/>
  <c r="C1062" i="5"/>
  <c r="F845" i="5"/>
  <c r="H845" i="4"/>
  <c r="G845" i="4"/>
  <c r="A846" i="4" s="1"/>
  <c r="F845" i="4"/>
  <c r="E845" i="4"/>
  <c r="D845" i="4"/>
  <c r="C845" i="4"/>
  <c r="B845" i="4"/>
  <c r="F846" i="5" l="1"/>
  <c r="F846" i="4"/>
  <c r="E846" i="4"/>
  <c r="D846" i="4"/>
  <c r="C846" i="4"/>
  <c r="H846" i="4"/>
  <c r="G846" i="4"/>
  <c r="A847" i="4" s="1"/>
  <c r="B846" i="4"/>
  <c r="E1063" i="5"/>
  <c r="A1064" i="5" s="1"/>
  <c r="D1063" i="5"/>
  <c r="C1063" i="5"/>
  <c r="B1063" i="5"/>
  <c r="H847" i="4" l="1"/>
  <c r="G847" i="4"/>
  <c r="A848" i="4" s="1"/>
  <c r="E847" i="4"/>
  <c r="D847" i="4"/>
  <c r="F847" i="5"/>
  <c r="F847" i="4"/>
  <c r="C847" i="4"/>
  <c r="B847" i="4"/>
  <c r="D1064" i="5"/>
  <c r="C1064" i="5"/>
  <c r="B1064" i="5"/>
  <c r="E1064" i="5"/>
  <c r="A1065" i="5" s="1"/>
  <c r="F848" i="5" l="1"/>
  <c r="F848" i="4"/>
  <c r="E848" i="4"/>
  <c r="D848" i="4"/>
  <c r="C848" i="4"/>
  <c r="B848" i="4"/>
  <c r="G848" i="4"/>
  <c r="A849" i="4" s="1"/>
  <c r="H848" i="4"/>
  <c r="E1065" i="5"/>
  <c r="A1066" i="5" s="1"/>
  <c r="B1065" i="5"/>
  <c r="D1065" i="5"/>
  <c r="C1065" i="5"/>
  <c r="F849" i="4" l="1"/>
  <c r="E849" i="4"/>
  <c r="D849" i="4"/>
  <c r="G849" i="4"/>
  <c r="A850" i="4" s="1"/>
  <c r="F849" i="5"/>
  <c r="B849" i="4"/>
  <c r="H849" i="4"/>
  <c r="C849" i="4"/>
  <c r="E1066" i="5"/>
  <c r="A1067" i="5" s="1"/>
  <c r="D1066" i="5"/>
  <c r="C1066" i="5"/>
  <c r="B1066" i="5"/>
  <c r="E1067" i="5" l="1"/>
  <c r="A1068" i="5" s="1"/>
  <c r="D1067" i="5"/>
  <c r="C1067" i="5"/>
  <c r="B1067" i="5"/>
  <c r="D850" i="4"/>
  <c r="F850" i="5"/>
  <c r="H850" i="4"/>
  <c r="F850" i="4"/>
  <c r="E850" i="4"/>
  <c r="C850" i="4"/>
  <c r="B850" i="4"/>
  <c r="G850" i="4"/>
  <c r="A851" i="4" s="1"/>
  <c r="F851" i="5" l="1"/>
  <c r="H851" i="4"/>
  <c r="G851" i="4"/>
  <c r="A852" i="4" s="1"/>
  <c r="F851" i="4"/>
  <c r="E851" i="4"/>
  <c r="D851" i="4"/>
  <c r="B851" i="4"/>
  <c r="C851" i="4"/>
  <c r="D1068" i="5"/>
  <c r="C1068" i="5"/>
  <c r="B1068" i="5"/>
  <c r="E1068" i="5"/>
  <c r="A1069" i="5" s="1"/>
  <c r="E1069" i="5" l="1"/>
  <c r="A1070" i="5" s="1"/>
  <c r="C1069" i="5"/>
  <c r="B1069" i="5"/>
  <c r="D1069" i="5"/>
  <c r="F852" i="5"/>
  <c r="F852" i="4"/>
  <c r="E852" i="4"/>
  <c r="D852" i="4"/>
  <c r="G852" i="4"/>
  <c r="A853" i="4" s="1"/>
  <c r="C852" i="4"/>
  <c r="B852" i="4"/>
  <c r="H852" i="4"/>
  <c r="F853" i="5" l="1"/>
  <c r="G853" i="4"/>
  <c r="A854" i="4" s="1"/>
  <c r="D853" i="4"/>
  <c r="B853" i="4"/>
  <c r="E853" i="4"/>
  <c r="H853" i="4"/>
  <c r="F853" i="4"/>
  <c r="C853" i="4"/>
  <c r="D1070" i="5"/>
  <c r="C1070" i="5"/>
  <c r="E1070" i="5"/>
  <c r="A1071" i="5" s="1"/>
  <c r="B1070" i="5"/>
  <c r="E1071" i="5" l="1"/>
  <c r="A1072" i="5" s="1"/>
  <c r="D1071" i="5"/>
  <c r="C1071" i="5"/>
  <c r="B1071" i="5"/>
  <c r="F854" i="5"/>
  <c r="D854" i="4"/>
  <c r="B854" i="4"/>
  <c r="H854" i="4"/>
  <c r="E854" i="4"/>
  <c r="C854" i="4"/>
  <c r="G854" i="4"/>
  <c r="A855" i="4" s="1"/>
  <c r="F854" i="4"/>
  <c r="D1072" i="5" l="1"/>
  <c r="C1072" i="5"/>
  <c r="B1072" i="5"/>
  <c r="E1072" i="5"/>
  <c r="A1073" i="5" s="1"/>
  <c r="F855" i="5"/>
  <c r="F855" i="4"/>
  <c r="E855" i="4"/>
  <c r="D855" i="4"/>
  <c r="H855" i="4"/>
  <c r="G855" i="4"/>
  <c r="A856" i="4" s="1"/>
  <c r="C855" i="4"/>
  <c r="B855" i="4"/>
  <c r="F856" i="5" l="1"/>
  <c r="G856" i="4"/>
  <c r="A857" i="4" s="1"/>
  <c r="E856" i="4"/>
  <c r="F856" i="4"/>
  <c r="D856" i="4"/>
  <c r="C856" i="4"/>
  <c r="B856" i="4"/>
  <c r="H856" i="4"/>
  <c r="D1073" i="5"/>
  <c r="C1073" i="5"/>
  <c r="E1073" i="5"/>
  <c r="A1074" i="5" s="1"/>
  <c r="B1073" i="5"/>
  <c r="C1074" i="5" l="1"/>
  <c r="E1074" i="5"/>
  <c r="A1075" i="5" s="1"/>
  <c r="D1074" i="5"/>
  <c r="B1074" i="5"/>
  <c r="F857" i="5"/>
  <c r="B857" i="4"/>
  <c r="F857" i="4"/>
  <c r="D857" i="4"/>
  <c r="E857" i="4"/>
  <c r="C857" i="4"/>
  <c r="H857" i="4"/>
  <c r="G857" i="4"/>
  <c r="A858" i="4" s="1"/>
  <c r="F858" i="5" l="1"/>
  <c r="F858" i="4"/>
  <c r="E858" i="4"/>
  <c r="D858" i="4"/>
  <c r="H858" i="4"/>
  <c r="G858" i="4"/>
  <c r="A859" i="4" s="1"/>
  <c r="C858" i="4"/>
  <c r="B858" i="4"/>
  <c r="E1075" i="5"/>
  <c r="A1076" i="5" s="1"/>
  <c r="D1075" i="5"/>
  <c r="C1075" i="5"/>
  <c r="B1075" i="5"/>
  <c r="D1076" i="5" l="1"/>
  <c r="C1076" i="5"/>
  <c r="B1076" i="5"/>
  <c r="E1076" i="5"/>
  <c r="A1077" i="5" s="1"/>
  <c r="F859" i="5"/>
  <c r="H859" i="4"/>
  <c r="G859" i="4"/>
  <c r="A860" i="4" s="1"/>
  <c r="F859" i="4"/>
  <c r="E859" i="4"/>
  <c r="D859" i="4"/>
  <c r="B859" i="4"/>
  <c r="C859" i="4"/>
  <c r="E860" i="4" l="1"/>
  <c r="B860" i="4"/>
  <c r="F860" i="4"/>
  <c r="D860" i="4"/>
  <c r="C860" i="4"/>
  <c r="H860" i="4"/>
  <c r="G860" i="4"/>
  <c r="A861" i="4" s="1"/>
  <c r="F860" i="5"/>
  <c r="C1077" i="5"/>
  <c r="B1077" i="5"/>
  <c r="E1077" i="5"/>
  <c r="A1078" i="5" s="1"/>
  <c r="D1077" i="5"/>
  <c r="D1078" i="5" l="1"/>
  <c r="B1078" i="5"/>
  <c r="E1078" i="5"/>
  <c r="A1079" i="5" s="1"/>
  <c r="C1078" i="5"/>
  <c r="F861" i="5"/>
  <c r="F861" i="4"/>
  <c r="E861" i="4"/>
  <c r="D861" i="4"/>
  <c r="H861" i="4"/>
  <c r="G861" i="4"/>
  <c r="A862" i="4" s="1"/>
  <c r="B861" i="4"/>
  <c r="C861" i="4"/>
  <c r="F862" i="5" l="1"/>
  <c r="E862" i="4"/>
  <c r="D862" i="4"/>
  <c r="C862" i="4"/>
  <c r="B862" i="4"/>
  <c r="G862" i="4"/>
  <c r="A863" i="4" s="1"/>
  <c r="F862" i="4"/>
  <c r="H862" i="4"/>
  <c r="E1079" i="5"/>
  <c r="A1080" i="5" s="1"/>
  <c r="D1079" i="5"/>
  <c r="B1079" i="5"/>
  <c r="C1079" i="5"/>
  <c r="D1080" i="5" l="1"/>
  <c r="C1080" i="5"/>
  <c r="B1080" i="5"/>
  <c r="E1080" i="5"/>
  <c r="A1081" i="5" s="1"/>
  <c r="F863" i="5"/>
  <c r="H863" i="4"/>
  <c r="E863" i="4"/>
  <c r="C863" i="4"/>
  <c r="G863" i="4"/>
  <c r="A864" i="4" s="1"/>
  <c r="F863" i="4"/>
  <c r="D863" i="4"/>
  <c r="B863" i="4"/>
  <c r="D1081" i="5" l="1"/>
  <c r="B1081" i="5"/>
  <c r="E1081" i="5"/>
  <c r="A1082" i="5" s="1"/>
  <c r="C1081" i="5"/>
  <c r="F864" i="5"/>
  <c r="F864" i="4"/>
  <c r="E864" i="4"/>
  <c r="D864" i="4"/>
  <c r="G864" i="4"/>
  <c r="A865" i="4" s="1"/>
  <c r="C864" i="4"/>
  <c r="B864" i="4"/>
  <c r="H864" i="4"/>
  <c r="D1082" i="5" l="1"/>
  <c r="C1082" i="5"/>
  <c r="E1082" i="5"/>
  <c r="A1083" i="5" s="1"/>
  <c r="B1082" i="5"/>
  <c r="F865" i="5"/>
  <c r="F865" i="4"/>
  <c r="D865" i="4"/>
  <c r="C865" i="4"/>
  <c r="H865" i="4"/>
  <c r="G865" i="4"/>
  <c r="A866" i="4" s="1"/>
  <c r="E865" i="4"/>
  <c r="B865" i="4"/>
  <c r="F866" i="5" l="1"/>
  <c r="H866" i="4"/>
  <c r="F866" i="4"/>
  <c r="E866" i="4"/>
  <c r="D866" i="4"/>
  <c r="C866" i="4"/>
  <c r="B866" i="4"/>
  <c r="G866" i="4"/>
  <c r="A867" i="4" s="1"/>
  <c r="E1083" i="5"/>
  <c r="A1084" i="5" s="1"/>
  <c r="D1083" i="5"/>
  <c r="B1083" i="5"/>
  <c r="C1083" i="5"/>
  <c r="D1084" i="5" l="1"/>
  <c r="C1084" i="5"/>
  <c r="B1084" i="5"/>
  <c r="E1084" i="5"/>
  <c r="A1085" i="5" s="1"/>
  <c r="F867" i="5"/>
  <c r="F867" i="4"/>
  <c r="E867" i="4"/>
  <c r="D867" i="4"/>
  <c r="C867" i="4"/>
  <c r="H867" i="4"/>
  <c r="G867" i="4"/>
  <c r="A868" i="4" s="1"/>
  <c r="B867" i="4"/>
  <c r="E868" i="4" l="1"/>
  <c r="D868" i="4"/>
  <c r="C868" i="4"/>
  <c r="B868" i="4"/>
  <c r="F868" i="4"/>
  <c r="H868" i="4"/>
  <c r="G868" i="4"/>
  <c r="A869" i="4" s="1"/>
  <c r="F868" i="5"/>
  <c r="C1085" i="5"/>
  <c r="B1085" i="5"/>
  <c r="E1085" i="5"/>
  <c r="A1086" i="5" s="1"/>
  <c r="D1085" i="5"/>
  <c r="D1086" i="5" l="1"/>
  <c r="C1086" i="5"/>
  <c r="B8" i="1" s="1"/>
  <c r="E1086" i="5"/>
  <c r="B1086" i="5"/>
  <c r="F869" i="5"/>
  <c r="H869" i="4"/>
  <c r="G869" i="4"/>
  <c r="A870" i="4" s="1"/>
  <c r="F869" i="4"/>
  <c r="E869" i="4"/>
  <c r="D869" i="4"/>
  <c r="C869" i="4"/>
  <c r="B869" i="4"/>
  <c r="F870" i="5" l="1"/>
  <c r="F870" i="4"/>
  <c r="E870" i="4"/>
  <c r="D870" i="4"/>
  <c r="C870" i="4"/>
  <c r="H870" i="4"/>
  <c r="B870" i="4"/>
  <c r="G870" i="4"/>
  <c r="A871" i="4" s="1"/>
  <c r="F871" i="5" l="1"/>
  <c r="H871" i="4"/>
  <c r="G871" i="4"/>
  <c r="A872" i="4" s="1"/>
  <c r="F871" i="4"/>
  <c r="E871" i="4"/>
  <c r="B871" i="4"/>
  <c r="D871" i="4"/>
  <c r="C871" i="4"/>
  <c r="F872" i="5" l="1"/>
  <c r="C872" i="4"/>
  <c r="B872" i="4"/>
  <c r="H872" i="4"/>
  <c r="G872" i="4"/>
  <c r="A873" i="4" s="1"/>
  <c r="F872" i="4"/>
  <c r="E872" i="4"/>
  <c r="D872" i="4"/>
  <c r="F873" i="5" l="1"/>
  <c r="F873" i="4"/>
  <c r="E873" i="4"/>
  <c r="D873" i="4"/>
  <c r="G873" i="4"/>
  <c r="A874" i="4" s="1"/>
  <c r="H873" i="4"/>
  <c r="B873" i="4"/>
  <c r="C873" i="4"/>
  <c r="F874" i="5" l="1"/>
  <c r="D874" i="4"/>
  <c r="B874" i="4"/>
  <c r="G874" i="4"/>
  <c r="A875" i="4" s="1"/>
  <c r="F874" i="4"/>
  <c r="E874" i="4"/>
  <c r="C874" i="4"/>
  <c r="H874" i="4"/>
  <c r="F875" i="5" l="1"/>
  <c r="H875" i="4"/>
  <c r="G875" i="4"/>
  <c r="A876" i="4" s="1"/>
  <c r="F875" i="4"/>
  <c r="E875" i="4"/>
  <c r="D875" i="4"/>
  <c r="C875" i="4"/>
  <c r="B875" i="4"/>
  <c r="F876" i="5" l="1"/>
  <c r="F876" i="4"/>
  <c r="E876" i="4"/>
  <c r="D876" i="4"/>
  <c r="H876" i="4"/>
  <c r="C876" i="4"/>
  <c r="B876" i="4"/>
  <c r="G876" i="4"/>
  <c r="A877" i="4" s="1"/>
  <c r="F877" i="5" l="1"/>
  <c r="G877" i="4"/>
  <c r="A878" i="4" s="1"/>
  <c r="D877" i="4"/>
  <c r="B877" i="4"/>
  <c r="H877" i="4"/>
  <c r="E877" i="4"/>
  <c r="F877" i="4"/>
  <c r="C877" i="4"/>
  <c r="H878" i="4" l="1"/>
  <c r="G878" i="4"/>
  <c r="A879" i="4" s="1"/>
  <c r="F878" i="4"/>
  <c r="E878" i="4"/>
  <c r="D878" i="4"/>
  <c r="C878" i="4"/>
  <c r="B878" i="4"/>
  <c r="F878" i="5"/>
  <c r="F879" i="4" l="1"/>
  <c r="E879" i="4"/>
  <c r="D879" i="4"/>
  <c r="H879" i="4"/>
  <c r="G879" i="4"/>
  <c r="A880" i="4" s="1"/>
  <c r="C879" i="4"/>
  <c r="F879" i="5"/>
  <c r="B879" i="4"/>
  <c r="F880" i="5" l="1"/>
  <c r="G880" i="4"/>
  <c r="A881" i="4" s="1"/>
  <c r="E880" i="4"/>
  <c r="B880" i="4"/>
  <c r="F880" i="4"/>
  <c r="D880" i="4"/>
  <c r="H880" i="4"/>
  <c r="C880" i="4"/>
  <c r="F881" i="5" l="1"/>
  <c r="B881" i="4"/>
  <c r="H881" i="4"/>
  <c r="F881" i="4"/>
  <c r="E881" i="4"/>
  <c r="G881" i="4"/>
  <c r="A882" i="4" s="1"/>
  <c r="D881" i="4"/>
  <c r="C881" i="4"/>
  <c r="F882" i="5" l="1"/>
  <c r="F882" i="4"/>
  <c r="E882" i="4"/>
  <c r="D882" i="4"/>
  <c r="H882" i="4"/>
  <c r="G882" i="4"/>
  <c r="A883" i="4" s="1"/>
  <c r="C882" i="4"/>
  <c r="B882" i="4"/>
  <c r="F883" i="5" l="1"/>
  <c r="H883" i="4"/>
  <c r="G883" i="4"/>
  <c r="A884" i="4" s="1"/>
  <c r="F883" i="4"/>
  <c r="E883" i="4"/>
  <c r="D883" i="4"/>
  <c r="C883" i="4"/>
  <c r="B883" i="4"/>
  <c r="F884" i="5" l="1"/>
  <c r="E884" i="4"/>
  <c r="B884" i="4"/>
  <c r="H884" i="4"/>
  <c r="G884" i="4"/>
  <c r="A885" i="4" s="1"/>
  <c r="F884" i="4"/>
  <c r="C884" i="4"/>
  <c r="D884" i="4"/>
  <c r="F885" i="5" l="1"/>
  <c r="F885" i="4"/>
  <c r="E885" i="4"/>
  <c r="D885" i="4"/>
  <c r="H885" i="4"/>
  <c r="G885" i="4"/>
  <c r="A886" i="4" s="1"/>
  <c r="C885" i="4"/>
  <c r="B885" i="4"/>
  <c r="F886" i="5" l="1"/>
  <c r="H886" i="4"/>
  <c r="F886" i="4"/>
  <c r="E886" i="4"/>
  <c r="C886" i="4"/>
  <c r="B886" i="4"/>
  <c r="D886" i="4"/>
  <c r="G886" i="4"/>
  <c r="A887" i="4" s="1"/>
  <c r="F887" i="5" l="1"/>
  <c r="H887" i="4"/>
  <c r="E887" i="4"/>
  <c r="C887" i="4"/>
  <c r="G887" i="4"/>
  <c r="A888" i="4" s="1"/>
  <c r="F887" i="4"/>
  <c r="D887" i="4"/>
  <c r="B887" i="4"/>
  <c r="F888" i="5" l="1"/>
  <c r="F888" i="4"/>
  <c r="E888" i="4"/>
  <c r="D888" i="4"/>
  <c r="B888" i="4"/>
  <c r="H888" i="4"/>
  <c r="G888" i="4"/>
  <c r="A889" i="4" s="1"/>
  <c r="C888" i="4"/>
  <c r="F889" i="5" l="1"/>
  <c r="D889" i="4"/>
  <c r="C889" i="4"/>
  <c r="B889" i="4"/>
  <c r="F889" i="4"/>
  <c r="E889" i="4"/>
  <c r="H889" i="4"/>
  <c r="G889" i="4"/>
  <c r="A890" i="4" s="1"/>
  <c r="F890" i="5" l="1"/>
  <c r="H890" i="4"/>
  <c r="F890" i="4"/>
  <c r="G890" i="4"/>
  <c r="A891" i="4" s="1"/>
  <c r="E890" i="4"/>
  <c r="D890" i="4"/>
  <c r="B890" i="4"/>
  <c r="C890" i="4"/>
  <c r="F891" i="5" l="1"/>
  <c r="F891" i="4"/>
  <c r="E891" i="4"/>
  <c r="D891" i="4"/>
  <c r="C891" i="4"/>
  <c r="H891" i="4"/>
  <c r="G891" i="4"/>
  <c r="A892" i="4" s="1"/>
  <c r="B891" i="4"/>
  <c r="F892" i="5" l="1"/>
  <c r="B892" i="4"/>
  <c r="H892" i="4"/>
  <c r="G892" i="4"/>
  <c r="A893" i="4" s="1"/>
  <c r="E892" i="4"/>
  <c r="D892" i="4"/>
  <c r="C892" i="4"/>
  <c r="F892" i="4"/>
  <c r="F893" i="5" l="1"/>
  <c r="B893" i="4"/>
  <c r="C893" i="4"/>
  <c r="F893" i="4"/>
  <c r="H893" i="4"/>
  <c r="G893" i="4"/>
  <c r="A894" i="4" s="1"/>
  <c r="E893" i="4"/>
  <c r="D893" i="4"/>
  <c r="F894" i="5" l="1"/>
  <c r="F894" i="4"/>
  <c r="E894" i="4"/>
  <c r="D894" i="4"/>
  <c r="C894" i="4"/>
  <c r="H894" i="4"/>
  <c r="G894" i="4"/>
  <c r="A895" i="4" s="1"/>
  <c r="B894" i="4"/>
  <c r="H895" i="4" l="1"/>
  <c r="G895" i="4"/>
  <c r="A896" i="4" s="1"/>
  <c r="F895" i="4"/>
  <c r="E895" i="4"/>
  <c r="D895" i="4"/>
  <c r="C895" i="4"/>
  <c r="B895" i="4"/>
  <c r="F895" i="5"/>
  <c r="F896" i="5" l="1"/>
  <c r="H896" i="4"/>
  <c r="G896" i="4"/>
  <c r="A897" i="4" s="1"/>
  <c r="F896" i="4"/>
  <c r="E896" i="4"/>
  <c r="D896" i="4"/>
  <c r="C896" i="4"/>
  <c r="B896" i="4"/>
  <c r="F897" i="5" l="1"/>
  <c r="F897" i="4"/>
  <c r="E897" i="4"/>
  <c r="D897" i="4"/>
  <c r="G897" i="4"/>
  <c r="A898" i="4" s="1"/>
  <c r="H897" i="4"/>
  <c r="C897" i="4"/>
  <c r="B897" i="4"/>
  <c r="D898" i="4" l="1"/>
  <c r="H898" i="4"/>
  <c r="E898" i="4"/>
  <c r="C898" i="4"/>
  <c r="B898" i="4"/>
  <c r="F898" i="5"/>
  <c r="G898" i="4"/>
  <c r="A899" i="4" s="1"/>
  <c r="F898" i="4"/>
  <c r="F899" i="5" l="1"/>
  <c r="F899" i="4"/>
  <c r="E899" i="4"/>
  <c r="D899" i="4"/>
  <c r="C899" i="4"/>
  <c r="B899" i="4"/>
  <c r="G899" i="4"/>
  <c r="A900" i="4" s="1"/>
  <c r="H899" i="4"/>
  <c r="F900" i="5" l="1"/>
  <c r="F900" i="4"/>
  <c r="E900" i="4"/>
  <c r="D900" i="4"/>
  <c r="B900" i="4"/>
  <c r="H900" i="4"/>
  <c r="G900" i="4"/>
  <c r="A901" i="4" s="1"/>
  <c r="C900" i="4"/>
  <c r="F901" i="5" l="1"/>
  <c r="G901" i="4"/>
  <c r="A902" i="4" s="1"/>
  <c r="D901" i="4"/>
  <c r="B901" i="4"/>
  <c r="H901" i="4"/>
  <c r="F901" i="4"/>
  <c r="C901" i="4"/>
  <c r="E901" i="4"/>
  <c r="H902" i="4" l="1"/>
  <c r="G902" i="4"/>
  <c r="A903" i="4" s="1"/>
  <c r="F902" i="4"/>
  <c r="F902" i="5"/>
  <c r="E902" i="4"/>
  <c r="D902" i="4"/>
  <c r="C902" i="4"/>
  <c r="B902" i="4"/>
  <c r="F903" i="4" l="1"/>
  <c r="E903" i="4"/>
  <c r="D903" i="4"/>
  <c r="G903" i="4"/>
  <c r="A904" i="4" s="1"/>
  <c r="C903" i="4"/>
  <c r="B903" i="4"/>
  <c r="F903" i="5"/>
  <c r="H903" i="4"/>
  <c r="F904" i="5" l="1"/>
  <c r="G904" i="4"/>
  <c r="A905" i="4" s="1"/>
  <c r="E904" i="4"/>
  <c r="D904" i="4"/>
  <c r="C904" i="4"/>
  <c r="B904" i="4"/>
  <c r="H904" i="4"/>
  <c r="F904" i="4"/>
  <c r="F905" i="5" l="1"/>
  <c r="B905" i="4"/>
  <c r="H905" i="4"/>
  <c r="G905" i="4"/>
  <c r="A906" i="4" s="1"/>
  <c r="F905" i="4"/>
  <c r="E905" i="4"/>
  <c r="D905" i="4"/>
  <c r="C905" i="4"/>
  <c r="F906" i="5" l="1"/>
  <c r="F906" i="4"/>
  <c r="E906" i="4"/>
  <c r="D906" i="4"/>
  <c r="H906" i="4"/>
  <c r="G906" i="4"/>
  <c r="A907" i="4" s="1"/>
  <c r="C906" i="4"/>
  <c r="B906" i="4"/>
  <c r="F907" i="5" l="1"/>
  <c r="H907" i="4"/>
  <c r="E907" i="4"/>
  <c r="D907" i="4"/>
  <c r="C907" i="4"/>
  <c r="B907" i="4"/>
  <c r="F907" i="4"/>
  <c r="G907" i="4"/>
  <c r="A908" i="4" s="1"/>
  <c r="F908" i="5" l="1"/>
  <c r="E908" i="4"/>
  <c r="B908" i="4"/>
  <c r="H908" i="4"/>
  <c r="G908" i="4"/>
  <c r="A909" i="4" s="1"/>
  <c r="F908" i="4"/>
  <c r="D908" i="4"/>
  <c r="C908" i="4"/>
  <c r="F909" i="5" l="1"/>
  <c r="F909" i="4"/>
  <c r="E909" i="4"/>
  <c r="D909" i="4"/>
  <c r="G909" i="4"/>
  <c r="A910" i="4" s="1"/>
  <c r="C909" i="4"/>
  <c r="B909" i="4"/>
  <c r="H909" i="4"/>
  <c r="F910" i="5" l="1"/>
  <c r="H910" i="4"/>
  <c r="G910" i="4"/>
  <c r="A911" i="4" s="1"/>
  <c r="F910" i="4"/>
  <c r="E910" i="4"/>
  <c r="D910" i="4"/>
  <c r="B910" i="4"/>
  <c r="C910" i="4"/>
  <c r="F911" i="5" l="1"/>
  <c r="H911" i="4"/>
  <c r="E911" i="4"/>
  <c r="C911" i="4"/>
  <c r="D911" i="4"/>
  <c r="B911" i="4"/>
  <c r="F911" i="4"/>
  <c r="G911" i="4"/>
  <c r="A912" i="4" s="1"/>
  <c r="F912" i="5" l="1"/>
  <c r="F912" i="4"/>
  <c r="E912" i="4"/>
  <c r="D912" i="4"/>
  <c r="H912" i="4"/>
  <c r="G912" i="4"/>
  <c r="A913" i="4" s="1"/>
  <c r="B912" i="4"/>
  <c r="C912" i="4"/>
  <c r="F913" i="5" l="1"/>
  <c r="H913" i="4"/>
  <c r="G913" i="4"/>
  <c r="A914" i="4" s="1"/>
  <c r="F913" i="4"/>
  <c r="E913" i="4"/>
  <c r="D913" i="4"/>
  <c r="C913" i="4"/>
  <c r="B913" i="4"/>
  <c r="F914" i="5" l="1"/>
  <c r="H914" i="4"/>
  <c r="F914" i="4"/>
  <c r="G914" i="4"/>
  <c r="A915" i="4" s="1"/>
  <c r="E914" i="4"/>
  <c r="D914" i="4"/>
  <c r="C914" i="4"/>
  <c r="B914" i="4"/>
  <c r="F915" i="5" l="1"/>
  <c r="F915" i="4"/>
  <c r="E915" i="4"/>
  <c r="D915" i="4"/>
  <c r="C915" i="4"/>
  <c r="G915" i="4"/>
  <c r="A916" i="4" s="1"/>
  <c r="B915" i="4"/>
  <c r="H915" i="4"/>
  <c r="F916" i="5" l="1"/>
  <c r="D916" i="4"/>
  <c r="C916" i="4"/>
  <c r="H916" i="4"/>
  <c r="F916" i="4"/>
  <c r="E916" i="4"/>
  <c r="B916" i="4"/>
  <c r="G916" i="4"/>
  <c r="A917" i="4" s="1"/>
  <c r="F917" i="5" l="1"/>
  <c r="H917" i="4"/>
  <c r="G917" i="4"/>
  <c r="A918" i="4" s="1"/>
  <c r="F917" i="4"/>
  <c r="E917" i="4"/>
  <c r="D917" i="4"/>
  <c r="C917" i="4"/>
  <c r="B917" i="4"/>
  <c r="F918" i="5" l="1"/>
  <c r="F918" i="4"/>
  <c r="E918" i="4"/>
  <c r="D918" i="4"/>
  <c r="C918" i="4"/>
  <c r="H918" i="4"/>
  <c r="G918" i="4"/>
  <c r="A919" i="4" s="1"/>
  <c r="B918" i="4"/>
  <c r="F919" i="5" l="1"/>
  <c r="E919" i="4"/>
  <c r="D919" i="4"/>
  <c r="C919" i="4"/>
  <c r="B919" i="4"/>
  <c r="H919" i="4"/>
  <c r="F919" i="4"/>
  <c r="G919" i="4"/>
  <c r="A920" i="4" s="1"/>
  <c r="F920" i="5" l="1"/>
  <c r="F920" i="4"/>
  <c r="E920" i="4"/>
  <c r="D920" i="4"/>
  <c r="C920" i="4"/>
  <c r="B920" i="4"/>
  <c r="H920" i="4"/>
  <c r="G920" i="4"/>
  <c r="A921" i="4" s="1"/>
  <c r="F921" i="4" l="1"/>
  <c r="E921" i="4"/>
  <c r="D921" i="4"/>
  <c r="G921" i="4"/>
  <c r="A922" i="4" s="1"/>
  <c r="F921" i="5"/>
  <c r="H921" i="4"/>
  <c r="C921" i="4"/>
  <c r="B921" i="4"/>
  <c r="D922" i="4" l="1"/>
  <c r="H922" i="4"/>
  <c r="G922" i="4"/>
  <c r="A923" i="4" s="1"/>
  <c r="F922" i="4"/>
  <c r="E922" i="4"/>
  <c r="B922" i="4"/>
  <c r="F922" i="5"/>
  <c r="C922" i="4"/>
  <c r="F923" i="5" l="1"/>
  <c r="C923" i="4"/>
  <c r="B923" i="4"/>
  <c r="E923" i="4"/>
  <c r="D923" i="4"/>
  <c r="F923" i="4"/>
  <c r="H923" i="4"/>
  <c r="G923" i="4"/>
  <c r="A924" i="4" s="1"/>
  <c r="F924" i="5" l="1"/>
  <c r="F924" i="4"/>
  <c r="E924" i="4"/>
  <c r="D924" i="4"/>
  <c r="H924" i="4"/>
  <c r="G924" i="4"/>
  <c r="A925" i="4" s="1"/>
  <c r="C924" i="4"/>
  <c r="B924" i="4"/>
  <c r="F925" i="5" l="1"/>
  <c r="G925" i="4"/>
  <c r="A926" i="4" s="1"/>
  <c r="D925" i="4"/>
  <c r="B925" i="4"/>
  <c r="H925" i="4"/>
  <c r="F925" i="4"/>
  <c r="E925" i="4"/>
  <c r="C925" i="4"/>
  <c r="F926" i="5" l="1"/>
  <c r="H926" i="4"/>
  <c r="G926" i="4"/>
  <c r="A927" i="4" s="1"/>
  <c r="F926" i="4"/>
  <c r="E926" i="4"/>
  <c r="D926" i="4"/>
  <c r="C926" i="4"/>
  <c r="B926" i="4"/>
  <c r="F927" i="5" l="1"/>
  <c r="F927" i="4"/>
  <c r="E927" i="4"/>
  <c r="D927" i="4"/>
  <c r="H927" i="4"/>
  <c r="G927" i="4"/>
  <c r="A928" i="4" s="1"/>
  <c r="C927" i="4"/>
  <c r="B927" i="4"/>
  <c r="F928" i="5" l="1"/>
  <c r="G928" i="4"/>
  <c r="A929" i="4" s="1"/>
  <c r="E928" i="4"/>
  <c r="H928" i="4"/>
  <c r="F928" i="4"/>
  <c r="D928" i="4"/>
  <c r="C928" i="4"/>
  <c r="B928" i="4"/>
  <c r="F929" i="5" l="1"/>
  <c r="B929" i="4"/>
  <c r="H929" i="4"/>
  <c r="G929" i="4"/>
  <c r="A930" i="4" s="1"/>
  <c r="F929" i="4"/>
  <c r="D929" i="4"/>
  <c r="C929" i="4"/>
  <c r="E929" i="4"/>
  <c r="F930" i="5" l="1"/>
  <c r="F930" i="4"/>
  <c r="E930" i="4"/>
  <c r="D930" i="4"/>
  <c r="H930" i="4"/>
  <c r="G930" i="4"/>
  <c r="A931" i="4" s="1"/>
  <c r="C930" i="4"/>
  <c r="B930" i="4"/>
  <c r="F931" i="5" l="1"/>
  <c r="H931" i="4"/>
  <c r="B931" i="4"/>
  <c r="G931" i="4"/>
  <c r="A932" i="4" s="1"/>
  <c r="F931" i="4"/>
  <c r="E931" i="4"/>
  <c r="D931" i="4"/>
  <c r="C931" i="4"/>
  <c r="F932" i="5" l="1"/>
  <c r="E932" i="4"/>
  <c r="B932" i="4"/>
  <c r="F932" i="4"/>
  <c r="D932" i="4"/>
  <c r="C932" i="4"/>
  <c r="H932" i="4"/>
  <c r="G932" i="4"/>
  <c r="A933" i="4" s="1"/>
  <c r="F933" i="4" l="1"/>
  <c r="E933" i="4"/>
  <c r="D933" i="4"/>
  <c r="F933" i="5"/>
  <c r="G933" i="4"/>
  <c r="A934" i="4" s="1"/>
  <c r="C933" i="4"/>
  <c r="H933" i="4"/>
  <c r="B933" i="4"/>
  <c r="F934" i="5" l="1"/>
  <c r="H934" i="4"/>
  <c r="G934" i="4"/>
  <c r="A935" i="4" s="1"/>
  <c r="F934" i="4"/>
  <c r="E934" i="4"/>
  <c r="D934" i="4"/>
  <c r="C934" i="4"/>
  <c r="B934" i="4"/>
  <c r="F935" i="5" l="1"/>
  <c r="H935" i="4"/>
  <c r="E935" i="4"/>
  <c r="C935" i="4"/>
  <c r="B935" i="4"/>
  <c r="D935" i="4"/>
  <c r="F935" i="4"/>
  <c r="G935" i="4"/>
  <c r="A936" i="4" s="1"/>
  <c r="F936" i="5" l="1"/>
  <c r="F936" i="4"/>
  <c r="E936" i="4"/>
  <c r="D936" i="4"/>
  <c r="H936" i="4"/>
  <c r="G936" i="4"/>
  <c r="A937" i="4" s="1"/>
  <c r="C936" i="4"/>
  <c r="B936" i="4"/>
  <c r="F937" i="5" l="1"/>
  <c r="H937" i="4"/>
  <c r="C937" i="4"/>
  <c r="B937" i="4"/>
  <c r="G937" i="4"/>
  <c r="A938" i="4" s="1"/>
  <c r="F937" i="4"/>
  <c r="E937" i="4"/>
  <c r="D937" i="4"/>
  <c r="F938" i="5" l="1"/>
  <c r="H938" i="4"/>
  <c r="F938" i="4"/>
  <c r="G938" i="4"/>
  <c r="A939" i="4" s="1"/>
  <c r="E938" i="4"/>
  <c r="D938" i="4"/>
  <c r="C938" i="4"/>
  <c r="B938" i="4"/>
  <c r="F939" i="5" l="1"/>
  <c r="F939" i="4"/>
  <c r="E939" i="4"/>
  <c r="D939" i="4"/>
  <c r="C939" i="4"/>
  <c r="B939" i="4"/>
  <c r="H939" i="4"/>
  <c r="G939" i="4"/>
  <c r="A940" i="4" s="1"/>
  <c r="F940" i="5" l="1"/>
  <c r="H940" i="4"/>
  <c r="G940" i="4"/>
  <c r="A941" i="4" s="1"/>
  <c r="F940" i="4"/>
  <c r="E940" i="4"/>
  <c r="D940" i="4"/>
  <c r="C940" i="4"/>
  <c r="B940" i="4"/>
  <c r="F941" i="5" l="1"/>
  <c r="H941" i="4"/>
  <c r="G941" i="4"/>
  <c r="A942" i="4" s="1"/>
  <c r="F941" i="4"/>
  <c r="E941" i="4"/>
  <c r="D941" i="4"/>
  <c r="C941" i="4"/>
  <c r="B941" i="4"/>
  <c r="F942" i="5" l="1"/>
  <c r="F942" i="4"/>
  <c r="E942" i="4"/>
  <c r="D942" i="4"/>
  <c r="H942" i="4"/>
  <c r="G942" i="4"/>
  <c r="A943" i="4" s="1"/>
  <c r="C942" i="4"/>
  <c r="B942" i="4"/>
  <c r="F943" i="4" l="1"/>
  <c r="E943" i="4"/>
  <c r="D943" i="4"/>
  <c r="C943" i="4"/>
  <c r="B943" i="4"/>
  <c r="H943" i="4"/>
  <c r="G943" i="4"/>
  <c r="A944" i="4" s="1"/>
  <c r="F943" i="5"/>
  <c r="F944" i="5" l="1"/>
  <c r="H944" i="4"/>
  <c r="G944" i="4"/>
  <c r="A945" i="4" s="1"/>
  <c r="F944" i="4"/>
  <c r="D944" i="4"/>
  <c r="B944" i="4"/>
  <c r="C944" i="4"/>
  <c r="E944" i="4"/>
  <c r="F945" i="5" l="1"/>
  <c r="F945" i="4"/>
  <c r="E945" i="4"/>
  <c r="D945" i="4"/>
  <c r="H945" i="4"/>
  <c r="G945" i="4"/>
  <c r="A946" i="4" s="1"/>
  <c r="C945" i="4"/>
  <c r="B945" i="4"/>
  <c r="F946" i="5" l="1"/>
  <c r="D946" i="4"/>
  <c r="C946" i="4"/>
  <c r="B946" i="4"/>
  <c r="H946" i="4"/>
  <c r="G946" i="4"/>
  <c r="A947" i="4" s="1"/>
  <c r="E946" i="4"/>
  <c r="F946" i="4"/>
  <c r="F947" i="5" l="1"/>
  <c r="G947" i="4"/>
  <c r="A948" i="4" s="1"/>
  <c r="F947" i="4"/>
  <c r="E947" i="4"/>
  <c r="D947" i="4"/>
  <c r="C947" i="4"/>
  <c r="B947" i="4"/>
  <c r="H947" i="4"/>
  <c r="F948" i="5" l="1"/>
  <c r="F948" i="4"/>
  <c r="E948" i="4"/>
  <c r="D948" i="4"/>
  <c r="H948" i="4"/>
  <c r="G948" i="4"/>
  <c r="A949" i="4" s="1"/>
  <c r="C948" i="4"/>
  <c r="B948" i="4"/>
  <c r="F949" i="5" l="1"/>
  <c r="G949" i="4"/>
  <c r="A950" i="4" s="1"/>
  <c r="F949" i="4"/>
  <c r="E949" i="4"/>
  <c r="D949" i="4"/>
  <c r="C949" i="4"/>
  <c r="B949" i="4"/>
  <c r="H949" i="4"/>
  <c r="C950" i="4" l="1"/>
  <c r="B950" i="4"/>
  <c r="F950" i="5"/>
  <c r="F950" i="4"/>
  <c r="E950" i="4"/>
  <c r="H950" i="4"/>
  <c r="G950" i="4"/>
  <c r="A951" i="4" s="1"/>
  <c r="D950" i="4"/>
  <c r="F951" i="5" l="1"/>
  <c r="F951" i="4"/>
  <c r="E951" i="4"/>
  <c r="D951" i="4"/>
  <c r="H951" i="4"/>
  <c r="G951" i="4"/>
  <c r="A952" i="4" s="1"/>
  <c r="C951" i="4"/>
  <c r="B951" i="4"/>
  <c r="F952" i="5" l="1"/>
  <c r="H952" i="4"/>
  <c r="G952" i="4"/>
  <c r="A953" i="4" s="1"/>
  <c r="F952" i="4"/>
  <c r="E952" i="4"/>
  <c r="D952" i="4"/>
  <c r="C952" i="4"/>
  <c r="B952" i="4"/>
  <c r="F953" i="5" l="1"/>
  <c r="B953" i="4"/>
  <c r="C953" i="4"/>
  <c r="H953" i="4"/>
  <c r="G953" i="4"/>
  <c r="A954" i="4" s="1"/>
  <c r="F953" i="4"/>
  <c r="E953" i="4"/>
  <c r="D953" i="4"/>
  <c r="F954" i="5" l="1"/>
  <c r="F954" i="4"/>
  <c r="E954" i="4"/>
  <c r="D954" i="4"/>
  <c r="H954" i="4"/>
  <c r="G954" i="4"/>
  <c r="A955" i="4" s="1"/>
  <c r="C954" i="4"/>
  <c r="B954" i="4"/>
  <c r="H955" i="4" l="1"/>
  <c r="G955" i="4"/>
  <c r="A956" i="4" s="1"/>
  <c r="F955" i="5"/>
  <c r="F955" i="4"/>
  <c r="E955" i="4"/>
  <c r="D955" i="4"/>
  <c r="C955" i="4"/>
  <c r="B955" i="4"/>
  <c r="F956" i="5" l="1"/>
  <c r="E956" i="4"/>
  <c r="D956" i="4"/>
  <c r="C956" i="4"/>
  <c r="B956" i="4"/>
  <c r="H956" i="4"/>
  <c r="G956" i="4"/>
  <c r="A957" i="4" s="1"/>
  <c r="F956" i="4"/>
  <c r="F957" i="5" l="1"/>
  <c r="F957" i="4"/>
  <c r="E957" i="4"/>
  <c r="D957" i="4"/>
  <c r="H957" i="4"/>
  <c r="G957" i="4"/>
  <c r="A958" i="4" s="1"/>
  <c r="C957" i="4"/>
  <c r="B957" i="4"/>
  <c r="F958" i="5" l="1"/>
  <c r="D958" i="4"/>
  <c r="C958" i="4"/>
  <c r="B958" i="4"/>
  <c r="H958" i="4"/>
  <c r="F958" i="4"/>
  <c r="E958" i="4"/>
  <c r="G958" i="4"/>
  <c r="A959" i="4" s="1"/>
  <c r="F959" i="5" l="1"/>
  <c r="H959" i="4"/>
  <c r="G959" i="4"/>
  <c r="A960" i="4" s="1"/>
  <c r="F959" i="4"/>
  <c r="E959" i="4"/>
  <c r="D959" i="4"/>
  <c r="C959" i="4"/>
  <c r="B959" i="4"/>
  <c r="F960" i="4" l="1"/>
  <c r="E960" i="4"/>
  <c r="D960" i="4"/>
  <c r="F960" i="5"/>
  <c r="H960" i="4"/>
  <c r="G960" i="4"/>
  <c r="A961" i="4" s="1"/>
  <c r="C960" i="4"/>
  <c r="B960" i="4"/>
  <c r="F961" i="5" l="1"/>
  <c r="H961" i="4"/>
  <c r="G961" i="4"/>
  <c r="A962" i="4" s="1"/>
  <c r="F961" i="4"/>
  <c r="E961" i="4"/>
  <c r="D961" i="4"/>
  <c r="C961" i="4"/>
  <c r="B961" i="4"/>
  <c r="F962" i="5" l="1"/>
  <c r="H962" i="4"/>
  <c r="G962" i="4"/>
  <c r="A963" i="4" s="1"/>
  <c r="F962" i="4"/>
  <c r="E962" i="4"/>
  <c r="B962" i="4"/>
  <c r="D962" i="4"/>
  <c r="C962" i="4"/>
  <c r="F963" i="5" l="1"/>
  <c r="F963" i="4"/>
  <c r="E963" i="4"/>
  <c r="D963" i="4"/>
  <c r="C963" i="4"/>
  <c r="B963" i="4"/>
  <c r="H963" i="4"/>
  <c r="G963" i="4"/>
  <c r="A964" i="4" s="1"/>
  <c r="F964" i="5" l="1"/>
  <c r="C964" i="4"/>
  <c r="B964" i="4"/>
  <c r="H964" i="4"/>
  <c r="G964" i="4"/>
  <c r="A965" i="4" s="1"/>
  <c r="F964" i="4"/>
  <c r="E964" i="4"/>
  <c r="D964" i="4"/>
  <c r="F965" i="5" l="1"/>
  <c r="H965" i="4"/>
  <c r="G965" i="4"/>
  <c r="A966" i="4" s="1"/>
  <c r="F965" i="4"/>
  <c r="E965" i="4"/>
  <c r="C965" i="4"/>
  <c r="B965" i="4"/>
  <c r="D965" i="4"/>
  <c r="F966" i="4" l="1"/>
  <c r="E966" i="4"/>
  <c r="F966" i="5"/>
  <c r="D966" i="4"/>
  <c r="H966" i="4"/>
  <c r="G966" i="4"/>
  <c r="A967" i="4" s="1"/>
  <c r="C966" i="4"/>
  <c r="B966" i="4"/>
  <c r="G967" i="4" l="1"/>
  <c r="A968" i="4" s="1"/>
  <c r="F967" i="5"/>
  <c r="F967" i="4"/>
  <c r="E967" i="4"/>
  <c r="D967" i="4"/>
  <c r="C967" i="4"/>
  <c r="B967" i="4"/>
  <c r="H967" i="4"/>
  <c r="F968" i="5" l="1"/>
  <c r="H968" i="4"/>
  <c r="G968" i="4"/>
  <c r="A969" i="4" s="1"/>
  <c r="F968" i="4"/>
  <c r="E968" i="4"/>
  <c r="D968" i="4"/>
  <c r="C968" i="4"/>
  <c r="B968" i="4"/>
  <c r="G969" i="4" l="1"/>
  <c r="A970" i="4" s="1"/>
  <c r="F969" i="4"/>
  <c r="E969" i="4"/>
  <c r="F969" i="5"/>
  <c r="H969" i="4"/>
  <c r="D969" i="4"/>
  <c r="C969" i="4"/>
  <c r="B969" i="4"/>
  <c r="F970" i="5" l="1"/>
  <c r="G970" i="4"/>
  <c r="A971" i="4" s="1"/>
  <c r="E970" i="4"/>
  <c r="D970" i="4"/>
  <c r="C970" i="4"/>
  <c r="B970" i="4"/>
  <c r="H970" i="4"/>
  <c r="F970" i="4"/>
  <c r="F971" i="5" l="1"/>
  <c r="H971" i="4"/>
  <c r="G971" i="4"/>
  <c r="A972" i="4" s="1"/>
  <c r="F971" i="4"/>
  <c r="E971" i="4"/>
  <c r="D971" i="4"/>
  <c r="C971" i="4"/>
  <c r="B971" i="4"/>
  <c r="F972" i="5" l="1"/>
  <c r="H972" i="4"/>
  <c r="G972" i="4"/>
  <c r="A973" i="4" s="1"/>
  <c r="F972" i="4"/>
  <c r="B972" i="4"/>
  <c r="C972" i="4"/>
  <c r="D972" i="4"/>
  <c r="E972" i="4"/>
  <c r="G973" i="4" l="1"/>
  <c r="A974" i="4" s="1"/>
  <c r="F973" i="5"/>
  <c r="H973" i="4"/>
  <c r="F973" i="4"/>
  <c r="E973" i="4"/>
  <c r="D973" i="4"/>
  <c r="C973" i="4"/>
  <c r="B973" i="4"/>
  <c r="F974" i="5" l="1"/>
  <c r="B974" i="4"/>
  <c r="H974" i="4"/>
  <c r="G974" i="4"/>
  <c r="A975" i="4" s="1"/>
  <c r="F974" i="4"/>
  <c r="E974" i="4"/>
  <c r="D974" i="4"/>
  <c r="C974" i="4"/>
  <c r="F975" i="5" l="1"/>
  <c r="H975" i="4"/>
  <c r="G975" i="4"/>
  <c r="A976" i="4" s="1"/>
  <c r="F975" i="4"/>
  <c r="E975" i="4"/>
  <c r="D975" i="4"/>
  <c r="C975" i="4"/>
  <c r="B975" i="4"/>
  <c r="F976" i="5" l="1"/>
  <c r="G976" i="4"/>
  <c r="A977" i="4" s="1"/>
  <c r="H976" i="4"/>
  <c r="F976" i="4"/>
  <c r="E976" i="4"/>
  <c r="D976" i="4"/>
  <c r="C976" i="4"/>
  <c r="B976" i="4"/>
  <c r="F977" i="5" l="1"/>
  <c r="F977" i="4"/>
  <c r="E977" i="4"/>
  <c r="D977" i="4"/>
  <c r="C977" i="4"/>
  <c r="B977" i="4"/>
  <c r="H977" i="4"/>
  <c r="G977" i="4"/>
  <c r="A978" i="4" s="1"/>
  <c r="H978" i="4" l="1"/>
  <c r="D978" i="4"/>
  <c r="C978" i="4"/>
  <c r="B978" i="4"/>
  <c r="E978" i="4"/>
  <c r="F978" i="5"/>
  <c r="G978" i="4"/>
  <c r="A979" i="4" s="1"/>
  <c r="F978" i="4"/>
  <c r="G979" i="4" l="1"/>
  <c r="A980" i="4" s="1"/>
  <c r="F979" i="5"/>
  <c r="B979" i="4"/>
  <c r="F979" i="4"/>
  <c r="E979" i="4"/>
  <c r="H979" i="4"/>
  <c r="D979" i="4"/>
  <c r="C979" i="4"/>
  <c r="F980" i="5" l="1"/>
  <c r="H980" i="4"/>
  <c r="G980" i="4"/>
  <c r="A981" i="4" s="1"/>
  <c r="F980" i="4"/>
  <c r="E980" i="4"/>
  <c r="D980" i="4"/>
  <c r="C980" i="4"/>
  <c r="B980" i="4"/>
  <c r="F981" i="5" l="1"/>
  <c r="B981" i="4"/>
  <c r="H981" i="4"/>
  <c r="G981" i="4"/>
  <c r="A982" i="4" s="1"/>
  <c r="F981" i="4"/>
  <c r="E981" i="4"/>
  <c r="D981" i="4"/>
  <c r="C981" i="4"/>
  <c r="F982" i="5" l="1"/>
  <c r="G982" i="4"/>
  <c r="A983" i="4" s="1"/>
  <c r="C982" i="4"/>
  <c r="B982" i="4"/>
  <c r="F982" i="4"/>
  <c r="E982" i="4"/>
  <c r="D982" i="4"/>
  <c r="H982" i="4"/>
  <c r="F983" i="5" l="1"/>
  <c r="H983" i="4"/>
  <c r="G983" i="4"/>
  <c r="A984" i="4" s="1"/>
  <c r="F983" i="4"/>
  <c r="E983" i="4"/>
  <c r="D983" i="4"/>
  <c r="B983" i="4"/>
  <c r="C983" i="4"/>
  <c r="F984" i="4" l="1"/>
  <c r="E984" i="4"/>
  <c r="D984" i="4"/>
  <c r="C984" i="4"/>
  <c r="B984" i="4"/>
  <c r="H984" i="4"/>
  <c r="G984" i="4"/>
  <c r="A985" i="4" s="1"/>
  <c r="F984" i="5"/>
  <c r="F985" i="5" l="1"/>
  <c r="G985" i="4"/>
  <c r="A986" i="4" s="1"/>
  <c r="D985" i="4"/>
  <c r="C985" i="4"/>
  <c r="B985" i="4"/>
  <c r="H985" i="4"/>
  <c r="F985" i="4"/>
  <c r="E985" i="4"/>
  <c r="F986" i="5" l="1"/>
  <c r="H986" i="4"/>
  <c r="G986" i="4"/>
  <c r="A987" i="4" s="1"/>
  <c r="F986" i="4"/>
  <c r="E986" i="4"/>
  <c r="D986" i="4"/>
  <c r="B986" i="4"/>
  <c r="C986" i="4"/>
  <c r="F987" i="5" l="1"/>
  <c r="H987" i="4"/>
  <c r="G987" i="4"/>
  <c r="A988" i="4" s="1"/>
  <c r="F987" i="4"/>
  <c r="E987" i="4"/>
  <c r="D987" i="4"/>
  <c r="B987" i="4"/>
  <c r="C987" i="4"/>
  <c r="F988" i="5" l="1"/>
  <c r="G988" i="4"/>
  <c r="A989" i="4" s="1"/>
  <c r="E988" i="4"/>
  <c r="D988" i="4"/>
  <c r="C988" i="4"/>
  <c r="B988" i="4"/>
  <c r="F988" i="4"/>
  <c r="H988" i="4"/>
  <c r="F989" i="5" l="1"/>
  <c r="F989" i="4"/>
  <c r="E989" i="4"/>
  <c r="C989" i="4"/>
  <c r="B989" i="4"/>
  <c r="G989" i="4"/>
  <c r="A990" i="4" s="1"/>
  <c r="H989" i="4"/>
  <c r="D989" i="4"/>
  <c r="F990" i="5" l="1"/>
  <c r="H990" i="4"/>
  <c r="G990" i="4"/>
  <c r="A991" i="4" s="1"/>
  <c r="F990" i="4"/>
  <c r="E990" i="4"/>
  <c r="D990" i="4"/>
  <c r="C990" i="4"/>
  <c r="B990" i="4"/>
  <c r="G991" i="4" l="1"/>
  <c r="A992" i="4" s="1"/>
  <c r="F991" i="4"/>
  <c r="E991" i="4"/>
  <c r="D991" i="4"/>
  <c r="H991" i="4"/>
  <c r="C991" i="4"/>
  <c r="F991" i="5"/>
  <c r="B991" i="4"/>
  <c r="B992" i="4" l="1"/>
  <c r="F992" i="5"/>
  <c r="H992" i="4"/>
  <c r="G992" i="4"/>
  <c r="A993" i="4" s="1"/>
  <c r="F992" i="4"/>
  <c r="E992" i="4"/>
  <c r="D992" i="4"/>
  <c r="C992" i="4"/>
  <c r="F993" i="5" l="1"/>
  <c r="H993" i="4"/>
  <c r="G993" i="4"/>
  <c r="A994" i="4" s="1"/>
  <c r="F993" i="4"/>
  <c r="E993" i="4"/>
  <c r="D993" i="4"/>
  <c r="C993" i="4"/>
  <c r="B993" i="4"/>
  <c r="F994" i="5" l="1"/>
  <c r="G994" i="4"/>
  <c r="A995" i="4" s="1"/>
  <c r="H994" i="4"/>
  <c r="F994" i="4"/>
  <c r="E994" i="4"/>
  <c r="D994" i="4"/>
  <c r="C994" i="4"/>
  <c r="B994" i="4"/>
  <c r="F995" i="5" l="1"/>
  <c r="F995" i="4"/>
  <c r="E995" i="4"/>
  <c r="D995" i="4"/>
  <c r="C995" i="4"/>
  <c r="B995" i="4"/>
  <c r="H995" i="4"/>
  <c r="G995" i="4"/>
  <c r="A996" i="4" s="1"/>
  <c r="F996" i="5" l="1"/>
  <c r="H996" i="4"/>
  <c r="G996" i="4"/>
  <c r="A997" i="4" s="1"/>
  <c r="F996" i="4"/>
  <c r="E996" i="4"/>
  <c r="C996" i="4"/>
  <c r="B996" i="4"/>
  <c r="D996" i="4"/>
  <c r="G997" i="4" l="1"/>
  <c r="A998" i="4" s="1"/>
  <c r="F997" i="5"/>
  <c r="H997" i="4"/>
  <c r="F997" i="4"/>
  <c r="C997" i="4"/>
  <c r="B997" i="4"/>
  <c r="E997" i="4"/>
  <c r="D997" i="4"/>
  <c r="F998" i="5" l="1"/>
  <c r="H998" i="4"/>
  <c r="G998" i="4"/>
  <c r="A999" i="4" s="1"/>
  <c r="F998" i="4"/>
  <c r="E998" i="4"/>
  <c r="D998" i="4"/>
  <c r="C998" i="4"/>
  <c r="B998" i="4"/>
  <c r="F999" i="5" l="1"/>
  <c r="B999" i="4"/>
  <c r="F999" i="4"/>
  <c r="E999" i="4"/>
  <c r="D999" i="4"/>
  <c r="C999" i="4"/>
  <c r="H999" i="4"/>
  <c r="G999" i="4"/>
  <c r="A1000" i="4" s="1"/>
  <c r="F1000" i="5" l="1"/>
  <c r="G1000" i="4"/>
  <c r="A1001" i="4" s="1"/>
  <c r="H1000" i="4"/>
  <c r="F1000" i="4"/>
  <c r="E1000" i="4"/>
  <c r="D1000" i="4"/>
  <c r="C1000" i="4"/>
  <c r="B1000" i="4"/>
  <c r="F1001" i="5" l="1"/>
  <c r="B1001" i="4"/>
  <c r="H1001" i="4"/>
  <c r="G1001" i="4"/>
  <c r="A1002" i="4" s="1"/>
  <c r="F1001" i="4"/>
  <c r="E1001" i="4"/>
  <c r="D1001" i="4"/>
  <c r="C1001" i="4"/>
  <c r="F1002" i="5" l="1"/>
  <c r="F1002" i="4"/>
  <c r="E1002" i="4"/>
  <c r="D1002" i="4"/>
  <c r="C1002" i="4"/>
  <c r="B1002" i="4"/>
  <c r="H1002" i="4"/>
  <c r="G1002" i="4"/>
  <c r="A1003" i="4" s="1"/>
  <c r="G1003" i="4" l="1"/>
  <c r="A1004" i="4" s="1"/>
  <c r="H1003" i="4"/>
  <c r="F1003" i="4"/>
  <c r="E1003" i="4"/>
  <c r="D1003" i="4"/>
  <c r="C1003" i="4"/>
  <c r="B1003" i="4"/>
  <c r="F1003" i="5"/>
  <c r="F1004" i="5" l="1"/>
  <c r="C1004" i="4"/>
  <c r="B1004" i="4"/>
  <c r="H1004" i="4"/>
  <c r="G1004" i="4"/>
  <c r="A1005" i="4" s="1"/>
  <c r="F1004" i="4"/>
  <c r="E1004" i="4"/>
  <c r="D1004" i="4"/>
  <c r="F1005" i="5" l="1"/>
  <c r="H1005" i="4"/>
  <c r="G1005" i="4"/>
  <c r="A1006" i="4" s="1"/>
  <c r="F1005" i="4"/>
  <c r="E1005" i="4"/>
  <c r="D1005" i="4"/>
  <c r="C1005" i="4"/>
  <c r="B1005" i="4"/>
  <c r="F1006" i="5" l="1"/>
  <c r="G1006" i="4"/>
  <c r="A1007" i="4" s="1"/>
  <c r="B1006" i="4"/>
  <c r="H1006" i="4"/>
  <c r="F1006" i="4"/>
  <c r="C1006" i="4"/>
  <c r="E1006" i="4"/>
  <c r="D1006" i="4"/>
  <c r="F1007" i="5" l="1"/>
  <c r="D1007" i="4"/>
  <c r="C1007" i="4"/>
  <c r="B1007" i="4"/>
  <c r="H1007" i="4"/>
  <c r="G1007" i="4"/>
  <c r="A1008" i="4" s="1"/>
  <c r="F1007" i="4"/>
  <c r="E1007" i="4"/>
  <c r="F1008" i="5" l="1"/>
  <c r="H1008" i="4"/>
  <c r="C1008" i="4"/>
  <c r="B1008" i="4"/>
  <c r="G1008" i="4"/>
  <c r="A1009" i="4" s="1"/>
  <c r="F1008" i="4"/>
  <c r="D1008" i="4"/>
  <c r="E1008" i="4"/>
  <c r="G1009" i="4" l="1"/>
  <c r="A1010" i="4" s="1"/>
  <c r="F1009" i="5"/>
  <c r="F1009" i="4"/>
  <c r="E1009" i="4"/>
  <c r="D1009" i="4"/>
  <c r="C1009" i="4"/>
  <c r="B1009" i="4"/>
  <c r="H1009" i="4"/>
  <c r="F1010" i="5" l="1"/>
  <c r="E1010" i="4"/>
  <c r="D1010" i="4"/>
  <c r="C1010" i="4"/>
  <c r="H1010" i="4"/>
  <c r="G1010" i="4"/>
  <c r="A1011" i="4" s="1"/>
  <c r="F1010" i="4"/>
  <c r="B1010" i="4"/>
  <c r="F1011" i="5" l="1"/>
  <c r="H1011" i="4"/>
  <c r="G1011" i="4"/>
  <c r="A1012" i="4" s="1"/>
  <c r="F1011" i="4"/>
  <c r="E1011" i="4"/>
  <c r="D1011" i="4"/>
  <c r="C1011" i="4"/>
  <c r="B1011" i="4"/>
  <c r="F1012" i="5" l="1"/>
  <c r="G1012" i="4"/>
  <c r="A1013" i="4" s="1"/>
  <c r="H1012" i="4"/>
  <c r="F1012" i="4"/>
  <c r="E1012" i="4"/>
  <c r="D1012" i="4"/>
  <c r="C1012" i="4"/>
  <c r="B1012" i="4"/>
  <c r="F1013" i="5" l="1"/>
  <c r="F1013" i="4"/>
  <c r="E1013" i="4"/>
  <c r="D1013" i="4"/>
  <c r="C1013" i="4"/>
  <c r="B1013" i="4"/>
  <c r="H1013" i="4"/>
  <c r="G1013" i="4"/>
  <c r="A1014" i="4" s="1"/>
  <c r="F1014" i="5" l="1"/>
  <c r="C1014" i="4"/>
  <c r="B1014" i="4"/>
  <c r="H1014" i="4"/>
  <c r="G1014" i="4"/>
  <c r="A1015" i="4" s="1"/>
  <c r="E1014" i="4"/>
  <c r="D1014" i="4"/>
  <c r="F1014" i="4"/>
  <c r="F1015" i="5" l="1"/>
  <c r="G1015" i="4"/>
  <c r="A1016" i="4" s="1"/>
  <c r="H1015" i="4"/>
  <c r="F1015" i="4"/>
  <c r="D1015" i="4"/>
  <c r="C1015" i="4"/>
  <c r="B1015" i="4"/>
  <c r="E1015" i="4"/>
  <c r="G1016" i="4" l="1"/>
  <c r="A1017" i="4" s="1"/>
  <c r="F1016" i="4"/>
  <c r="E1016" i="4"/>
  <c r="H1016" i="4"/>
  <c r="D1016" i="4"/>
  <c r="F1016" i="5"/>
  <c r="C1016" i="4"/>
  <c r="B1016" i="4"/>
  <c r="F1017" i="5" l="1"/>
  <c r="B1017" i="4"/>
  <c r="H1017" i="4"/>
  <c r="G1017" i="4"/>
  <c r="A1018" i="4" s="1"/>
  <c r="F1017" i="4"/>
  <c r="E1017" i="4"/>
  <c r="D1017" i="4"/>
  <c r="C1017" i="4"/>
  <c r="F1018" i="5" l="1"/>
  <c r="G1018" i="4"/>
  <c r="A1019" i="4" s="1"/>
  <c r="H1018" i="4"/>
  <c r="D1018" i="4"/>
  <c r="C1018" i="4"/>
  <c r="B1018" i="4"/>
  <c r="F1018" i="4"/>
  <c r="E1018" i="4"/>
  <c r="H1019" i="4" l="1"/>
  <c r="G1019" i="4"/>
  <c r="A1020" i="4" s="1"/>
  <c r="F1019" i="5"/>
  <c r="F1019" i="4"/>
  <c r="E1019" i="4"/>
  <c r="D1019" i="4"/>
  <c r="C1019" i="4"/>
  <c r="B1019" i="4"/>
  <c r="F1020" i="5" l="1"/>
  <c r="F1020" i="4"/>
  <c r="E1020" i="4"/>
  <c r="D1020" i="4"/>
  <c r="C1020" i="4"/>
  <c r="B1020" i="4"/>
  <c r="H1020" i="4"/>
  <c r="G1020" i="4"/>
  <c r="A1021" i="4" s="1"/>
  <c r="G1021" i="4" l="1"/>
  <c r="A1022" i="4" s="1"/>
  <c r="F1021" i="5"/>
  <c r="H1021" i="4"/>
  <c r="F1021" i="4"/>
  <c r="E1021" i="4"/>
  <c r="D1021" i="4"/>
  <c r="C1021" i="4"/>
  <c r="B1021" i="4"/>
  <c r="F1022" i="5" l="1"/>
  <c r="H1022" i="4"/>
  <c r="G1022" i="4"/>
  <c r="A1023" i="4" s="1"/>
  <c r="E1022" i="4"/>
  <c r="D1022" i="4"/>
  <c r="C1022" i="4"/>
  <c r="B1022" i="4"/>
  <c r="F1022" i="4"/>
  <c r="F1023" i="5" l="1"/>
  <c r="H1023" i="4"/>
  <c r="G1023" i="4"/>
  <c r="A1024" i="4" s="1"/>
  <c r="F1023" i="4"/>
  <c r="E1023" i="4"/>
  <c r="D1023" i="4"/>
  <c r="C1023" i="4"/>
  <c r="B1023" i="4"/>
  <c r="F1024" i="5" l="1"/>
  <c r="G1024" i="4"/>
  <c r="A1025" i="4" s="1"/>
  <c r="B1024" i="4"/>
  <c r="H1024" i="4"/>
  <c r="F1024" i="4"/>
  <c r="E1024" i="4"/>
  <c r="D1024" i="4"/>
  <c r="C1024" i="4"/>
  <c r="F1025" i="5" l="1"/>
  <c r="H1025" i="4"/>
  <c r="G1025" i="4"/>
  <c r="A1026" i="4" s="1"/>
  <c r="F1025" i="4"/>
  <c r="E1025" i="4"/>
  <c r="C1025" i="4"/>
  <c r="B1025" i="4"/>
  <c r="D1025" i="4"/>
  <c r="F1026" i="5" l="1"/>
  <c r="B1026" i="4"/>
  <c r="H1026" i="4"/>
  <c r="G1026" i="4"/>
  <c r="A1027" i="4" s="1"/>
  <c r="F1026" i="4"/>
  <c r="E1026" i="4"/>
  <c r="D1026" i="4"/>
  <c r="C1026" i="4"/>
  <c r="G1027" i="4" l="1"/>
  <c r="A1028" i="4" s="1"/>
  <c r="F1027" i="4"/>
  <c r="E1027" i="4"/>
  <c r="D1027" i="4"/>
  <c r="C1027" i="4"/>
  <c r="B1027" i="4"/>
  <c r="H1027" i="4"/>
  <c r="F1027" i="5"/>
  <c r="C1028" i="4" l="1"/>
  <c r="B1028" i="4"/>
  <c r="F1028" i="5"/>
  <c r="E1028" i="4"/>
  <c r="D1028" i="4"/>
  <c r="G1028" i="4"/>
  <c r="A1029" i="4" s="1"/>
  <c r="F1028" i="4"/>
  <c r="H1028" i="4"/>
  <c r="C1029" i="4" l="1"/>
  <c r="B1029" i="4"/>
  <c r="F1029" i="5"/>
  <c r="G1029" i="4"/>
  <c r="A1030" i="4" s="1"/>
  <c r="F1029" i="4"/>
  <c r="E1029" i="4"/>
  <c r="D1029" i="4"/>
  <c r="H1029" i="4"/>
  <c r="F1030" i="5" l="1"/>
  <c r="G1030" i="4"/>
  <c r="A1031" i="4" s="1"/>
  <c r="H1030" i="4"/>
  <c r="F1030" i="4"/>
  <c r="E1030" i="4"/>
  <c r="D1030" i="4"/>
  <c r="B1030" i="4"/>
  <c r="C1030" i="4"/>
  <c r="F1031" i="5" l="1"/>
  <c r="C1031" i="4"/>
  <c r="B1031" i="4"/>
  <c r="H1031" i="4"/>
  <c r="G1031" i="4"/>
  <c r="A1032" i="4" s="1"/>
  <c r="F1031" i="4"/>
  <c r="E1031" i="4"/>
  <c r="D1031" i="4"/>
  <c r="F1032" i="5" l="1"/>
  <c r="D1032" i="4"/>
  <c r="C1032" i="4"/>
  <c r="B1032" i="4"/>
  <c r="H1032" i="4"/>
  <c r="G1032" i="4"/>
  <c r="A1033" i="4" s="1"/>
  <c r="F1032" i="4"/>
  <c r="E1032" i="4"/>
  <c r="F1033" i="5" l="1"/>
  <c r="G1033" i="4"/>
  <c r="A1034" i="4" s="1"/>
  <c r="H1033" i="4"/>
  <c r="F1033" i="4"/>
  <c r="E1033" i="4"/>
  <c r="D1033" i="4"/>
  <c r="B1033" i="4"/>
  <c r="C1033" i="4"/>
  <c r="F1034" i="5" l="1"/>
  <c r="G1034" i="4"/>
  <c r="A1035" i="4" s="1"/>
  <c r="F1034" i="4"/>
  <c r="E1034" i="4"/>
  <c r="D1034" i="4"/>
  <c r="C1034" i="4"/>
  <c r="B1034" i="4"/>
  <c r="H1034" i="4"/>
  <c r="F1035" i="5" l="1"/>
  <c r="E1035" i="4"/>
  <c r="D1035" i="4"/>
  <c r="C1035" i="4"/>
  <c r="B1035" i="4"/>
  <c r="H1035" i="4"/>
  <c r="G1035" i="4"/>
  <c r="A1036" i="4" s="1"/>
  <c r="F1035" i="4"/>
  <c r="G1036" i="4" l="1"/>
  <c r="A1037" i="4" s="1"/>
  <c r="H1036" i="4"/>
  <c r="F1036" i="4"/>
  <c r="E1036" i="4"/>
  <c r="C1036" i="4"/>
  <c r="B1036" i="4"/>
  <c r="F1036" i="5"/>
  <c r="D1036" i="4"/>
  <c r="F1037" i="5" l="1"/>
  <c r="H1037" i="4"/>
  <c r="G1037" i="4"/>
  <c r="A1038" i="4" s="1"/>
  <c r="F1037" i="4"/>
  <c r="E1037" i="4"/>
  <c r="D1037" i="4"/>
  <c r="C1037" i="4"/>
  <c r="B1037" i="4"/>
  <c r="F1038" i="5" l="1"/>
  <c r="F1038" i="4"/>
  <c r="E1038" i="4"/>
  <c r="D1038" i="4"/>
  <c r="C1038" i="4"/>
  <c r="B1038" i="4"/>
  <c r="G1038" i="4"/>
  <c r="A1039" i="4" s="1"/>
  <c r="H1038" i="4"/>
  <c r="F1039" i="5" l="1"/>
  <c r="G1039" i="4"/>
  <c r="A1040" i="4" s="1"/>
  <c r="H1039" i="4"/>
  <c r="F1039" i="4"/>
  <c r="E1039" i="4"/>
  <c r="D1039" i="4"/>
  <c r="C1039" i="4"/>
  <c r="B1039" i="4"/>
  <c r="F1040" i="5" l="1"/>
  <c r="H1040" i="4"/>
  <c r="G1040" i="4"/>
  <c r="A1041" i="4" s="1"/>
  <c r="F1040" i="4"/>
  <c r="E1040" i="4"/>
  <c r="D1040" i="4"/>
  <c r="C1040" i="4"/>
  <c r="B1040" i="4"/>
  <c r="F1041" i="5" l="1"/>
  <c r="G1041" i="4"/>
  <c r="A1042" i="4" s="1"/>
  <c r="F1041" i="4"/>
  <c r="E1041" i="4"/>
  <c r="H1041" i="4"/>
  <c r="D1041" i="4"/>
  <c r="C1041" i="4"/>
  <c r="B1041" i="4"/>
  <c r="F1042" i="5" l="1"/>
  <c r="G1042" i="4"/>
  <c r="A1043" i="4" s="1"/>
  <c r="B1042" i="4"/>
  <c r="H1042" i="4"/>
  <c r="F1042" i="4"/>
  <c r="E1042" i="4"/>
  <c r="D1042" i="4"/>
  <c r="C1042" i="4"/>
  <c r="F1043" i="5" l="1"/>
  <c r="C1043" i="4"/>
  <c r="B1043" i="4"/>
  <c r="E1043" i="4"/>
  <c r="H1043" i="4"/>
  <c r="G1043" i="4"/>
  <c r="A1044" i="4" s="1"/>
  <c r="F1043" i="4"/>
  <c r="D1043" i="4"/>
  <c r="F1044" i="5" l="1"/>
  <c r="H1044" i="4"/>
  <c r="G1044" i="4"/>
  <c r="A1045" i="4" s="1"/>
  <c r="F1044" i="4"/>
  <c r="E1044" i="4"/>
  <c r="D1044" i="4"/>
  <c r="C1044" i="4"/>
  <c r="B1044" i="4"/>
  <c r="F1045" i="5" l="1"/>
  <c r="G1045" i="4"/>
  <c r="A1046" i="4" s="1"/>
  <c r="F1045" i="4"/>
  <c r="E1045" i="4"/>
  <c r="D1045" i="4"/>
  <c r="C1045" i="4"/>
  <c r="B1045" i="4"/>
  <c r="H1045" i="4"/>
  <c r="F1046" i="5" l="1"/>
  <c r="H1046" i="4"/>
  <c r="G1046" i="4"/>
  <c r="A1047" i="4" s="1"/>
  <c r="E1046" i="4"/>
  <c r="D1046" i="4"/>
  <c r="B1046" i="4"/>
  <c r="F1046" i="4"/>
  <c r="C1046" i="4"/>
  <c r="F1047" i="5" l="1"/>
  <c r="H1047" i="4"/>
  <c r="G1047" i="4"/>
  <c r="A1048" i="4" s="1"/>
  <c r="F1047" i="4"/>
  <c r="E1047" i="4"/>
  <c r="D1047" i="4"/>
  <c r="C1047" i="4"/>
  <c r="B1047" i="4"/>
  <c r="G1048" i="4" l="1"/>
  <c r="A1049" i="4" s="1"/>
  <c r="F1048" i="5"/>
  <c r="H1048" i="4"/>
  <c r="F1048" i="4"/>
  <c r="E1048" i="4"/>
  <c r="D1048" i="4"/>
  <c r="C1048" i="4"/>
  <c r="B1048" i="4"/>
  <c r="F1049" i="5" l="1"/>
  <c r="C1049" i="4"/>
  <c r="B1049" i="4"/>
  <c r="G1049" i="4"/>
  <c r="A1050" i="4" s="1"/>
  <c r="F1049" i="4"/>
  <c r="E1049" i="4"/>
  <c r="D1049" i="4"/>
  <c r="H1049" i="4"/>
  <c r="H1050" i="4" l="1"/>
  <c r="F1050" i="5"/>
  <c r="G1050" i="4"/>
  <c r="A1051" i="4" s="1"/>
  <c r="F1050" i="4"/>
  <c r="D1050" i="4"/>
  <c r="C1050" i="4"/>
  <c r="B1050" i="4"/>
  <c r="E1050" i="4"/>
  <c r="F1051" i="5" l="1"/>
  <c r="G1051" i="4"/>
  <c r="A1052" i="4" s="1"/>
  <c r="B1051" i="4"/>
  <c r="H1051" i="4"/>
  <c r="F1051" i="4"/>
  <c r="E1051" i="4"/>
  <c r="D1051" i="4"/>
  <c r="C1051" i="4"/>
  <c r="F1052" i="5" l="1"/>
  <c r="G1052" i="4"/>
  <c r="A1053" i="4" s="1"/>
  <c r="F1052" i="4"/>
  <c r="E1052" i="4"/>
  <c r="D1052" i="4"/>
  <c r="C1052" i="4"/>
  <c r="B1052" i="4"/>
  <c r="H1052" i="4"/>
  <c r="D1053" i="4" l="1"/>
  <c r="C1053" i="4"/>
  <c r="B1053" i="4"/>
  <c r="F1053" i="5"/>
  <c r="G1053" i="4"/>
  <c r="A1054" i="4" s="1"/>
  <c r="F1053" i="4"/>
  <c r="E1053" i="4"/>
  <c r="H1053" i="4"/>
  <c r="F1054" i="5" l="1"/>
  <c r="G1054" i="4"/>
  <c r="A1055" i="4" s="1"/>
  <c r="C1054" i="4"/>
  <c r="B1054" i="4"/>
  <c r="H1054" i="4"/>
  <c r="F1054" i="4"/>
  <c r="E1054" i="4"/>
  <c r="D1054" i="4"/>
  <c r="F1055" i="5" l="1"/>
  <c r="H1055" i="4"/>
  <c r="G1055" i="4"/>
  <c r="A1056" i="4" s="1"/>
  <c r="F1055" i="4"/>
  <c r="E1055" i="4"/>
  <c r="D1055" i="4"/>
  <c r="C1055" i="4"/>
  <c r="B1055" i="4"/>
  <c r="F1056" i="5" l="1"/>
  <c r="C1056" i="4"/>
  <c r="B1056" i="4"/>
  <c r="D1056" i="4"/>
  <c r="G1056" i="4"/>
  <c r="A1057" i="4" s="1"/>
  <c r="F1056" i="4"/>
  <c r="E1056" i="4"/>
  <c r="H1056" i="4"/>
  <c r="G1057" i="4" l="1"/>
  <c r="A1058" i="4" s="1"/>
  <c r="F1057" i="5"/>
  <c r="D1057" i="4"/>
  <c r="C1057" i="4"/>
  <c r="B1057" i="4"/>
  <c r="H1057" i="4"/>
  <c r="F1057" i="4"/>
  <c r="E1057" i="4"/>
  <c r="F1058" i="5" l="1"/>
  <c r="C1058" i="4"/>
  <c r="B1058" i="4"/>
  <c r="E1058" i="4"/>
  <c r="D1058" i="4"/>
  <c r="H1058" i="4"/>
  <c r="F1058" i="4"/>
  <c r="G1058" i="4"/>
  <c r="A1059" i="4" s="1"/>
  <c r="F1059" i="5" l="1"/>
  <c r="G1059" i="4"/>
  <c r="A1060" i="4" s="1"/>
  <c r="F1059" i="4"/>
  <c r="E1059" i="4"/>
  <c r="D1059" i="4"/>
  <c r="C1059" i="4"/>
  <c r="B1059" i="4"/>
  <c r="H1059" i="4"/>
  <c r="F1060" i="5" l="1"/>
  <c r="G1060" i="4"/>
  <c r="A1061" i="4" s="1"/>
  <c r="E1060" i="4"/>
  <c r="D1060" i="4"/>
  <c r="C1060" i="4"/>
  <c r="H1060" i="4"/>
  <c r="F1060" i="4"/>
  <c r="B1060" i="4"/>
  <c r="F1061" i="5" l="1"/>
  <c r="H1061" i="4"/>
  <c r="G1061" i="4"/>
  <c r="A1062" i="4" s="1"/>
  <c r="F1061" i="4"/>
  <c r="E1061" i="4"/>
  <c r="D1061" i="4"/>
  <c r="B1061" i="4"/>
  <c r="C1061" i="4"/>
  <c r="F1062" i="5" l="1"/>
  <c r="H1062" i="4"/>
  <c r="G1062" i="4"/>
  <c r="A1063" i="4" s="1"/>
  <c r="F1062" i="4"/>
  <c r="E1062" i="4"/>
  <c r="D1062" i="4"/>
  <c r="C1062" i="4"/>
  <c r="B1062" i="4"/>
  <c r="F1063" i="5" l="1"/>
  <c r="G1063" i="4"/>
  <c r="A1064" i="4" s="1"/>
  <c r="F1063" i="4"/>
  <c r="E1063" i="4"/>
  <c r="D1063" i="4"/>
  <c r="C1063" i="4"/>
  <c r="B1063" i="4"/>
  <c r="H1063" i="4"/>
  <c r="F1064" i="5" l="1"/>
  <c r="D1064" i="4"/>
  <c r="C1064" i="4"/>
  <c r="B1064" i="4"/>
  <c r="H1064" i="4"/>
  <c r="G1064" i="4"/>
  <c r="A1065" i="4" s="1"/>
  <c r="F1064" i="4"/>
  <c r="E1064" i="4"/>
  <c r="F1065" i="5" l="1"/>
  <c r="H1065" i="4"/>
  <c r="F1065" i="4"/>
  <c r="E1065" i="4"/>
  <c r="D1065" i="4"/>
  <c r="C1065" i="4"/>
  <c r="B1065" i="4"/>
  <c r="G1065" i="4"/>
  <c r="A1066" i="4" s="1"/>
  <c r="F1066" i="5" l="1"/>
  <c r="G1066" i="4"/>
  <c r="A1067" i="4" s="1"/>
  <c r="H1066" i="4"/>
  <c r="F1066" i="4"/>
  <c r="E1066" i="4"/>
  <c r="D1066" i="4"/>
  <c r="C1066" i="4"/>
  <c r="B1066" i="4"/>
  <c r="F1067" i="5" l="1"/>
  <c r="C1067" i="4"/>
  <c r="B1067" i="4"/>
  <c r="H1067" i="4"/>
  <c r="G1067" i="4"/>
  <c r="A1068" i="4" s="1"/>
  <c r="F1067" i="4"/>
  <c r="D1067" i="4"/>
  <c r="E1067" i="4"/>
  <c r="F1068" i="5" l="1"/>
  <c r="D1068" i="4"/>
  <c r="C1068" i="4"/>
  <c r="B1068" i="4"/>
  <c r="H1068" i="4"/>
  <c r="G1068" i="4"/>
  <c r="A1069" i="4" s="1"/>
  <c r="F1068" i="4"/>
  <c r="E1068" i="4"/>
  <c r="G1069" i="4" l="1"/>
  <c r="A1070" i="4" s="1"/>
  <c r="H1069" i="4"/>
  <c r="F1069" i="4"/>
  <c r="E1069" i="4"/>
  <c r="F1069" i="5"/>
  <c r="D1069" i="4"/>
  <c r="C1069" i="4"/>
  <c r="B1069" i="4"/>
  <c r="F1070" i="5" l="1"/>
  <c r="G1070" i="4"/>
  <c r="A1071" i="4" s="1"/>
  <c r="F1070" i="4"/>
  <c r="E1070" i="4"/>
  <c r="D1070" i="4"/>
  <c r="C1070" i="4"/>
  <c r="B1070" i="4"/>
  <c r="H1070" i="4"/>
  <c r="F1071" i="5" l="1"/>
  <c r="B1071" i="4"/>
  <c r="H1071" i="4"/>
  <c r="F1071" i="4"/>
  <c r="E1071" i="4"/>
  <c r="D1071" i="4"/>
  <c r="C1071" i="4"/>
  <c r="G1071" i="4"/>
  <c r="A1072" i="4" s="1"/>
  <c r="F1072" i="5" l="1"/>
  <c r="G1072" i="4"/>
  <c r="A1073" i="4" s="1"/>
  <c r="H1072" i="4"/>
  <c r="F1072" i="4"/>
  <c r="E1072" i="4"/>
  <c r="D1072" i="4"/>
  <c r="C1072" i="4"/>
  <c r="B1072" i="4"/>
  <c r="F1073" i="5" l="1"/>
  <c r="B1073" i="4"/>
  <c r="H1073" i="4"/>
  <c r="G1073" i="4"/>
  <c r="A1074" i="4" s="1"/>
  <c r="F1073" i="4"/>
  <c r="E1073" i="4"/>
  <c r="C1073" i="4"/>
  <c r="D1073" i="4"/>
  <c r="F1074" i="5" l="1"/>
  <c r="C1074" i="4"/>
  <c r="B1074" i="4"/>
  <c r="H1074" i="4"/>
  <c r="E1074" i="4"/>
  <c r="F1074" i="4"/>
  <c r="G1074" i="4"/>
  <c r="A1075" i="4" s="1"/>
  <c r="D1074" i="4"/>
  <c r="F1075" i="5" l="1"/>
  <c r="G1075" i="4"/>
  <c r="A1076" i="4" s="1"/>
  <c r="H1075" i="4"/>
  <c r="F1075" i="4"/>
  <c r="E1075" i="4"/>
  <c r="D1075" i="4"/>
  <c r="C1075" i="4"/>
  <c r="B1075" i="4"/>
  <c r="F1076" i="5" l="1"/>
  <c r="C1076" i="4"/>
  <c r="B1076" i="4"/>
  <c r="H1076" i="4"/>
  <c r="G1076" i="4"/>
  <c r="A1077" i="4" s="1"/>
  <c r="F1076" i="4"/>
  <c r="E1076" i="4"/>
  <c r="D1076" i="4"/>
  <c r="F1077" i="5" l="1"/>
  <c r="G1077" i="4"/>
  <c r="A1078" i="4" s="1"/>
  <c r="F1077" i="4"/>
  <c r="E1077" i="4"/>
  <c r="D1077" i="4"/>
  <c r="C1077" i="4"/>
  <c r="B1077" i="4"/>
  <c r="H1077" i="4"/>
  <c r="G1078" i="4" l="1"/>
  <c r="A1079" i="4" s="1"/>
  <c r="F1078" i="5"/>
  <c r="E1078" i="4"/>
  <c r="D1078" i="4"/>
  <c r="C1078" i="4"/>
  <c r="B1078" i="4"/>
  <c r="H1078" i="4"/>
  <c r="F1078" i="4"/>
  <c r="F1079" i="5" l="1"/>
  <c r="D1079" i="4"/>
  <c r="C1079" i="4"/>
  <c r="B1079" i="4"/>
  <c r="G1079" i="4"/>
  <c r="A1080" i="4" s="1"/>
  <c r="H1079" i="4"/>
  <c r="F1079" i="4"/>
  <c r="E1079" i="4"/>
  <c r="F1080" i="5" l="1"/>
  <c r="H1080" i="4"/>
  <c r="G1080" i="4"/>
  <c r="A1081" i="4" s="1"/>
  <c r="F1080" i="4"/>
  <c r="E1080" i="4"/>
  <c r="D1080" i="4"/>
  <c r="C1080" i="4"/>
  <c r="B1080" i="4"/>
  <c r="F1081" i="5" l="1"/>
  <c r="G1081" i="4"/>
  <c r="A1082" i="4" s="1"/>
  <c r="C1081" i="4"/>
  <c r="B1081" i="4"/>
  <c r="H1081" i="4"/>
  <c r="F1081" i="4"/>
  <c r="E1081" i="4"/>
  <c r="D1081" i="4"/>
  <c r="F1082" i="5" l="1"/>
  <c r="E1082" i="4"/>
  <c r="D1082" i="4"/>
  <c r="C1082" i="4"/>
  <c r="H1082" i="4"/>
  <c r="G1082" i="4"/>
  <c r="A1083" i="4" s="1"/>
  <c r="F1082" i="4"/>
  <c r="B1082" i="4"/>
  <c r="F1083" i="5" l="1"/>
  <c r="D1083" i="4"/>
  <c r="C1083" i="4"/>
  <c r="B1083" i="4"/>
  <c r="H1083" i="4"/>
  <c r="G1083" i="4"/>
  <c r="A1084" i="4" s="1"/>
  <c r="F1083" i="4"/>
  <c r="E1083" i="4"/>
  <c r="G1084" i="4" l="1"/>
  <c r="A1085" i="4" s="1"/>
  <c r="F1084" i="5"/>
  <c r="H1084" i="4"/>
  <c r="F1084" i="4"/>
  <c r="E1084" i="4"/>
  <c r="D1084" i="4"/>
  <c r="C1084" i="4"/>
  <c r="B1084" i="4"/>
  <c r="F1085" i="5" l="1"/>
  <c r="F1085" i="4"/>
  <c r="E1085" i="4"/>
  <c r="D1085" i="4"/>
  <c r="C1085" i="4"/>
  <c r="B1085" i="4"/>
  <c r="H1085" i="4"/>
  <c r="G1085" i="4"/>
  <c r="A1086" i="4" s="1"/>
  <c r="F1086" i="5" l="1"/>
  <c r="H1086" i="4"/>
  <c r="G1086" i="4"/>
  <c r="E1086" i="4"/>
  <c r="B9" i="1" s="1"/>
  <c r="B10" i="1" s="1"/>
  <c r="D1086" i="4"/>
  <c r="C1086" i="4"/>
  <c r="B1086" i="4"/>
  <c r="F1086" i="4"/>
  <c r="B13" i="1"/>
  <c r="B11" i="1" s="1"/>
  <c r="B12" i="1" s="1"/>
</calcChain>
</file>

<file path=xl/sharedStrings.xml><?xml version="1.0" encoding="utf-8"?>
<sst xmlns="http://schemas.openxmlformats.org/spreadsheetml/2006/main" count="366" uniqueCount="62">
  <si>
    <t>Offset Account Savings Planner</t>
  </si>
  <si>
    <t>Monthly loan payment</t>
  </si>
  <si>
    <t>Interest without offset</t>
  </si>
  <si>
    <t>Interest with offset</t>
  </si>
  <si>
    <t>Interest saved</t>
  </si>
  <si>
    <t>Months saved</t>
  </si>
  <si>
    <t>Years saved</t>
  </si>
  <si>
    <t>Payoff months</t>
  </si>
  <si>
    <t>Effective opening balance</t>
  </si>
  <si>
    <t>Display-frequency budget</t>
  </si>
  <si>
    <t>Offset repayment frequency changes the budget display only; the projection is monthly, matching Calcy’s offset engine. Full starting offset assumes settlement using those funds.</t>
  </si>
  <si>
    <t>Reviewed 17 October 2026. AUD. No fees, taxes, rate changes or missed repayments. General information, not personal financial advice. No macros, external workbook links or tracking.</t>
  </si>
  <si>
    <t>Mortgage Inputs</t>
  </si>
  <si>
    <t>Loan balance (AUD)</t>
  </si>
  <si>
    <t>Editable input. From $0 to $100,000,000.</t>
  </si>
  <si>
    <t>Annual interest rate</t>
  </si>
  <si>
    <t>Enter a percentage, for example 6.39%. Constant illustrative rate; not a current lender offer.</t>
  </si>
  <si>
    <t>Term (whole years)</t>
  </si>
  <si>
    <t>1–40 whole years. Principal and interest only.</t>
  </si>
  <si>
    <t>Projection start date</t>
  </si>
  <si>
    <t>First repayment is one period after this date. Dates are estimates.</t>
  </si>
  <si>
    <t>Repayment frequency</t>
  </si>
  <si>
    <t>monthly</t>
  </si>
  <si>
    <t>Budget-display frequency only. Offset simulation always uses the canonical monthly repayment.</t>
  </si>
  <si>
    <t>Inputs valid</t>
  </si>
  <si>
    <t>Periods per year</t>
  </si>
  <si>
    <t>Rate per period</t>
  </si>
  <si>
    <t>Scheduled periods</t>
  </si>
  <si>
    <t>Scheduled payment</t>
  </si>
  <si>
    <t>Green-shaded cells are editable. White cells contain protected formulas. Blank, text, negative or out-of-range required inputs make outputs unavailable. Zero loan and zero interest are supported.</t>
  </si>
  <si>
    <t>Model sources: Calcy mortgageEngine.ts / extraRepayments.ts / offset.ts (release 66c4b53). Overview: https://calcy.com.au/methodology</t>
  </si>
  <si>
    <t>Offset Inputs</t>
  </si>
  <si>
    <t>Starting offset (AUD)</t>
  </si>
  <si>
    <t>Illustrative 100% linked offset. No withdrawals or fees.</t>
  </si>
  <si>
    <t>Monthly contribution (AUD)</t>
  </si>
  <si>
    <t>Added after each monthly repayment. The loan payment comes from outside the offset.</t>
  </si>
  <si>
    <t>Full-offset boundary: matching Calcy’s engine, if the starting offset already covers the loan, the model assumes those funds settle the loan in month one. This requires moving the funds; an offset account alone does not cancel a mortgage.</t>
  </si>
  <si>
    <t>Monthly Projection</t>
  </si>
  <si>
    <t>Month</t>
  </si>
  <si>
    <t>Payment date</t>
  </si>
  <si>
    <t>Opening loan</t>
  </si>
  <si>
    <t>Offset opening</t>
  </si>
  <si>
    <t>Interest</t>
  </si>
  <si>
    <t>Principal</t>
  </si>
  <si>
    <t>Closing loan</t>
  </si>
  <si>
    <t>Offset closing</t>
  </si>
  <si>
    <t>Comparison</t>
  </si>
  <si>
    <t>Baseline opening</t>
  </si>
  <si>
    <t>Baseline closing</t>
  </si>
  <si>
    <t>Charts</t>
  </si>
  <si>
    <t>Illustrative monthly estimate, not a lender statement. Daily balances, withdrawals, partial offsets, fees, changing rates and lender day-count rules can change savings.</t>
  </si>
  <si>
    <t>Loan year</t>
  </si>
  <si>
    <t>Without offset</t>
  </si>
  <si>
    <t>With offset</t>
  </si>
  <si>
    <t>Instructions</t>
  </si>
  <si>
    <t>1. Save a personal copy. Open the inputs sheet and change the green-shaded cells. Enter rates as percentages. Choose monthly, fortnightly or weekly.</t>
  </si>
  <si>
    <t>2. Read Dashboard and the detailed schedule. Formulas are protected against accidental edits; input cells remain editable. Workbook protection is not encryption.</t>
  </si>
  <si>
    <t>3. Rates remain constant. Interest accrues each model period before repayment. Values use full precision; display rounding does not change the calculation. Dates are estimates, not contractual deadlines.</t>
  </si>
  <si>
    <t>100% offset model: contributions arrive after monthly interest and repayment. No withdrawals or account costs. Starting offset at/above the loan assumes using it to settle immediately in month one; merely holding cash does not close the loan.</t>
  </si>
  <si>
    <t>Print Dashboard or Charts for a compact overview. Print Entire Workbook for the schedules too. Annual Summary groups loan years, not financial years.</t>
  </si>
  <si>
    <t>Authoritative context: https://moneysmart.gov.au/home-loans/pay-off-your-mortgage-faster and https://moneysmart.gov.au/home-loans/mortgage-offset-accounts. Calculation methodology: https://calcy.com.au/methodology</t>
  </si>
  <si>
    <t>Check lender repayment limits, break costs, offset eligibility, fees and actual statements before acting. Keep a copy of your assumptions. Contact https://calcy.com.au/contact to report a calculation issue.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</si>
</sst>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\(&quot;$&quot;#,##0.00\);&quot;$&quot;0.00"/>
    <numFmt numFmtId="165" formatCode="d\ mmm\ yyyy"/>
  </numFmts>
  <fonts count="7">
    <font>
      <sz val="11"/>
      <name val="Carlito"/>
    </font>
    <font>
      <sz val="10"/>
      <color rgb="FF17201B"/>
      <name val="Arial"/>
    </font>
    <font>
      <b/>
      <sz val="14"/>
      <color rgb="FFFFFFFF"/>
      <name val="Arial"/>
    </font>
    <font>
      <b/>
      <sz val="10"/>
      <color rgb="FF2D6A4F"/>
      <name val="Arial"/>
    </font>
    <font>
      <sz val="10"/>
      <color rgb="FF5F6D65"/>
      <name val="Arial"/>
    </font>
    <font>
      <b/>
      <sz val="10"/>
      <color rgb="FFFFFFFF"/>
      <name val="Arial"/>
    </font>
    <font>
      <b/>
      <sz val="12"/>
      <color rgb="FF2D6A4F"/>
      <name val="Arial"/>
    </font>
  </fonts>
  <fills count="4">
    <fill>
      <patternFill patternType="none"/>
    </fill>
    <fill>
      <patternFill patternType="gray125"/>
    </fill>
    <fill>
      <patternFill patternType="solid">
        <fgColor rgb="FF2D6A4F"/>
      </patternFill>
    </fill>
    <fill>
      <patternFill patternType="solid">
        <fgColor rgb="FFEAF4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vertical="center" wrapText="1"/>
    </xf>
    <xf numFmtId="165" fontId="1" fillId="0" borderId="0" xfId="0" applyNumberFormat="1" applyFont="1" applyFill="1" applyBorder="1" applyAlignment="1">
      <alignment vertical="center"/>
    </xf>
    <xf numFmtId="164" fontId="0" fillId="0" borderId="0" xfId="0" applyNumberFormat="1" applyFont="1" applyFill="1" applyBorder="1"/>
    <xf numFmtId="164" fontId="6" fillId="0" borderId="0" xfId="0" applyNumberFormat="1" applyFont="1" applyFill="1" applyBorder="1" applyAlignment="1">
      <alignment vertical="center"/>
    </xf>
    <xf numFmtId="2" fontId="6" fillId="0" borderId="0" xfId="0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 applyProtection="1">
      <alignment vertical="center"/>
      <protection locked="0"/>
    </xf>
    <xf numFmtId="10" fontId="3" fillId="3" borderId="0" xfId="0" applyNumberFormat="1" applyFont="1" applyFill="1" applyBorder="1" applyAlignment="1" applyProtection="1">
      <alignment vertical="center"/>
      <protection locked="0"/>
    </xf>
    <xf numFmtId="0" fontId="3" fillId="3" borderId="0" xfId="0" applyNumberFormat="1" applyFont="1" applyFill="1" applyBorder="1" applyAlignment="1" applyProtection="1">
      <alignment vertical="center"/>
      <protection locked="0"/>
    </xf>
    <xf numFmtId="165" fontId="3" fillId="3" borderId="0" xfId="0" applyNumberFormat="1" applyFont="1" applyFill="1" applyBorder="1" applyAlignment="1" applyProtection="1">
      <alignment vertical="center"/>
      <protection locked="0"/>
    </xf>
    <xf numFmtId="0" fontId="2" fillId="2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 sz="900">
                <a:latin typeface="Arial"/>
                <a:ea typeface="Arial"/>
                <a:cs typeface="Arial"/>
              </a:rPr>
              <a:t>Loan balance with and without offset (AUD)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Without offset</c:v>
          </c:tx>
          <c:spPr>
            <a:ln w="19050">
              <a:solidFill>
                <a:srgbClr val="2D6A4F"/>
              </a:solidFill>
              <a:prstDash val="solid"/>
            </a:ln>
          </c:spPr>
          <c:marker>
            <c:symbol val="none"/>
          </c:marker>
          <c:cat>
            <c:numRef>
              <c:f>Charts!$A$41:$A$81</c:f>
              <c:numCache>
                <c:formatCode>General</c:formatCode>
                <c:ptCount val="4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</c:numCache>
            </c:numRef>
          </c:cat>
          <c:val>
            <c:numRef>
              <c:f>Charts!$B$41:$B$81</c:f>
              <c:numCache>
                <c:formatCode>General</c:formatCode>
                <c:ptCount val="41"/>
                <c:pt idx="0">
                  <c:v>650000</c:v>
                </c:pt>
                <c:pt idx="1">
                  <c:v>642581.8400355241</c:v>
                </c:pt>
                <c:pt idx="2">
                  <c:v>634675.52737747633</c:v>
                </c:pt>
                <c:pt idx="3">
                  <c:v>626248.9390932984</c:v>
                </c:pt>
                <c:pt idx="4">
                  <c:v>617267.83839792351</c:v>
                </c:pt>
                <c:pt idx="5">
                  <c:v>607695.73555151839</c:v>
                </c:pt>
                <c:pt idx="6">
                  <c:v>597493.73960358941</c:v>
                </c:pt>
                <c:pt idx="7">
                  <c:v>586620.40038109606</c:v>
                </c:pt>
                <c:pt idx="8">
                  <c:v>575031.540078577</c:v>
                </c:pt>
                <c:pt idx="9">
                  <c:v>562680.07376605051</c:v>
                </c:pt>
                <c:pt idx="10">
                  <c:v>549515.81808541901</c:v>
                </c:pt>
                <c:pt idx="11">
                  <c:v>535485.28735812509</c:v>
                </c:pt>
                <c:pt idx="12">
                  <c:v>520531.47627565206</c:v>
                </c:pt>
                <c:pt idx="13">
                  <c:v>504593.62828995282</c:v>
                </c:pt>
                <c:pt idx="14">
                  <c:v>487606.98876279028</c:v>
                </c:pt>
                <c:pt idx="15">
                  <c:v>469502.54187104764</c:v>
                </c:pt>
                <c:pt idx="16">
                  <c:v>450206.73019906797</c:v>
                </c:pt>
                <c:pt idx="17">
                  <c:v>429641.15587874333</c:v>
                </c:pt>
                <c:pt idx="18">
                  <c:v>407722.26206309878</c:v>
                </c:pt>
                <c:pt idx="19">
                  <c:v>384360.99343921733</c:v>
                </c:pt>
                <c:pt idx="20">
                  <c:v>359462.43440118682</c:v>
                </c:pt>
                <c:pt idx="21">
                  <c:v>332925.42341298441</c:v>
                </c:pt>
                <c:pt idx="22">
                  <c:v>304642.14199447556</c:v>
                </c:pt>
                <c:pt idx="23">
                  <c:v>274497.67666059884</c:v>
                </c:pt>
                <c:pt idx="24">
                  <c:v>242369.55203391978</c:v>
                </c:pt>
                <c:pt idx="25">
                  <c:v>208127.23323361229</c:v>
                </c:pt>
                <c:pt idx="26">
                  <c:v>171631.59551910273</c:v>
                </c:pt>
                <c:pt idx="27">
                  <c:v>132734.35903356507</c:v>
                </c:pt>
                <c:pt idx="28">
                  <c:v>91277.486350660227</c:v>
                </c:pt>
                <c:pt idx="29">
                  <c:v>47092.540376783734</c:v>
                </c:pt>
                <c:pt idx="30">
                  <c:v>1.1848896974697709E-8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43-4470-B967-DBD15AB4CC4D}"/>
            </c:ext>
          </c:extLst>
        </c:ser>
        <c:ser>
          <c:idx val="1"/>
          <c:order val="1"/>
          <c:tx>
            <c:v>With offset</c:v>
          </c:tx>
          <c:spPr>
            <a:ln w="19050">
              <a:solidFill>
                <a:srgbClr val="AC915B"/>
              </a:solidFill>
              <a:prstDash val="dash"/>
            </a:ln>
          </c:spPr>
          <c:marker>
            <c:symbol val="none"/>
          </c:marker>
          <c:cat>
            <c:numRef>
              <c:f>Charts!$A$41:$A$81</c:f>
              <c:numCache>
                <c:formatCode>General</c:formatCode>
                <c:ptCount val="4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</c:numCache>
            </c:numRef>
          </c:cat>
          <c:val>
            <c:numRef>
              <c:f>Charts!$C$41:$C$81</c:f>
              <c:numCache>
                <c:formatCode>General</c:formatCode>
                <c:ptCount val="41"/>
                <c:pt idx="0">
                  <c:v>650000</c:v>
                </c:pt>
                <c:pt idx="1">
                  <c:v>639112.70366157813</c:v>
                </c:pt>
                <c:pt idx="2">
                  <c:v>627114.13724617881</c:v>
                </c:pt>
                <c:pt idx="3">
                  <c:v>613931.17352495284</c:v>
                </c:pt>
                <c:pt idx="4">
                  <c:v>599485.87312508177</c:v>
                </c:pt>
                <c:pt idx="5">
                  <c:v>583695.1678662044</c:v>
                </c:pt>
                <c:pt idx="6">
                  <c:v>566470.52325876895</c:v>
                </c:pt>
                <c:pt idx="7">
                  <c:v>547717.57879305747</c:v>
                </c:pt>
                <c:pt idx="8">
                  <c:v>527335.76455739688</c:v>
                </c:pt>
                <c:pt idx="9">
                  <c:v>505217.89262789674</c:v>
                </c:pt>
                <c:pt idx="10">
                  <c:v>481249.72156955127</c:v>
                </c:pt>
                <c:pt idx="11">
                  <c:v>455309.49227929628</c:v>
                </c:pt>
                <c:pt idx="12">
                  <c:v>427267.43328517681</c:v>
                </c:pt>
                <c:pt idx="13">
                  <c:v>396985.2334916807</c:v>
                </c:pt>
                <c:pt idx="14">
                  <c:v>364315.48022903077</c:v>
                </c:pt>
                <c:pt idx="15">
                  <c:v>329101.06032325991</c:v>
                </c:pt>
                <c:pt idx="16">
                  <c:v>291174.52175364707</c:v>
                </c:pt>
                <c:pt idx="17">
                  <c:v>250357.39330396315</c:v>
                </c:pt>
                <c:pt idx="18">
                  <c:v>206459.45944330475</c:v>
                </c:pt>
                <c:pt idx="19">
                  <c:v>159278.83751544164</c:v>
                </c:pt>
                <c:pt idx="20">
                  <c:v>110540.43710175334</c:v>
                </c:pt>
                <c:pt idx="21">
                  <c:v>61802.036688065127</c:v>
                </c:pt>
                <c:pt idx="22">
                  <c:v>13063.636274376897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43-4470-B967-DBD15AB4C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t"/>
      <c:overlay val="0"/>
      <c:txPr>
        <a:bodyPr anchorCtr="1"/>
        <a:lstStyle/>
        <a:p>
          <a:pPr>
            <a:defRPr sz="750"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8</xdr:col>
      <xdr:colOff>0</xdr:colOff>
      <xdr:row>19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D6A4F"/>
    <pageSetUpPr fitToPage="1"/>
  </sheetPr>
  <dimension ref="A1:H90"/>
  <sheetViews>
    <sheetView showGridLines="0" tabSelected="1" zoomScaleNormal="100" workbookViewId="0">
      <selection sqref="A1:H2"/>
    </sheetView>
  </sheetViews>
  <sheetFormatPr defaultRowHeight="14.15"/>
  <cols>
    <col min="1" max="1" width="32" customWidth="1"/>
    <col min="2" max="2" width="24" customWidth="1"/>
    <col min="3" max="8" width="16" customWidth="1"/>
  </cols>
  <sheetData>
    <row r="1" spans="1:8" ht="22" customHeight="1">
      <c r="A1" s="12" t="s">
        <v>0</v>
      </c>
      <c r="B1" s="12" t="s">
        <v>0</v>
      </c>
      <c r="C1" s="12" t="s">
        <v>0</v>
      </c>
      <c r="D1" s="12" t="s">
        <v>0</v>
      </c>
      <c r="E1" s="12" t="s">
        <v>0</v>
      </c>
      <c r="F1" s="12" t="s">
        <v>0</v>
      </c>
      <c r="G1" s="12" t="s">
        <v>0</v>
      </c>
      <c r="H1" s="12" t="s">
        <v>0</v>
      </c>
    </row>
    <row r="2" spans="1:8" ht="22" customHeight="1">
      <c r="A2" s="12" t="s">
        <v>0</v>
      </c>
      <c r="B2" s="12" t="s">
        <v>0</v>
      </c>
      <c r="C2" s="12" t="s">
        <v>0</v>
      </c>
      <c r="D2" s="12" t="s">
        <v>0</v>
      </c>
      <c r="E2" s="12" t="s">
        <v>0</v>
      </c>
      <c r="F2" s="12" t="s">
        <v>0</v>
      </c>
      <c r="G2" s="12" t="s">
        <v>0</v>
      </c>
      <c r="H2" s="12" t="s">
        <v>0</v>
      </c>
    </row>
    <row r="3" spans="1:8" ht="22" customHeight="1">
      <c r="A3" s="1"/>
      <c r="B3" s="1"/>
      <c r="C3" s="1"/>
      <c r="D3" s="1"/>
      <c r="E3" s="1"/>
      <c r="F3" s="1"/>
      <c r="G3" s="1"/>
      <c r="H3" s="1"/>
    </row>
    <row r="4" spans="1:8" ht="22" customHeight="1">
      <c r="A4" s="13" t="str">
        <f>IF('Mortgage Inputs'!$B$12,"Illustrative constant-rate projection","Enter valid inputs on Mortgage Inputs; outputs are unavailable.")</f>
        <v>Illustrative constant-rate projection</v>
      </c>
      <c r="B4" s="13"/>
      <c r="C4" s="13"/>
      <c r="D4" s="13"/>
      <c r="E4" s="13"/>
      <c r="F4" s="13"/>
      <c r="G4" s="13"/>
      <c r="H4" s="13"/>
    </row>
    <row r="5" spans="1:8" ht="22" customHeight="1">
      <c r="A5" s="13"/>
      <c r="B5" s="13"/>
      <c r="C5" s="13"/>
      <c r="D5" s="13"/>
      <c r="E5" s="13"/>
      <c r="F5" s="13"/>
      <c r="G5" s="13"/>
      <c r="H5" s="13"/>
    </row>
    <row r="6" spans="1:8" ht="22" customHeight="1">
      <c r="A6" s="1"/>
      <c r="B6" s="1"/>
      <c r="C6" s="1"/>
      <c r="D6" s="1"/>
      <c r="E6" s="1"/>
      <c r="F6" s="1"/>
      <c r="G6" s="1"/>
      <c r="H6" s="1"/>
    </row>
    <row r="7" spans="1:8" ht="28" customHeight="1">
      <c r="A7" s="1" t="s">
        <v>1</v>
      </c>
      <c r="B7" s="6">
        <f>IF('Mortgage Inputs'!$B$12,'Mortgage Inputs'!$B$17,"")</f>
        <v>4061.5333678073534</v>
      </c>
      <c r="C7" s="1"/>
      <c r="D7" s="1"/>
      <c r="E7" s="1"/>
      <c r="F7" s="1"/>
      <c r="G7" s="1"/>
      <c r="H7" s="1"/>
    </row>
    <row r="8" spans="1:8" ht="28" customHeight="1">
      <c r="A8" s="1" t="s">
        <v>2</v>
      </c>
      <c r="B8" s="6">
        <f>IF('Mortgage Inputs'!$B$12,SUM(Comparison!C7:C1086),"")</f>
        <v>812152.01241065946</v>
      </c>
      <c r="C8" s="1"/>
      <c r="D8" s="1"/>
      <c r="E8" s="1"/>
      <c r="F8" s="1"/>
      <c r="G8" s="1"/>
      <c r="H8" s="1"/>
    </row>
    <row r="9" spans="1:8" ht="28" customHeight="1">
      <c r="A9" s="1" t="s">
        <v>3</v>
      </c>
      <c r="B9" s="6">
        <f>IF('Mortgage Inputs'!$B$12,SUM('Monthly Projection'!E7:E1086),"")</f>
        <v>435308.44537551823</v>
      </c>
      <c r="C9" s="1"/>
      <c r="D9" s="1"/>
      <c r="E9" s="1"/>
      <c r="F9" s="1"/>
      <c r="G9" s="1"/>
      <c r="H9" s="1"/>
    </row>
    <row r="10" spans="1:8" ht="28" customHeight="1">
      <c r="A10" s="1" t="s">
        <v>4</v>
      </c>
      <c r="B10" s="6">
        <f>IF('Mortgage Inputs'!$B$12,MAX(0,B8-B9),"")</f>
        <v>376843.56703514123</v>
      </c>
      <c r="C10" s="1"/>
      <c r="D10" s="1"/>
      <c r="E10" s="1"/>
      <c r="F10" s="1"/>
      <c r="G10" s="1"/>
      <c r="H10" s="1"/>
    </row>
    <row r="11" spans="1:8" ht="28" customHeight="1">
      <c r="A11" s="1" t="s">
        <v>5</v>
      </c>
      <c r="B11" s="7">
        <f>IF('Mortgage Inputs'!$B$12,IF(AND('Offset Inputs'!B5&gt;='Mortgage Inputs'!$B$5,'Mortgage Inputs'!$B$5&gt;0),COUNT(Comparison!A7:A1086),MAX(0,COUNT(Comparison!A7:A1086)-B13)),"")</f>
        <v>92</v>
      </c>
      <c r="C11" s="1"/>
      <c r="D11" s="1"/>
      <c r="E11" s="1"/>
      <c r="F11" s="1"/>
      <c r="G11" s="1"/>
      <c r="H11" s="1"/>
    </row>
    <row r="12" spans="1:8" ht="28" customHeight="1">
      <c r="A12" s="1" t="s">
        <v>6</v>
      </c>
      <c r="B12" s="7">
        <f>IF('Mortgage Inputs'!$B$12,B11/12,"")</f>
        <v>7.666666666666667</v>
      </c>
      <c r="C12" s="1"/>
      <c r="D12" s="1"/>
      <c r="E12" s="1"/>
      <c r="F12" s="1"/>
      <c r="G12" s="1"/>
      <c r="H12" s="1"/>
    </row>
    <row r="13" spans="1:8" ht="28" customHeight="1">
      <c r="A13" s="1" t="s">
        <v>7</v>
      </c>
      <c r="B13" s="7">
        <f>IF('Mortgage Inputs'!$B$12,COUNT('Monthly Projection'!A7:A1086),"")</f>
        <v>268</v>
      </c>
      <c r="C13" s="1"/>
      <c r="D13" s="1"/>
      <c r="E13" s="1"/>
      <c r="F13" s="1"/>
      <c r="G13" s="1"/>
      <c r="H13" s="1"/>
    </row>
    <row r="14" spans="1:8" ht="28" customHeight="1">
      <c r="A14" s="1" t="s">
        <v>8</v>
      </c>
      <c r="B14" s="6">
        <f>IF('Mortgage Inputs'!$B$12,MAX(0,'Mortgage Inputs'!$B$5-'Offset Inputs'!B5),"")</f>
        <v>600000</v>
      </c>
      <c r="C14" s="1"/>
      <c r="D14" s="1"/>
      <c r="E14" s="1"/>
      <c r="F14" s="1"/>
      <c r="G14" s="1"/>
      <c r="H14" s="1"/>
    </row>
    <row r="15" spans="1:8" ht="28" customHeight="1">
      <c r="A15" s="1" t="s">
        <v>9</v>
      </c>
      <c r="B15" s="6">
        <f>IF('Mortgage Inputs'!$B$12,'Mortgage Inputs'!$B$17*12/IF('Mortgage Inputs'!B9="monthly",12,IF('Mortgage Inputs'!B9="fortnightly",26,52)),"")</f>
        <v>4061.5333678073534</v>
      </c>
      <c r="C15" s="1"/>
      <c r="D15" s="1"/>
      <c r="E15" s="1"/>
      <c r="F15" s="1"/>
      <c r="G15" s="1"/>
      <c r="H15" s="1"/>
    </row>
    <row r="16" spans="1:8" ht="28" customHeight="1">
      <c r="A16" s="1"/>
      <c r="B16" s="1"/>
      <c r="C16" s="1"/>
      <c r="D16" s="1"/>
      <c r="E16" s="1"/>
      <c r="F16" s="1"/>
      <c r="G16" s="1"/>
      <c r="H16" s="1"/>
    </row>
    <row r="17" spans="1:8" ht="28" customHeight="1">
      <c r="A17" s="1"/>
      <c r="B17" s="1"/>
      <c r="C17" s="1"/>
      <c r="D17" s="1"/>
      <c r="E17" s="1"/>
      <c r="F17" s="1"/>
      <c r="G17" s="1"/>
      <c r="H17" s="1"/>
    </row>
    <row r="18" spans="1:8" ht="28" customHeight="1">
      <c r="A18" s="1"/>
      <c r="B18" s="1"/>
      <c r="C18" s="1"/>
      <c r="D18" s="1"/>
      <c r="E18" s="1"/>
      <c r="F18" s="1"/>
      <c r="G18" s="1"/>
      <c r="H18" s="1"/>
    </row>
    <row r="19" spans="1:8" ht="22" customHeight="1">
      <c r="A19" s="1"/>
      <c r="B19" s="1"/>
      <c r="C19" s="1"/>
      <c r="D19" s="1"/>
      <c r="E19" s="1"/>
      <c r="F19" s="1"/>
      <c r="G19" s="1"/>
      <c r="H19" s="1"/>
    </row>
    <row r="20" spans="1:8" ht="22" customHeight="1">
      <c r="A20" s="1"/>
      <c r="B20" s="1"/>
      <c r="C20" s="1"/>
      <c r="D20" s="1"/>
      <c r="E20" s="1"/>
      <c r="F20" s="1"/>
      <c r="G20" s="1"/>
      <c r="H20" s="1"/>
    </row>
    <row r="21" spans="1:8" ht="24" customHeight="1">
      <c r="A21" s="14" t="s">
        <v>10</v>
      </c>
      <c r="B21" s="14" t="s">
        <v>10</v>
      </c>
      <c r="C21" s="14" t="s">
        <v>10</v>
      </c>
      <c r="D21" s="14" t="s">
        <v>10</v>
      </c>
      <c r="E21" s="14" t="s">
        <v>10</v>
      </c>
      <c r="F21" s="14" t="s">
        <v>10</v>
      </c>
      <c r="G21" s="14" t="s">
        <v>10</v>
      </c>
      <c r="H21" s="14" t="s">
        <v>10</v>
      </c>
    </row>
    <row r="22" spans="1:8" ht="24" customHeight="1">
      <c r="A22" s="14" t="s">
        <v>10</v>
      </c>
      <c r="B22" s="14" t="s">
        <v>10</v>
      </c>
      <c r="C22" s="14" t="s">
        <v>10</v>
      </c>
      <c r="D22" s="14" t="s">
        <v>10</v>
      </c>
      <c r="E22" s="14" t="s">
        <v>10</v>
      </c>
      <c r="F22" s="14" t="s">
        <v>10</v>
      </c>
      <c r="G22" s="14" t="s">
        <v>10</v>
      </c>
      <c r="H22" s="14" t="s">
        <v>10</v>
      </c>
    </row>
    <row r="23" spans="1:8" ht="22" customHeight="1">
      <c r="A23" s="1"/>
      <c r="B23" s="1"/>
      <c r="C23" s="1"/>
      <c r="D23" s="1"/>
      <c r="E23" s="1"/>
      <c r="F23" s="1"/>
      <c r="G23" s="1"/>
      <c r="H23" s="1"/>
    </row>
    <row r="24" spans="1:8" ht="22" customHeight="1">
      <c r="A24" s="1"/>
      <c r="B24" s="1"/>
      <c r="C24" s="1"/>
      <c r="D24" s="1"/>
      <c r="E24" s="1"/>
      <c r="F24" s="1"/>
      <c r="G24" s="1"/>
      <c r="H24" s="1"/>
    </row>
    <row r="25" spans="1:8" ht="24" customHeight="1">
      <c r="A25" s="14" t="s">
        <v>11</v>
      </c>
      <c r="B25" s="14" t="s">
        <v>11</v>
      </c>
      <c r="C25" s="14" t="s">
        <v>11</v>
      </c>
      <c r="D25" s="14" t="s">
        <v>11</v>
      </c>
      <c r="E25" s="14" t="s">
        <v>11</v>
      </c>
      <c r="F25" s="14" t="s">
        <v>11</v>
      </c>
      <c r="G25" s="14" t="s">
        <v>11</v>
      </c>
      <c r="H25" s="14" t="s">
        <v>11</v>
      </c>
    </row>
    <row r="26" spans="1:8" ht="24" customHeight="1">
      <c r="A26" s="14" t="s">
        <v>11</v>
      </c>
      <c r="B26" s="14" t="s">
        <v>11</v>
      </c>
      <c r="C26" s="14" t="s">
        <v>11</v>
      </c>
      <c r="D26" s="14" t="s">
        <v>11</v>
      </c>
      <c r="E26" s="14" t="s">
        <v>11</v>
      </c>
      <c r="F26" s="14" t="s">
        <v>11</v>
      </c>
      <c r="G26" s="14" t="s">
        <v>11</v>
      </c>
      <c r="H26" s="14" t="s">
        <v>11</v>
      </c>
    </row>
    <row r="27" spans="1:8" ht="22" customHeight="1">
      <c r="A27" s="1"/>
      <c r="B27" s="1"/>
      <c r="C27" s="1"/>
      <c r="D27" s="1"/>
      <c r="E27" s="1"/>
      <c r="F27" s="1"/>
      <c r="G27" s="1"/>
      <c r="H27" s="1"/>
    </row>
    <row r="28" spans="1:8" ht="22" customHeight="1">
      <c r="A28" s="1"/>
      <c r="B28" s="1"/>
      <c r="C28" s="1"/>
      <c r="D28" s="1"/>
      <c r="E28" s="1"/>
      <c r="F28" s="1"/>
      <c r="G28" s="1"/>
      <c r="H28" s="1"/>
    </row>
    <row r="29" spans="1:8" ht="22" customHeight="1">
      <c r="A29" s="1"/>
      <c r="B29" s="1"/>
      <c r="C29" s="1"/>
      <c r="D29" s="1"/>
      <c r="E29" s="1"/>
      <c r="F29" s="1"/>
      <c r="G29" s="1"/>
      <c r="H29" s="1"/>
    </row>
    <row r="30" spans="1:8" ht="22" customHeight="1">
      <c r="A30" s="1"/>
      <c r="B30" s="1"/>
      <c r="C30" s="1"/>
      <c r="D30" s="1"/>
      <c r="E30" s="1"/>
      <c r="F30" s="1"/>
      <c r="G30" s="1"/>
      <c r="H30" s="1"/>
    </row>
    <row r="31" spans="1:8" ht="22" customHeight="1">
      <c r="A31" s="1"/>
      <c r="B31" s="1"/>
      <c r="C31" s="1"/>
      <c r="D31" s="1"/>
      <c r="E31" s="1"/>
      <c r="F31" s="1"/>
      <c r="G31" s="1"/>
      <c r="H31" s="1"/>
    </row>
    <row r="32" spans="1:8" ht="22" customHeight="1">
      <c r="A32" s="1"/>
      <c r="B32" s="1"/>
      <c r="C32" s="1"/>
      <c r="D32" s="1"/>
      <c r="E32" s="1"/>
      <c r="F32" s="1"/>
      <c r="G32" s="1"/>
      <c r="H32" s="1"/>
    </row>
    <row r="33" spans="1:8" ht="22" customHeight="1">
      <c r="A33" s="1"/>
      <c r="B33" s="1"/>
      <c r="C33" s="1"/>
      <c r="D33" s="1"/>
      <c r="E33" s="1"/>
      <c r="F33" s="1"/>
      <c r="G33" s="1"/>
      <c r="H33" s="1"/>
    </row>
    <row r="34" spans="1:8" ht="22" customHeight="1">
      <c r="A34" s="1"/>
      <c r="B34" s="1"/>
      <c r="C34" s="1"/>
      <c r="D34" s="1"/>
      <c r="E34" s="1"/>
      <c r="F34" s="1"/>
      <c r="G34" s="1"/>
      <c r="H34" s="1"/>
    </row>
    <row r="35" spans="1:8" ht="22" customHeight="1">
      <c r="A35" s="1"/>
      <c r="B35" s="1"/>
      <c r="C35" s="1"/>
      <c r="D35" s="1"/>
      <c r="E35" s="1"/>
      <c r="F35" s="1"/>
      <c r="G35" s="1"/>
      <c r="H35" s="1"/>
    </row>
    <row r="36" spans="1:8" ht="22" customHeight="1">
      <c r="A36" s="1"/>
      <c r="B36" s="1"/>
      <c r="C36" s="1"/>
      <c r="D36" s="1"/>
      <c r="E36" s="1"/>
      <c r="F36" s="1"/>
      <c r="G36" s="1"/>
      <c r="H36" s="1"/>
    </row>
    <row r="37" spans="1:8" ht="22" customHeight="1">
      <c r="A37" s="1"/>
      <c r="B37" s="1"/>
      <c r="C37" s="1"/>
      <c r="D37" s="1"/>
      <c r="E37" s="1"/>
      <c r="F37" s="1"/>
      <c r="G37" s="1"/>
      <c r="H37" s="1"/>
    </row>
    <row r="38" spans="1:8" ht="22" customHeight="1">
      <c r="A38" s="1"/>
      <c r="B38" s="1"/>
      <c r="C38" s="1"/>
      <c r="D38" s="1"/>
      <c r="E38" s="1"/>
      <c r="F38" s="1"/>
      <c r="G38" s="1"/>
      <c r="H38" s="1"/>
    </row>
    <row r="39" spans="1:8" ht="22" customHeight="1">
      <c r="A39" s="1"/>
      <c r="B39" s="1"/>
      <c r="C39" s="1"/>
      <c r="D39" s="1"/>
      <c r="E39" s="1"/>
      <c r="F39" s="1"/>
      <c r="G39" s="1"/>
      <c r="H39" s="1"/>
    </row>
    <row r="40" spans="1:8" ht="22" customHeight="1">
      <c r="A40" s="1"/>
      <c r="B40" s="1"/>
      <c r="C40" s="1"/>
      <c r="D40" s="1"/>
      <c r="E40" s="1"/>
      <c r="F40" s="1"/>
      <c r="G40" s="1"/>
      <c r="H40" s="1"/>
    </row>
    <row r="41" spans="1:8" ht="22" customHeight="1">
      <c r="A41" s="1"/>
      <c r="B41" s="1"/>
      <c r="C41" s="1"/>
      <c r="D41" s="1"/>
      <c r="E41" s="1"/>
      <c r="F41" s="1"/>
      <c r="G41" s="1"/>
      <c r="H41" s="1"/>
    </row>
    <row r="42" spans="1:8" ht="22" customHeight="1">
      <c r="A42" s="1"/>
      <c r="B42" s="1"/>
      <c r="C42" s="1"/>
      <c r="D42" s="1"/>
      <c r="E42" s="1"/>
      <c r="F42" s="1"/>
      <c r="G42" s="1"/>
      <c r="H42" s="1"/>
    </row>
    <row r="43" spans="1:8" ht="22" customHeight="1">
      <c r="A43" s="1"/>
      <c r="B43" s="1"/>
      <c r="C43" s="1"/>
      <c r="D43" s="1"/>
      <c r="E43" s="1"/>
      <c r="F43" s="1"/>
      <c r="G43" s="1"/>
      <c r="H43" s="1"/>
    </row>
    <row r="44" spans="1:8" ht="22" customHeight="1">
      <c r="A44" s="1"/>
      <c r="B44" s="1"/>
      <c r="C44" s="1"/>
      <c r="D44" s="1"/>
      <c r="E44" s="1"/>
      <c r="F44" s="1"/>
      <c r="G44" s="1"/>
      <c r="H44" s="1"/>
    </row>
    <row r="45" spans="1:8" ht="22" customHeight="1">
      <c r="A45" s="1"/>
      <c r="B45" s="1"/>
      <c r="C45" s="1"/>
      <c r="D45" s="1"/>
      <c r="E45" s="1"/>
      <c r="F45" s="1"/>
      <c r="G45" s="1"/>
      <c r="H45" s="1"/>
    </row>
    <row r="46" spans="1:8" ht="22" customHeight="1">
      <c r="A46" s="1"/>
      <c r="B46" s="1"/>
      <c r="C46" s="1"/>
      <c r="D46" s="1"/>
      <c r="E46" s="1"/>
      <c r="F46" s="1"/>
      <c r="G46" s="1"/>
      <c r="H46" s="1"/>
    </row>
    <row r="47" spans="1:8" ht="22" customHeight="1">
      <c r="A47" s="1"/>
      <c r="B47" s="1"/>
      <c r="C47" s="1"/>
      <c r="D47" s="1"/>
      <c r="E47" s="1"/>
      <c r="F47" s="1"/>
      <c r="G47" s="1"/>
      <c r="H47" s="1"/>
    </row>
    <row r="48" spans="1:8" ht="22" customHeight="1">
      <c r="A48" s="1"/>
      <c r="B48" s="1"/>
      <c r="C48" s="1"/>
      <c r="D48" s="1"/>
      <c r="E48" s="1"/>
      <c r="F48" s="1"/>
      <c r="G48" s="1"/>
      <c r="H48" s="1"/>
    </row>
    <row r="49" spans="1:8" ht="22" customHeight="1">
      <c r="A49" s="1"/>
      <c r="B49" s="1"/>
      <c r="C49" s="1"/>
      <c r="D49" s="1"/>
      <c r="E49" s="1"/>
      <c r="F49" s="1"/>
      <c r="G49" s="1"/>
      <c r="H49" s="1"/>
    </row>
    <row r="50" spans="1:8" ht="22" customHeight="1">
      <c r="A50" s="1"/>
      <c r="B50" s="1"/>
      <c r="C50" s="1"/>
      <c r="D50" s="1"/>
      <c r="E50" s="1"/>
      <c r="F50" s="1"/>
      <c r="G50" s="1"/>
      <c r="H50" s="1"/>
    </row>
    <row r="51" spans="1:8" ht="22" customHeight="1">
      <c r="A51" s="1"/>
      <c r="B51" s="1"/>
      <c r="C51" s="1"/>
      <c r="D51" s="1"/>
      <c r="E51" s="1"/>
      <c r="F51" s="1"/>
      <c r="G51" s="1"/>
      <c r="H51" s="1"/>
    </row>
    <row r="52" spans="1:8" ht="22" customHeight="1">
      <c r="A52" s="1"/>
      <c r="B52" s="1"/>
      <c r="C52" s="1"/>
      <c r="D52" s="1"/>
      <c r="E52" s="1"/>
      <c r="F52" s="1"/>
      <c r="G52" s="1"/>
      <c r="H52" s="1"/>
    </row>
    <row r="53" spans="1:8" ht="22" customHeight="1">
      <c r="A53" s="1"/>
      <c r="B53" s="1"/>
      <c r="C53" s="1"/>
      <c r="D53" s="1"/>
      <c r="E53" s="1"/>
      <c r="F53" s="1"/>
      <c r="G53" s="1"/>
      <c r="H53" s="1"/>
    </row>
    <row r="54" spans="1:8" ht="22" customHeight="1">
      <c r="A54" s="1"/>
      <c r="B54" s="1"/>
      <c r="C54" s="1"/>
      <c r="D54" s="1"/>
      <c r="E54" s="1"/>
      <c r="F54" s="1"/>
      <c r="G54" s="1"/>
      <c r="H54" s="1"/>
    </row>
    <row r="55" spans="1:8" ht="22" customHeight="1">
      <c r="A55" s="1"/>
      <c r="B55" s="1"/>
      <c r="C55" s="1"/>
      <c r="D55" s="1"/>
      <c r="E55" s="1"/>
      <c r="F55" s="1"/>
      <c r="G55" s="1"/>
      <c r="H55" s="1"/>
    </row>
    <row r="56" spans="1:8" ht="22" customHeight="1">
      <c r="A56" s="1"/>
      <c r="B56" s="1"/>
      <c r="C56" s="1"/>
      <c r="D56" s="1"/>
      <c r="E56" s="1"/>
      <c r="F56" s="1"/>
      <c r="G56" s="1"/>
      <c r="H56" s="1"/>
    </row>
    <row r="57" spans="1:8" ht="22" customHeight="1">
      <c r="A57" s="1"/>
      <c r="B57" s="1"/>
      <c r="C57" s="1"/>
      <c r="D57" s="1"/>
      <c r="E57" s="1"/>
      <c r="F57" s="1"/>
      <c r="G57" s="1"/>
      <c r="H57" s="1"/>
    </row>
    <row r="58" spans="1:8" ht="22" customHeight="1">
      <c r="A58" s="1"/>
      <c r="B58" s="1"/>
      <c r="C58" s="1"/>
      <c r="D58" s="1"/>
      <c r="E58" s="1"/>
      <c r="F58" s="1"/>
      <c r="G58" s="1"/>
      <c r="H58" s="1"/>
    </row>
    <row r="59" spans="1:8" ht="22" customHeight="1">
      <c r="A59" s="1"/>
      <c r="B59" s="1"/>
      <c r="C59" s="1"/>
      <c r="D59" s="1"/>
      <c r="E59" s="1"/>
      <c r="F59" s="1"/>
      <c r="G59" s="1"/>
      <c r="H59" s="1"/>
    </row>
    <row r="60" spans="1:8" ht="22" customHeight="1">
      <c r="A60" s="1"/>
      <c r="B60" s="1"/>
      <c r="C60" s="1"/>
      <c r="D60" s="1"/>
      <c r="E60" s="1"/>
      <c r="F60" s="1"/>
      <c r="G60" s="1"/>
      <c r="H60" s="1"/>
    </row>
    <row r="61" spans="1:8" ht="22" customHeight="1">
      <c r="A61" s="1"/>
      <c r="B61" s="1"/>
      <c r="C61" s="1"/>
      <c r="D61" s="1"/>
      <c r="E61" s="1"/>
      <c r="F61" s="1"/>
      <c r="G61" s="1"/>
      <c r="H61" s="1"/>
    </row>
    <row r="62" spans="1:8" ht="22" customHeight="1">
      <c r="A62" s="1"/>
      <c r="B62" s="1"/>
      <c r="C62" s="1"/>
      <c r="D62" s="1"/>
      <c r="E62" s="1"/>
      <c r="F62" s="1"/>
      <c r="G62" s="1"/>
      <c r="H62" s="1"/>
    </row>
    <row r="63" spans="1:8" ht="22" customHeight="1">
      <c r="A63" s="1"/>
      <c r="B63" s="1"/>
      <c r="C63" s="1"/>
      <c r="D63" s="1"/>
      <c r="E63" s="1"/>
      <c r="F63" s="1"/>
      <c r="G63" s="1"/>
      <c r="H63" s="1"/>
    </row>
    <row r="64" spans="1:8" ht="22" customHeight="1">
      <c r="A64" s="1"/>
      <c r="B64" s="1"/>
      <c r="C64" s="1"/>
      <c r="D64" s="1"/>
      <c r="E64" s="1"/>
      <c r="F64" s="1"/>
      <c r="G64" s="1"/>
      <c r="H64" s="1"/>
    </row>
    <row r="65" spans="1:8" ht="22" customHeight="1">
      <c r="A65" s="1"/>
      <c r="B65" s="1"/>
      <c r="C65" s="1"/>
      <c r="D65" s="1"/>
      <c r="E65" s="1"/>
      <c r="F65" s="1"/>
      <c r="G65" s="1"/>
      <c r="H65" s="1"/>
    </row>
    <row r="66" spans="1:8" ht="22" customHeight="1">
      <c r="A66" s="1"/>
      <c r="B66" s="1"/>
      <c r="C66" s="1"/>
      <c r="D66" s="1"/>
      <c r="E66" s="1"/>
      <c r="F66" s="1"/>
      <c r="G66" s="1"/>
      <c r="H66" s="1"/>
    </row>
    <row r="67" spans="1:8" ht="22" customHeight="1">
      <c r="A67" s="1"/>
      <c r="B67" s="1"/>
      <c r="C67" s="1"/>
      <c r="D67" s="1"/>
      <c r="E67" s="1"/>
      <c r="F67" s="1"/>
      <c r="G67" s="1"/>
      <c r="H67" s="1"/>
    </row>
    <row r="68" spans="1:8" ht="22" customHeight="1">
      <c r="A68" s="1"/>
      <c r="B68" s="1"/>
      <c r="C68" s="1"/>
      <c r="D68" s="1"/>
      <c r="E68" s="1"/>
      <c r="F68" s="1"/>
      <c r="G68" s="1"/>
      <c r="H68" s="1"/>
    </row>
    <row r="69" spans="1:8" ht="22" customHeight="1">
      <c r="A69" s="1"/>
      <c r="B69" s="1"/>
      <c r="C69" s="1"/>
      <c r="D69" s="1"/>
      <c r="E69" s="1"/>
      <c r="F69" s="1"/>
      <c r="G69" s="1"/>
      <c r="H69" s="1"/>
    </row>
    <row r="70" spans="1:8" ht="22" customHeight="1">
      <c r="A70" s="1"/>
      <c r="B70" s="1"/>
      <c r="C70" s="1"/>
      <c r="D70" s="1"/>
      <c r="E70" s="1"/>
      <c r="F70" s="1"/>
      <c r="G70" s="1"/>
      <c r="H70" s="1"/>
    </row>
    <row r="71" spans="1:8" ht="22" customHeight="1">
      <c r="A71" s="1"/>
      <c r="B71" s="1"/>
      <c r="C71" s="1"/>
      <c r="D71" s="1"/>
      <c r="E71" s="1"/>
      <c r="F71" s="1"/>
      <c r="G71" s="1"/>
      <c r="H71" s="1"/>
    </row>
    <row r="72" spans="1:8" ht="22" customHeight="1">
      <c r="A72" s="1"/>
      <c r="B72" s="1"/>
      <c r="C72" s="1"/>
      <c r="D72" s="1"/>
      <c r="E72" s="1"/>
      <c r="F72" s="1"/>
      <c r="G72" s="1"/>
      <c r="H72" s="1"/>
    </row>
    <row r="73" spans="1:8" ht="22" customHeight="1">
      <c r="A73" s="1"/>
      <c r="B73" s="1"/>
      <c r="C73" s="1"/>
      <c r="D73" s="1"/>
      <c r="E73" s="1"/>
      <c r="F73" s="1"/>
      <c r="G73" s="1"/>
      <c r="H73" s="1"/>
    </row>
    <row r="74" spans="1:8" ht="22" customHeight="1">
      <c r="A74" s="1"/>
      <c r="B74" s="1"/>
      <c r="C74" s="1"/>
      <c r="D74" s="1"/>
      <c r="E74" s="1"/>
      <c r="F74" s="1"/>
      <c r="G74" s="1"/>
      <c r="H74" s="1"/>
    </row>
    <row r="75" spans="1:8" ht="22" customHeight="1">
      <c r="A75" s="1"/>
      <c r="B75" s="1"/>
      <c r="C75" s="1"/>
      <c r="D75" s="1"/>
      <c r="E75" s="1"/>
      <c r="F75" s="1"/>
      <c r="G75" s="1"/>
      <c r="H75" s="1"/>
    </row>
    <row r="76" spans="1:8" ht="22" customHeight="1">
      <c r="A76" s="1"/>
      <c r="B76" s="1"/>
      <c r="C76" s="1"/>
      <c r="D76" s="1"/>
      <c r="E76" s="1"/>
      <c r="F76" s="1"/>
      <c r="G76" s="1"/>
      <c r="H76" s="1"/>
    </row>
    <row r="77" spans="1:8" ht="22" customHeight="1">
      <c r="A77" s="1"/>
      <c r="B77" s="1"/>
      <c r="C77" s="1"/>
      <c r="D77" s="1"/>
      <c r="E77" s="1"/>
      <c r="F77" s="1"/>
      <c r="G77" s="1"/>
      <c r="H77" s="1"/>
    </row>
    <row r="78" spans="1:8" ht="22" customHeight="1">
      <c r="A78" s="1"/>
      <c r="B78" s="1"/>
      <c r="C78" s="1"/>
      <c r="D78" s="1"/>
      <c r="E78" s="1"/>
      <c r="F78" s="1"/>
      <c r="G78" s="1"/>
      <c r="H78" s="1"/>
    </row>
    <row r="79" spans="1:8" ht="22" customHeight="1">
      <c r="A79" s="1"/>
      <c r="B79" s="1"/>
      <c r="C79" s="1"/>
      <c r="D79" s="1"/>
      <c r="E79" s="1"/>
      <c r="F79" s="1"/>
      <c r="G79" s="1"/>
      <c r="H79" s="1"/>
    </row>
    <row r="80" spans="1:8" ht="22" customHeight="1">
      <c r="A80" s="1"/>
      <c r="B80" s="1"/>
      <c r="C80" s="1"/>
      <c r="D80" s="1"/>
      <c r="E80" s="1"/>
      <c r="F80" s="1"/>
      <c r="G80" s="1"/>
      <c r="H80" s="1"/>
    </row>
    <row r="81" spans="1:8" ht="22" customHeight="1">
      <c r="A81" s="1"/>
      <c r="B81" s="1"/>
      <c r="C81" s="1"/>
      <c r="D81" s="1"/>
      <c r="E81" s="1"/>
      <c r="F81" s="1"/>
      <c r="G81" s="1"/>
      <c r="H81" s="1"/>
    </row>
    <row r="82" spans="1:8" ht="22" customHeight="1">
      <c r="A82" s="1"/>
      <c r="B82" s="1"/>
      <c r="C82" s="1"/>
      <c r="D82" s="1"/>
      <c r="E82" s="1"/>
      <c r="F82" s="1"/>
      <c r="G82" s="1"/>
      <c r="H82" s="1"/>
    </row>
    <row r="83" spans="1:8" ht="22" customHeight="1">
      <c r="A83" s="1"/>
      <c r="B83" s="1"/>
      <c r="C83" s="1"/>
      <c r="D83" s="1"/>
      <c r="E83" s="1"/>
      <c r="F83" s="1"/>
      <c r="G83" s="1"/>
      <c r="H83" s="1"/>
    </row>
    <row r="84" spans="1:8" ht="22" customHeight="1">
      <c r="A84" s="1"/>
      <c r="B84" s="1"/>
      <c r="C84" s="1"/>
      <c r="D84" s="1"/>
      <c r="E84" s="1"/>
      <c r="F84" s="1"/>
      <c r="G84" s="1"/>
      <c r="H84" s="1"/>
    </row>
    <row r="85" spans="1:8" ht="22" customHeight="1">
      <c r="A85" s="1"/>
      <c r="B85" s="1"/>
      <c r="C85" s="1"/>
      <c r="D85" s="1"/>
      <c r="E85" s="1"/>
      <c r="F85" s="1"/>
      <c r="G85" s="1"/>
      <c r="H85" s="1"/>
    </row>
    <row r="86" spans="1:8" ht="22" customHeight="1">
      <c r="A86" s="1"/>
      <c r="B86" s="1"/>
      <c r="C86" s="1"/>
      <c r="D86" s="1"/>
      <c r="E86" s="1"/>
      <c r="F86" s="1"/>
      <c r="G86" s="1"/>
      <c r="H86" s="1"/>
    </row>
    <row r="87" spans="1:8" ht="22" customHeight="1">
      <c r="A87" s="1"/>
      <c r="B87" s="1"/>
      <c r="C87" s="1"/>
      <c r="D87" s="1"/>
      <c r="E87" s="1"/>
      <c r="F87" s="1"/>
      <c r="G87" s="1"/>
      <c r="H87" s="1"/>
    </row>
    <row r="88" spans="1:8" ht="22" customHeight="1">
      <c r="A88" s="1"/>
      <c r="B88" s="1"/>
      <c r="C88" s="1"/>
      <c r="D88" s="1"/>
      <c r="E88" s="1"/>
      <c r="F88" s="1"/>
      <c r="G88" s="1"/>
      <c r="H88" s="1"/>
    </row>
    <row r="89" spans="1:8" ht="22" customHeight="1">
      <c r="A89" s="1"/>
      <c r="B89" s="1"/>
      <c r="C89" s="1"/>
      <c r="D89" s="1"/>
      <c r="E89" s="1"/>
      <c r="F89" s="1"/>
      <c r="G89" s="1"/>
      <c r="H89" s="1"/>
    </row>
    <row r="90" spans="1:8" ht="22" customHeight="1">
      <c r="A90" s="1"/>
      <c r="B90" s="1"/>
      <c r="C90" s="1"/>
      <c r="D90" s="1"/>
      <c r="E90" s="1"/>
      <c r="F90" s="1"/>
      <c r="G90" s="1"/>
      <c r="H90" s="1"/>
    </row>
  </sheetData>
  <sheetProtection sheet="1" objects="1" scenarios="1"/>
  <mergeCells count="4">
    <mergeCell ref="A1:H2"/>
    <mergeCell ref="A4:H5"/>
    <mergeCell ref="A21:H22"/>
    <mergeCell ref="A25:H26"/>
  </mergeCells>
  <pageMargins left="0.39370078740157477" right="0.39370078740157477" top="0.39370078740157477" bottom="0.39370078740157477" header="0.3" footer="0.3"/>
  <pageSetup paperSize="9" scale="80" orientation="landscape" r:id="rId1"/>
  <headerFooter>
    <oddFooter>&amp;CCalcy | Page &amp;P&amp;Rcalcy.com.au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AF4EE"/>
    <pageSetUpPr fitToPage="1"/>
  </sheetPr>
  <dimension ref="A1:H90"/>
  <sheetViews>
    <sheetView showGridLines="0" zoomScaleNormal="100" workbookViewId="0">
      <selection sqref="A1:H2"/>
    </sheetView>
  </sheetViews>
  <sheetFormatPr defaultRowHeight="14.15"/>
  <cols>
    <col min="1" max="1" width="28" customWidth="1"/>
    <col min="2" max="8" width="16" customWidth="1"/>
  </cols>
  <sheetData>
    <row r="1" spans="1:8" ht="22" customHeight="1">
      <c r="A1" s="12" t="s">
        <v>12</v>
      </c>
      <c r="B1" s="12" t="s">
        <v>12</v>
      </c>
      <c r="C1" s="12" t="s">
        <v>12</v>
      </c>
      <c r="D1" s="12" t="s">
        <v>12</v>
      </c>
      <c r="E1" s="12" t="s">
        <v>12</v>
      </c>
      <c r="F1" s="12" t="s">
        <v>12</v>
      </c>
      <c r="G1" s="12" t="s">
        <v>12</v>
      </c>
      <c r="H1" s="12" t="s">
        <v>12</v>
      </c>
    </row>
    <row r="2" spans="1:8" ht="22" customHeight="1">
      <c r="A2" s="12" t="s">
        <v>12</v>
      </c>
      <c r="B2" s="12" t="s">
        <v>12</v>
      </c>
      <c r="C2" s="12" t="s">
        <v>12</v>
      </c>
      <c r="D2" s="12" t="s">
        <v>12</v>
      </c>
      <c r="E2" s="12" t="s">
        <v>12</v>
      </c>
      <c r="F2" s="12" t="s">
        <v>12</v>
      </c>
      <c r="G2" s="12" t="s">
        <v>12</v>
      </c>
      <c r="H2" s="12" t="s">
        <v>12</v>
      </c>
    </row>
    <row r="3" spans="1:8" ht="22" customHeight="1">
      <c r="A3" s="1"/>
      <c r="B3" s="1"/>
      <c r="C3" s="1"/>
      <c r="D3" s="1"/>
      <c r="E3" s="1"/>
      <c r="F3" s="1"/>
      <c r="G3" s="1"/>
      <c r="H3" s="1"/>
    </row>
    <row r="4" spans="1:8" ht="22" customHeight="1">
      <c r="A4" s="1"/>
      <c r="B4" s="1"/>
      <c r="C4" s="1"/>
      <c r="D4" s="1"/>
      <c r="E4" s="1"/>
      <c r="F4" s="1"/>
      <c r="G4" s="1"/>
      <c r="H4" s="1"/>
    </row>
    <row r="5" spans="1:8" ht="34" customHeight="1">
      <c r="A5" s="1" t="s">
        <v>13</v>
      </c>
      <c r="B5" s="8">
        <v>650000</v>
      </c>
      <c r="C5" s="14" t="s">
        <v>14</v>
      </c>
      <c r="D5" s="14"/>
      <c r="E5" s="14"/>
      <c r="F5" s="14"/>
      <c r="G5" s="14"/>
      <c r="H5" s="14"/>
    </row>
    <row r="6" spans="1:8" ht="34" customHeight="1">
      <c r="A6" s="1" t="s">
        <v>15</v>
      </c>
      <c r="B6" s="9">
        <v>6.3899999999999998E-2</v>
      </c>
      <c r="C6" s="14" t="s">
        <v>16</v>
      </c>
      <c r="D6" s="14"/>
      <c r="E6" s="14"/>
      <c r="F6" s="14"/>
      <c r="G6" s="14"/>
      <c r="H6" s="14"/>
    </row>
    <row r="7" spans="1:8" ht="34" customHeight="1">
      <c r="A7" s="1" t="s">
        <v>17</v>
      </c>
      <c r="B7" s="10">
        <v>30</v>
      </c>
      <c r="C7" s="14" t="s">
        <v>18</v>
      </c>
      <c r="D7" s="14"/>
      <c r="E7" s="14"/>
      <c r="F7" s="14"/>
      <c r="G7" s="14"/>
      <c r="H7" s="14"/>
    </row>
    <row r="8" spans="1:8" ht="34" customHeight="1">
      <c r="A8" s="1" t="s">
        <v>19</v>
      </c>
      <c r="B8" s="11">
        <v>46327</v>
      </c>
      <c r="C8" s="14" t="s">
        <v>20</v>
      </c>
      <c r="D8" s="14"/>
      <c r="E8" s="14"/>
      <c r="F8" s="14"/>
      <c r="G8" s="14"/>
      <c r="H8" s="14"/>
    </row>
    <row r="9" spans="1:8" ht="34" customHeight="1">
      <c r="A9" s="1" t="s">
        <v>21</v>
      </c>
      <c r="B9" s="10" t="s">
        <v>22</v>
      </c>
      <c r="C9" s="14" t="s">
        <v>23</v>
      </c>
      <c r="D9" s="14"/>
      <c r="E9" s="14"/>
      <c r="F9" s="14"/>
      <c r="G9" s="14"/>
      <c r="H9" s="14"/>
    </row>
    <row r="10" spans="1:8" ht="22" customHeight="1">
      <c r="A10" s="1"/>
      <c r="B10" s="1"/>
      <c r="C10" s="1"/>
      <c r="D10" s="1"/>
      <c r="E10" s="1"/>
      <c r="F10" s="1"/>
      <c r="G10" s="1"/>
      <c r="H10" s="1"/>
    </row>
    <row r="11" spans="1:8" ht="22" customHeight="1">
      <c r="A11" s="1"/>
      <c r="B11" s="1"/>
      <c r="C11" s="1"/>
      <c r="D11" s="1"/>
      <c r="E11" s="1"/>
      <c r="F11" s="1"/>
      <c r="G11" s="1"/>
      <c r="H11" s="1"/>
    </row>
    <row r="12" spans="1:8" ht="32.049999999999997" customHeight="1">
      <c r="A12" s="1" t="s">
        <v>24</v>
      </c>
      <c r="B12" s="1" t="b">
        <f>AND(ISNUMBER(B5),ISNUMBER(B6),ISNUMBER(B7),ISNUMBER(B8),B5&gt;=0,B5&lt;=100000000,B6&gt;=0,B6&lt;=0.3,B7&gt;=1,B7&lt;=40,IF(ISNUMBER(B7),B7=INT(B7),FALSE),B8&gt;=DATE(2000,1,1),B8&lt;=DATE(2100,12,31),OR(B9="monthly",B9="fortnightly",B9="weekly"),ISNUMBER('Offset Inputs'!B5),ISNUMBER('Offset Inputs'!B6),'Offset Inputs'!B5&gt;=0,'Offset Inputs'!B6&gt;=0,'Offset Inputs'!B5&lt;=100000000,'Offset Inputs'!B6&lt;=100000000)</f>
        <v>1</v>
      </c>
      <c r="C12" s="13" t="str">
        <f>IF(B12,"Inputs ready","Enter valid inputs. Results are unavailable.")</f>
        <v>Inputs ready</v>
      </c>
      <c r="D12" s="13"/>
      <c r="E12" s="13"/>
      <c r="F12" s="13"/>
      <c r="G12" s="13"/>
      <c r="H12" s="13"/>
    </row>
    <row r="13" spans="1:8" ht="22" customHeight="1">
      <c r="A13" s="1"/>
      <c r="B13" s="1"/>
      <c r="C13" s="1"/>
      <c r="D13" s="1"/>
      <c r="E13" s="1"/>
      <c r="F13" s="1"/>
      <c r="G13" s="1"/>
      <c r="H13" s="1"/>
    </row>
    <row r="14" spans="1:8" ht="22" customHeight="1">
      <c r="A14" s="1" t="s">
        <v>25</v>
      </c>
      <c r="B14" s="1">
        <f>12</f>
        <v>12</v>
      </c>
      <c r="C14" s="1"/>
      <c r="D14" s="1"/>
      <c r="E14" s="1"/>
      <c r="F14" s="1"/>
      <c r="G14" s="1"/>
      <c r="H14" s="1"/>
    </row>
    <row r="15" spans="1:8" ht="22" customHeight="1">
      <c r="A15" s="1" t="s">
        <v>26</v>
      </c>
      <c r="B15" s="1">
        <f>IF(B12,B6/B14,0)</f>
        <v>5.3249999999999999E-3</v>
      </c>
      <c r="C15" s="1"/>
      <c r="D15" s="1"/>
      <c r="E15" s="1"/>
      <c r="F15" s="1"/>
      <c r="G15" s="1"/>
      <c r="H15" s="1"/>
    </row>
    <row r="16" spans="1:8" ht="22" customHeight="1">
      <c r="A16" s="1" t="s">
        <v>27</v>
      </c>
      <c r="B16" s="1">
        <f>IF(B12,B7*B14,0)</f>
        <v>360</v>
      </c>
      <c r="C16" s="1"/>
      <c r="D16" s="1"/>
      <c r="E16" s="1"/>
      <c r="F16" s="1"/>
      <c r="G16" s="1"/>
      <c r="H16" s="1"/>
    </row>
    <row r="17" spans="1:8" ht="22" customHeight="1">
      <c r="A17" s="1" t="s">
        <v>28</v>
      </c>
      <c r="B17" s="2">
        <f>IF(B12,IF(B15=0,B5/B16,B5*B15*(1+B15)^B16/((1+B15)^B16-1)),0)</f>
        <v>4061.5333678073534</v>
      </c>
      <c r="C17" s="1"/>
      <c r="D17" s="1"/>
      <c r="E17" s="1"/>
      <c r="F17" s="1"/>
      <c r="G17" s="1"/>
      <c r="H17" s="1"/>
    </row>
    <row r="18" spans="1:8" ht="22" customHeight="1">
      <c r="A18" s="1"/>
      <c r="B18" s="2"/>
      <c r="C18" s="1"/>
      <c r="D18" s="1"/>
      <c r="E18" s="1"/>
      <c r="F18" s="1"/>
      <c r="G18" s="1"/>
      <c r="H18" s="1"/>
    </row>
    <row r="19" spans="1:8" ht="22" customHeight="1">
      <c r="A19" s="1"/>
      <c r="B19" s="1"/>
      <c r="C19" s="1"/>
      <c r="D19" s="1"/>
      <c r="E19" s="1"/>
      <c r="F19" s="1"/>
      <c r="G19" s="1"/>
      <c r="H19" s="1"/>
    </row>
    <row r="20" spans="1:8" ht="22" customHeight="1">
      <c r="A20" s="1"/>
      <c r="B20" s="1"/>
      <c r="C20" s="1"/>
      <c r="D20" s="1"/>
      <c r="E20" s="1"/>
      <c r="F20" s="1"/>
      <c r="G20" s="1"/>
      <c r="H20" s="1"/>
    </row>
    <row r="21" spans="1:8" ht="24" customHeight="1">
      <c r="A21" s="14" t="s">
        <v>29</v>
      </c>
      <c r="B21" s="14" t="s">
        <v>29</v>
      </c>
      <c r="C21" s="14" t="s">
        <v>29</v>
      </c>
      <c r="D21" s="14" t="s">
        <v>29</v>
      </c>
      <c r="E21" s="14" t="s">
        <v>29</v>
      </c>
      <c r="F21" s="14" t="s">
        <v>29</v>
      </c>
      <c r="G21" s="14" t="s">
        <v>29</v>
      </c>
      <c r="H21" s="14" t="s">
        <v>29</v>
      </c>
    </row>
    <row r="22" spans="1:8" ht="24" customHeight="1">
      <c r="A22" s="14" t="s">
        <v>29</v>
      </c>
      <c r="B22" s="14" t="s">
        <v>29</v>
      </c>
      <c r="C22" s="14" t="s">
        <v>29</v>
      </c>
      <c r="D22" s="14" t="s">
        <v>29</v>
      </c>
      <c r="E22" s="14" t="s">
        <v>29</v>
      </c>
      <c r="F22" s="14" t="s">
        <v>29</v>
      </c>
      <c r="G22" s="14" t="s">
        <v>29</v>
      </c>
      <c r="H22" s="14" t="s">
        <v>29</v>
      </c>
    </row>
    <row r="23" spans="1:8" ht="22" customHeight="1">
      <c r="A23" s="1"/>
      <c r="B23" s="1"/>
      <c r="C23" s="1"/>
      <c r="D23" s="1"/>
      <c r="E23" s="1"/>
      <c r="F23" s="1"/>
      <c r="G23" s="1"/>
      <c r="H23" s="1"/>
    </row>
    <row r="24" spans="1:8" ht="22" customHeight="1">
      <c r="A24" s="1"/>
      <c r="B24" s="1"/>
      <c r="C24" s="1"/>
      <c r="D24" s="1"/>
      <c r="E24" s="1"/>
      <c r="F24" s="1"/>
      <c r="G24" s="1"/>
      <c r="H24" s="1"/>
    </row>
    <row r="25" spans="1:8" ht="24" customHeight="1">
      <c r="A25" s="14" t="s">
        <v>30</v>
      </c>
      <c r="B25" s="14" t="s">
        <v>30</v>
      </c>
      <c r="C25" s="14" t="s">
        <v>30</v>
      </c>
      <c r="D25" s="14" t="s">
        <v>30</v>
      </c>
      <c r="E25" s="14" t="s">
        <v>30</v>
      </c>
      <c r="F25" s="14" t="s">
        <v>30</v>
      </c>
      <c r="G25" s="14" t="s">
        <v>30</v>
      </c>
      <c r="H25" s="14" t="s">
        <v>30</v>
      </c>
    </row>
    <row r="26" spans="1:8" ht="24" customHeight="1">
      <c r="A26" s="14" t="s">
        <v>30</v>
      </c>
      <c r="B26" s="14" t="s">
        <v>30</v>
      </c>
      <c r="C26" s="14" t="s">
        <v>30</v>
      </c>
      <c r="D26" s="14" t="s">
        <v>30</v>
      </c>
      <c r="E26" s="14" t="s">
        <v>30</v>
      </c>
      <c r="F26" s="14" t="s">
        <v>30</v>
      </c>
      <c r="G26" s="14" t="s">
        <v>30</v>
      </c>
      <c r="H26" s="14" t="s">
        <v>30</v>
      </c>
    </row>
    <row r="27" spans="1:8" ht="22" customHeight="1">
      <c r="A27" s="1"/>
      <c r="B27" s="1"/>
      <c r="C27" s="1"/>
      <c r="D27" s="1"/>
      <c r="E27" s="1"/>
      <c r="F27" s="1"/>
      <c r="G27" s="1"/>
      <c r="H27" s="1"/>
    </row>
    <row r="28" spans="1:8" ht="22" customHeight="1">
      <c r="A28" s="1"/>
      <c r="B28" s="1"/>
      <c r="C28" s="1"/>
      <c r="D28" s="1"/>
      <c r="E28" s="1"/>
      <c r="F28" s="1"/>
      <c r="G28" s="1"/>
      <c r="H28" s="1"/>
    </row>
    <row r="29" spans="1:8" ht="22" customHeight="1">
      <c r="A29" s="1"/>
      <c r="B29" s="1"/>
      <c r="C29" s="1"/>
      <c r="D29" s="1"/>
      <c r="E29" s="1"/>
      <c r="F29" s="1"/>
      <c r="G29" s="1"/>
      <c r="H29" s="1"/>
    </row>
    <row r="30" spans="1:8" ht="22" customHeight="1">
      <c r="A30" s="1"/>
      <c r="B30" s="1"/>
      <c r="C30" s="1"/>
      <c r="D30" s="1"/>
      <c r="E30" s="1"/>
      <c r="F30" s="1"/>
      <c r="G30" s="1"/>
      <c r="H30" s="1"/>
    </row>
    <row r="31" spans="1:8" ht="22" customHeight="1">
      <c r="A31" s="1"/>
      <c r="B31" s="1"/>
      <c r="C31" s="1"/>
      <c r="D31" s="1"/>
      <c r="E31" s="1"/>
      <c r="F31" s="1"/>
      <c r="G31" s="1"/>
      <c r="H31" s="1"/>
    </row>
    <row r="32" spans="1:8" ht="22" customHeight="1">
      <c r="A32" s="1"/>
      <c r="B32" s="1"/>
      <c r="C32" s="1"/>
      <c r="D32" s="1"/>
      <c r="E32" s="1"/>
      <c r="F32" s="1"/>
      <c r="G32" s="1"/>
      <c r="H32" s="1"/>
    </row>
    <row r="33" spans="1:8" ht="22" customHeight="1">
      <c r="A33" s="1"/>
      <c r="B33" s="1"/>
      <c r="C33" s="1"/>
      <c r="D33" s="1"/>
      <c r="E33" s="1"/>
      <c r="F33" s="1"/>
      <c r="G33" s="1"/>
      <c r="H33" s="1"/>
    </row>
    <row r="34" spans="1:8" ht="22" customHeight="1">
      <c r="A34" s="1"/>
      <c r="B34" s="1"/>
      <c r="C34" s="1"/>
      <c r="D34" s="1"/>
      <c r="E34" s="1"/>
      <c r="F34" s="1"/>
      <c r="G34" s="1"/>
      <c r="H34" s="1"/>
    </row>
    <row r="35" spans="1:8" ht="22" customHeight="1">
      <c r="A35" s="1"/>
      <c r="B35" s="1"/>
      <c r="C35" s="1"/>
      <c r="D35" s="1"/>
      <c r="E35" s="1"/>
      <c r="F35" s="1"/>
      <c r="G35" s="1"/>
      <c r="H35" s="1"/>
    </row>
    <row r="36" spans="1:8" ht="22" customHeight="1">
      <c r="A36" s="1"/>
      <c r="B36" s="1"/>
      <c r="C36" s="1"/>
      <c r="D36" s="1"/>
      <c r="E36" s="1"/>
      <c r="F36" s="1"/>
      <c r="G36" s="1"/>
      <c r="H36" s="1"/>
    </row>
    <row r="37" spans="1:8" ht="22" customHeight="1">
      <c r="A37" s="1"/>
      <c r="B37" s="1"/>
      <c r="C37" s="1"/>
      <c r="D37" s="1"/>
      <c r="E37" s="1"/>
      <c r="F37" s="1"/>
      <c r="G37" s="1"/>
      <c r="H37" s="1"/>
    </row>
    <row r="38" spans="1:8" ht="22" customHeight="1">
      <c r="A38" s="1"/>
      <c r="B38" s="1"/>
      <c r="C38" s="1"/>
      <c r="D38" s="1"/>
      <c r="E38" s="1"/>
      <c r="F38" s="1"/>
      <c r="G38" s="1"/>
      <c r="H38" s="1"/>
    </row>
    <row r="39" spans="1:8" ht="22" customHeight="1">
      <c r="A39" s="1"/>
      <c r="B39" s="1"/>
      <c r="C39" s="1"/>
      <c r="D39" s="1"/>
      <c r="E39" s="1"/>
      <c r="F39" s="1"/>
      <c r="G39" s="1"/>
      <c r="H39" s="1"/>
    </row>
    <row r="40" spans="1:8" ht="22" customHeight="1">
      <c r="A40" s="1"/>
      <c r="B40" s="1"/>
      <c r="C40" s="1"/>
      <c r="D40" s="1"/>
      <c r="E40" s="1"/>
      <c r="F40" s="1"/>
      <c r="G40" s="1"/>
      <c r="H40" s="1"/>
    </row>
    <row r="41" spans="1:8" ht="22" customHeight="1">
      <c r="A41" s="1"/>
      <c r="B41" s="1"/>
      <c r="C41" s="1"/>
      <c r="D41" s="1"/>
      <c r="E41" s="1"/>
      <c r="F41" s="1"/>
      <c r="G41" s="1"/>
      <c r="H41" s="1"/>
    </row>
    <row r="42" spans="1:8" ht="22" customHeight="1">
      <c r="A42" s="1"/>
      <c r="B42" s="1"/>
      <c r="C42" s="1"/>
      <c r="D42" s="1"/>
      <c r="E42" s="1"/>
      <c r="F42" s="1"/>
      <c r="G42" s="1"/>
      <c r="H42" s="1"/>
    </row>
    <row r="43" spans="1:8" ht="22" customHeight="1">
      <c r="A43" s="1"/>
      <c r="B43" s="1"/>
      <c r="C43" s="1"/>
      <c r="D43" s="1"/>
      <c r="E43" s="1"/>
      <c r="F43" s="1"/>
      <c r="G43" s="1"/>
      <c r="H43" s="1"/>
    </row>
    <row r="44" spans="1:8" ht="22" customHeight="1">
      <c r="A44" s="1"/>
      <c r="B44" s="1"/>
      <c r="C44" s="1"/>
      <c r="D44" s="1"/>
      <c r="E44" s="1"/>
      <c r="F44" s="1"/>
      <c r="G44" s="1"/>
      <c r="H44" s="1"/>
    </row>
    <row r="45" spans="1:8" ht="22" customHeight="1">
      <c r="A45" s="1"/>
      <c r="B45" s="1"/>
      <c r="C45" s="1"/>
      <c r="D45" s="1"/>
      <c r="E45" s="1"/>
      <c r="F45" s="1"/>
      <c r="G45" s="1"/>
      <c r="H45" s="1"/>
    </row>
    <row r="46" spans="1:8" ht="22" customHeight="1">
      <c r="A46" s="1"/>
      <c r="B46" s="1"/>
      <c r="C46" s="1"/>
      <c r="D46" s="1"/>
      <c r="E46" s="1"/>
      <c r="F46" s="1"/>
      <c r="G46" s="1"/>
      <c r="H46" s="1"/>
    </row>
    <row r="47" spans="1:8" ht="22" customHeight="1">
      <c r="A47" s="1"/>
      <c r="B47" s="1"/>
      <c r="C47" s="1"/>
      <c r="D47" s="1"/>
      <c r="E47" s="1"/>
      <c r="F47" s="1"/>
      <c r="G47" s="1"/>
      <c r="H47" s="1"/>
    </row>
    <row r="48" spans="1:8" ht="22" customHeight="1">
      <c r="A48" s="1"/>
      <c r="B48" s="1"/>
      <c r="C48" s="1"/>
      <c r="D48" s="1"/>
      <c r="E48" s="1"/>
      <c r="F48" s="1"/>
      <c r="G48" s="1"/>
      <c r="H48" s="1"/>
    </row>
    <row r="49" spans="1:8" ht="22" customHeight="1">
      <c r="A49" s="1"/>
      <c r="B49" s="1"/>
      <c r="C49" s="1"/>
      <c r="D49" s="1"/>
      <c r="E49" s="1"/>
      <c r="F49" s="1"/>
      <c r="G49" s="1"/>
      <c r="H49" s="1"/>
    </row>
    <row r="50" spans="1:8" ht="22" customHeight="1">
      <c r="A50" s="1"/>
      <c r="B50" s="1"/>
      <c r="C50" s="1"/>
      <c r="D50" s="1"/>
      <c r="E50" s="1"/>
      <c r="F50" s="1"/>
      <c r="G50" s="1"/>
      <c r="H50" s="1"/>
    </row>
    <row r="51" spans="1:8" ht="22" customHeight="1">
      <c r="A51" s="1"/>
      <c r="B51" s="1"/>
      <c r="C51" s="1"/>
      <c r="D51" s="1"/>
      <c r="E51" s="1"/>
      <c r="F51" s="1"/>
      <c r="G51" s="1"/>
      <c r="H51" s="1"/>
    </row>
    <row r="52" spans="1:8" ht="22" customHeight="1">
      <c r="A52" s="1"/>
      <c r="B52" s="1"/>
      <c r="C52" s="1"/>
      <c r="D52" s="1"/>
      <c r="E52" s="1"/>
      <c r="F52" s="1"/>
      <c r="G52" s="1"/>
      <c r="H52" s="1"/>
    </row>
    <row r="53" spans="1:8" ht="22" customHeight="1">
      <c r="A53" s="1"/>
      <c r="B53" s="1"/>
      <c r="C53" s="1"/>
      <c r="D53" s="1"/>
      <c r="E53" s="1"/>
      <c r="F53" s="1"/>
      <c r="G53" s="1"/>
      <c r="H53" s="1"/>
    </row>
    <row r="54" spans="1:8" ht="22" customHeight="1">
      <c r="A54" s="1"/>
      <c r="B54" s="1"/>
      <c r="C54" s="1"/>
      <c r="D54" s="1"/>
      <c r="E54" s="1"/>
      <c r="F54" s="1"/>
      <c r="G54" s="1"/>
      <c r="H54" s="1"/>
    </row>
    <row r="55" spans="1:8" ht="22" customHeight="1">
      <c r="A55" s="1"/>
      <c r="B55" s="1"/>
      <c r="C55" s="1"/>
      <c r="D55" s="1"/>
      <c r="E55" s="1"/>
      <c r="F55" s="1"/>
      <c r="G55" s="1"/>
      <c r="H55" s="1"/>
    </row>
    <row r="56" spans="1:8" ht="22" customHeight="1">
      <c r="A56" s="1"/>
      <c r="B56" s="1"/>
      <c r="C56" s="1"/>
      <c r="D56" s="1"/>
      <c r="E56" s="1"/>
      <c r="F56" s="1"/>
      <c r="G56" s="1"/>
      <c r="H56" s="1"/>
    </row>
    <row r="57" spans="1:8" ht="22" customHeight="1">
      <c r="A57" s="1"/>
      <c r="B57" s="1"/>
      <c r="C57" s="1"/>
      <c r="D57" s="1"/>
      <c r="E57" s="1"/>
      <c r="F57" s="1"/>
      <c r="G57" s="1"/>
      <c r="H57" s="1"/>
    </row>
    <row r="58" spans="1:8" ht="22" customHeight="1">
      <c r="A58" s="1"/>
      <c r="B58" s="1"/>
      <c r="C58" s="1"/>
      <c r="D58" s="1"/>
      <c r="E58" s="1"/>
      <c r="F58" s="1"/>
      <c r="G58" s="1"/>
      <c r="H58" s="1"/>
    </row>
    <row r="59" spans="1:8" ht="22" customHeight="1">
      <c r="A59" s="1"/>
      <c r="B59" s="1"/>
      <c r="C59" s="1"/>
      <c r="D59" s="1"/>
      <c r="E59" s="1"/>
      <c r="F59" s="1"/>
      <c r="G59" s="1"/>
      <c r="H59" s="1"/>
    </row>
    <row r="60" spans="1:8" ht="22" customHeight="1">
      <c r="A60" s="1"/>
      <c r="B60" s="1"/>
      <c r="C60" s="1"/>
      <c r="D60" s="1"/>
      <c r="E60" s="1"/>
      <c r="F60" s="1"/>
      <c r="G60" s="1"/>
      <c r="H60" s="1"/>
    </row>
    <row r="61" spans="1:8" ht="22" customHeight="1">
      <c r="A61" s="1"/>
      <c r="B61" s="1"/>
      <c r="C61" s="1"/>
      <c r="D61" s="1"/>
      <c r="E61" s="1"/>
      <c r="F61" s="1"/>
      <c r="G61" s="1"/>
      <c r="H61" s="1"/>
    </row>
    <row r="62" spans="1:8" ht="22" customHeight="1">
      <c r="A62" s="1"/>
      <c r="B62" s="1"/>
      <c r="C62" s="1"/>
      <c r="D62" s="1"/>
      <c r="E62" s="1"/>
      <c r="F62" s="1"/>
      <c r="G62" s="1"/>
      <c r="H62" s="1"/>
    </row>
    <row r="63" spans="1:8" ht="22" customHeight="1">
      <c r="A63" s="1"/>
      <c r="B63" s="1"/>
      <c r="C63" s="1"/>
      <c r="D63" s="1"/>
      <c r="E63" s="1"/>
      <c r="F63" s="1"/>
      <c r="G63" s="1"/>
      <c r="H63" s="1"/>
    </row>
    <row r="64" spans="1:8" ht="22" customHeight="1">
      <c r="A64" s="1"/>
      <c r="B64" s="1"/>
      <c r="C64" s="1"/>
      <c r="D64" s="1"/>
      <c r="E64" s="1"/>
      <c r="F64" s="1"/>
      <c r="G64" s="1"/>
      <c r="H64" s="1"/>
    </row>
    <row r="65" spans="1:8" ht="22" customHeight="1">
      <c r="A65" s="1"/>
      <c r="B65" s="1"/>
      <c r="C65" s="1"/>
      <c r="D65" s="1"/>
      <c r="E65" s="1"/>
      <c r="F65" s="1"/>
      <c r="G65" s="1"/>
      <c r="H65" s="1"/>
    </row>
    <row r="66" spans="1:8" ht="22" customHeight="1">
      <c r="A66" s="1"/>
      <c r="B66" s="1"/>
      <c r="C66" s="1"/>
      <c r="D66" s="1"/>
      <c r="E66" s="1"/>
      <c r="F66" s="1"/>
      <c r="G66" s="1"/>
      <c r="H66" s="1"/>
    </row>
    <row r="67" spans="1:8" ht="22" customHeight="1">
      <c r="A67" s="1"/>
      <c r="B67" s="1"/>
      <c r="C67" s="1"/>
      <c r="D67" s="1"/>
      <c r="E67" s="1"/>
      <c r="F67" s="1"/>
      <c r="G67" s="1"/>
      <c r="H67" s="1"/>
    </row>
    <row r="68" spans="1:8" ht="22" customHeight="1">
      <c r="A68" s="1"/>
      <c r="B68" s="1"/>
      <c r="C68" s="1"/>
      <c r="D68" s="1"/>
      <c r="E68" s="1"/>
      <c r="F68" s="1"/>
      <c r="G68" s="1"/>
      <c r="H68" s="1"/>
    </row>
    <row r="69" spans="1:8" ht="22" customHeight="1">
      <c r="A69" s="1"/>
      <c r="B69" s="1"/>
      <c r="C69" s="1"/>
      <c r="D69" s="1"/>
      <c r="E69" s="1"/>
      <c r="F69" s="1"/>
      <c r="G69" s="1"/>
      <c r="H69" s="1"/>
    </row>
    <row r="70" spans="1:8" ht="22" customHeight="1">
      <c r="A70" s="1"/>
      <c r="B70" s="1"/>
      <c r="C70" s="1"/>
      <c r="D70" s="1"/>
      <c r="E70" s="1"/>
      <c r="F70" s="1"/>
      <c r="G70" s="1"/>
      <c r="H70" s="1"/>
    </row>
    <row r="71" spans="1:8" ht="22" customHeight="1">
      <c r="A71" s="1"/>
      <c r="B71" s="1"/>
      <c r="C71" s="1"/>
      <c r="D71" s="1"/>
      <c r="E71" s="1"/>
      <c r="F71" s="1"/>
      <c r="G71" s="1"/>
      <c r="H71" s="1"/>
    </row>
    <row r="72" spans="1:8" ht="22" customHeight="1">
      <c r="A72" s="1"/>
      <c r="B72" s="1"/>
      <c r="C72" s="1"/>
      <c r="D72" s="1"/>
      <c r="E72" s="1"/>
      <c r="F72" s="1"/>
      <c r="G72" s="1"/>
      <c r="H72" s="1"/>
    </row>
    <row r="73" spans="1:8" ht="22" customHeight="1">
      <c r="A73" s="1"/>
      <c r="B73" s="1"/>
      <c r="C73" s="1"/>
      <c r="D73" s="1"/>
      <c r="E73" s="1"/>
      <c r="F73" s="1"/>
      <c r="G73" s="1"/>
      <c r="H73" s="1"/>
    </row>
    <row r="74" spans="1:8" ht="22" customHeight="1">
      <c r="A74" s="1"/>
      <c r="B74" s="1"/>
      <c r="C74" s="1"/>
      <c r="D74" s="1"/>
      <c r="E74" s="1"/>
      <c r="F74" s="1"/>
      <c r="G74" s="1"/>
      <c r="H74" s="1"/>
    </row>
    <row r="75" spans="1:8" ht="22" customHeight="1">
      <c r="A75" s="1"/>
      <c r="B75" s="1"/>
      <c r="C75" s="1"/>
      <c r="D75" s="1"/>
      <c r="E75" s="1"/>
      <c r="F75" s="1"/>
      <c r="G75" s="1"/>
      <c r="H75" s="1"/>
    </row>
    <row r="76" spans="1:8" ht="22" customHeight="1">
      <c r="A76" s="1"/>
      <c r="B76" s="1"/>
      <c r="C76" s="1"/>
      <c r="D76" s="1"/>
      <c r="E76" s="1"/>
      <c r="F76" s="1"/>
      <c r="G76" s="1"/>
      <c r="H76" s="1"/>
    </row>
    <row r="77" spans="1:8" ht="22" customHeight="1">
      <c r="A77" s="1"/>
      <c r="B77" s="1"/>
      <c r="C77" s="1"/>
      <c r="D77" s="1"/>
      <c r="E77" s="1"/>
      <c r="F77" s="1"/>
      <c r="G77" s="1"/>
      <c r="H77" s="1"/>
    </row>
    <row r="78" spans="1:8" ht="22" customHeight="1">
      <c r="A78" s="1"/>
      <c r="B78" s="1"/>
      <c r="C78" s="1"/>
      <c r="D78" s="1"/>
      <c r="E78" s="1"/>
      <c r="F78" s="1"/>
      <c r="G78" s="1"/>
      <c r="H78" s="1"/>
    </row>
    <row r="79" spans="1:8" ht="22" customHeight="1">
      <c r="A79" s="1"/>
      <c r="B79" s="1"/>
      <c r="C79" s="1"/>
      <c r="D79" s="1"/>
      <c r="E79" s="1"/>
      <c r="F79" s="1"/>
      <c r="G79" s="1"/>
      <c r="H79" s="1"/>
    </row>
    <row r="80" spans="1:8" ht="22" customHeight="1">
      <c r="A80" s="1"/>
      <c r="B80" s="1"/>
      <c r="C80" s="1"/>
      <c r="D80" s="1"/>
      <c r="E80" s="1"/>
      <c r="F80" s="1"/>
      <c r="G80" s="1"/>
      <c r="H80" s="1"/>
    </row>
    <row r="81" spans="1:8" ht="22" customHeight="1">
      <c r="A81" s="1"/>
      <c r="B81" s="1"/>
      <c r="C81" s="1"/>
      <c r="D81" s="1"/>
      <c r="E81" s="1"/>
      <c r="F81" s="1"/>
      <c r="G81" s="1"/>
      <c r="H81" s="1"/>
    </row>
    <row r="82" spans="1:8" ht="22" customHeight="1">
      <c r="A82" s="1"/>
      <c r="B82" s="1"/>
      <c r="C82" s="1"/>
      <c r="D82" s="1"/>
      <c r="E82" s="1"/>
      <c r="F82" s="1"/>
      <c r="G82" s="1"/>
      <c r="H82" s="1"/>
    </row>
    <row r="83" spans="1:8" ht="22" customHeight="1">
      <c r="A83" s="1"/>
      <c r="B83" s="1"/>
      <c r="C83" s="1"/>
      <c r="D83" s="1"/>
      <c r="E83" s="1"/>
      <c r="F83" s="1"/>
      <c r="G83" s="1"/>
      <c r="H83" s="1"/>
    </row>
    <row r="84" spans="1:8" ht="22" customHeight="1">
      <c r="A84" s="1"/>
      <c r="B84" s="1"/>
      <c r="C84" s="1"/>
      <c r="D84" s="1"/>
      <c r="E84" s="1"/>
      <c r="F84" s="1"/>
      <c r="G84" s="1"/>
      <c r="H84" s="1"/>
    </row>
    <row r="85" spans="1:8" ht="22" customHeight="1">
      <c r="A85" s="1"/>
      <c r="B85" s="1"/>
      <c r="C85" s="1"/>
      <c r="D85" s="1"/>
      <c r="E85" s="1"/>
      <c r="F85" s="1"/>
      <c r="G85" s="1"/>
      <c r="H85" s="1"/>
    </row>
    <row r="86" spans="1:8" ht="22" customHeight="1">
      <c r="A86" s="1"/>
      <c r="B86" s="1"/>
      <c r="C86" s="1"/>
      <c r="D86" s="1"/>
      <c r="E86" s="1"/>
      <c r="F86" s="1"/>
      <c r="G86" s="1"/>
      <c r="H86" s="1"/>
    </row>
    <row r="87" spans="1:8" ht="22" customHeight="1">
      <c r="A87" s="1"/>
      <c r="B87" s="1"/>
      <c r="C87" s="1"/>
      <c r="D87" s="1"/>
      <c r="E87" s="1"/>
      <c r="F87" s="1"/>
      <c r="G87" s="1"/>
      <c r="H87" s="1"/>
    </row>
    <row r="88" spans="1:8" ht="22" customHeight="1">
      <c r="A88" s="1"/>
      <c r="B88" s="1"/>
      <c r="C88" s="1"/>
      <c r="D88" s="1"/>
      <c r="E88" s="1"/>
      <c r="F88" s="1"/>
      <c r="G88" s="1"/>
      <c r="H88" s="1"/>
    </row>
    <row r="89" spans="1:8" ht="22" customHeight="1">
      <c r="A89" s="1"/>
      <c r="B89" s="1"/>
      <c r="C89" s="1"/>
      <c r="D89" s="1"/>
      <c r="E89" s="1"/>
      <c r="F89" s="1"/>
      <c r="G89" s="1"/>
      <c r="H89" s="1"/>
    </row>
    <row r="90" spans="1:8" ht="22" customHeight="1">
      <c r="A90" s="1"/>
      <c r="B90" s="1"/>
      <c r="C90" s="1"/>
      <c r="D90" s="1"/>
      <c r="E90" s="1"/>
      <c r="F90" s="1"/>
      <c r="G90" s="1"/>
      <c r="H90" s="1"/>
    </row>
  </sheetData>
  <sheetProtection sheet="1" objects="1" scenarios="1"/>
  <mergeCells count="9">
    <mergeCell ref="C9:H9"/>
    <mergeCell ref="C12:H12"/>
    <mergeCell ref="A21:H22"/>
    <mergeCell ref="A25:H26"/>
    <mergeCell ref="A1:H2"/>
    <mergeCell ref="C5:H5"/>
    <mergeCell ref="C6:H6"/>
    <mergeCell ref="C7:H7"/>
    <mergeCell ref="C8:H8"/>
  </mergeCells>
  <dataValidations count="1">
    <dataValidation type="list" sqref="B9" xr:uid="{00000000-0002-0000-0100-000000000000}">
      <formula1>"monthly,fortnightly,weekly"</formula1>
    </dataValidation>
  </dataValidations>
  <pageMargins left="0.39370078740157477" right="0.39370078740157477" top="0.39370078740157477" bottom="0.39370078740157477" header="0.3" footer="0.3"/>
  <pageSetup paperSize="9" scale="80" orientation="landscape" r:id="rId1"/>
  <headerFooter>
    <oddFooter>&amp;CCalcy | Page &amp;P&amp;Rcalcy.com.au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AF4EE"/>
    <pageSetUpPr fitToPage="1"/>
  </sheetPr>
  <dimension ref="A1:H90"/>
  <sheetViews>
    <sheetView showGridLines="0" zoomScaleNormal="100" workbookViewId="0">
      <selection sqref="A1:H2"/>
    </sheetView>
  </sheetViews>
  <sheetFormatPr defaultRowHeight="14.15"/>
  <cols>
    <col min="1" max="1" width="28" customWidth="1"/>
    <col min="2" max="8" width="16" customWidth="1"/>
  </cols>
  <sheetData>
    <row r="1" spans="1:8" ht="22" customHeight="1">
      <c r="A1" s="12" t="s">
        <v>31</v>
      </c>
      <c r="B1" s="12" t="s">
        <v>31</v>
      </c>
      <c r="C1" s="12" t="s">
        <v>31</v>
      </c>
      <c r="D1" s="12" t="s">
        <v>31</v>
      </c>
      <c r="E1" s="12" t="s">
        <v>31</v>
      </c>
      <c r="F1" s="12" t="s">
        <v>31</v>
      </c>
      <c r="G1" s="12" t="s">
        <v>31</v>
      </c>
      <c r="H1" s="12" t="s">
        <v>31</v>
      </c>
    </row>
    <row r="2" spans="1:8" ht="22" customHeight="1">
      <c r="A2" s="12" t="s">
        <v>31</v>
      </c>
      <c r="B2" s="12" t="s">
        <v>31</v>
      </c>
      <c r="C2" s="12" t="s">
        <v>31</v>
      </c>
      <c r="D2" s="12" t="s">
        <v>31</v>
      </c>
      <c r="E2" s="12" t="s">
        <v>31</v>
      </c>
      <c r="F2" s="12" t="s">
        <v>31</v>
      </c>
      <c r="G2" s="12" t="s">
        <v>31</v>
      </c>
      <c r="H2" s="12" t="s">
        <v>31</v>
      </c>
    </row>
    <row r="3" spans="1:8" ht="22" customHeight="1">
      <c r="A3" s="1"/>
      <c r="B3" s="1"/>
      <c r="C3" s="1"/>
      <c r="D3" s="1"/>
      <c r="E3" s="1"/>
      <c r="F3" s="1"/>
      <c r="G3" s="1"/>
      <c r="H3" s="1"/>
    </row>
    <row r="4" spans="1:8" ht="22" customHeight="1">
      <c r="A4" s="1"/>
      <c r="B4" s="1"/>
      <c r="C4" s="1"/>
      <c r="D4" s="1"/>
      <c r="E4" s="1"/>
      <c r="F4" s="1"/>
      <c r="G4" s="1"/>
      <c r="H4" s="1"/>
    </row>
    <row r="5" spans="1:8" ht="34" customHeight="1">
      <c r="A5" s="1" t="s">
        <v>32</v>
      </c>
      <c r="B5" s="8">
        <v>50000</v>
      </c>
      <c r="C5" s="14" t="s">
        <v>33</v>
      </c>
      <c r="D5" s="14"/>
      <c r="E5" s="14"/>
      <c r="F5" s="14"/>
      <c r="G5" s="14"/>
      <c r="H5" s="14"/>
    </row>
    <row r="6" spans="1:8" ht="34" customHeight="1">
      <c r="A6" s="1" t="s">
        <v>34</v>
      </c>
      <c r="B6" s="8">
        <v>500</v>
      </c>
      <c r="C6" s="14" t="s">
        <v>35</v>
      </c>
      <c r="D6" s="14"/>
      <c r="E6" s="14"/>
      <c r="F6" s="14"/>
      <c r="G6" s="14"/>
      <c r="H6" s="14"/>
    </row>
    <row r="7" spans="1:8" ht="22" customHeight="1">
      <c r="A7" s="1"/>
      <c r="B7" s="1"/>
      <c r="C7" s="1"/>
      <c r="D7" s="1"/>
      <c r="E7" s="1"/>
      <c r="F7" s="1"/>
      <c r="G7" s="1"/>
      <c r="H7" s="1"/>
    </row>
    <row r="8" spans="1:8" ht="22" customHeight="1">
      <c r="A8" s="1"/>
      <c r="B8" s="1"/>
      <c r="C8" s="1"/>
      <c r="D8" s="1"/>
      <c r="E8" s="1"/>
      <c r="F8" s="1"/>
      <c r="G8" s="1"/>
      <c r="H8" s="1"/>
    </row>
    <row r="9" spans="1:8" ht="22" customHeight="1">
      <c r="A9" s="1"/>
      <c r="B9" s="1"/>
      <c r="C9" s="1"/>
      <c r="D9" s="1"/>
      <c r="E9" s="1"/>
      <c r="F9" s="1"/>
      <c r="G9" s="1"/>
      <c r="H9" s="1"/>
    </row>
    <row r="10" spans="1:8" ht="24" customHeight="1">
      <c r="A10" s="14" t="s">
        <v>36</v>
      </c>
      <c r="B10" s="14" t="s">
        <v>36</v>
      </c>
      <c r="C10" s="14" t="s">
        <v>36</v>
      </c>
      <c r="D10" s="14" t="s">
        <v>36</v>
      </c>
      <c r="E10" s="14" t="s">
        <v>36</v>
      </c>
      <c r="F10" s="14" t="s">
        <v>36</v>
      </c>
      <c r="G10" s="14" t="s">
        <v>36</v>
      </c>
      <c r="H10" s="14" t="s">
        <v>36</v>
      </c>
    </row>
    <row r="11" spans="1:8" ht="24" customHeight="1">
      <c r="A11" s="14" t="s">
        <v>36</v>
      </c>
      <c r="B11" s="14" t="s">
        <v>36</v>
      </c>
      <c r="C11" s="14" t="s">
        <v>36</v>
      </c>
      <c r="D11" s="14" t="s">
        <v>36</v>
      </c>
      <c r="E11" s="14" t="s">
        <v>36</v>
      </c>
      <c r="F11" s="14" t="s">
        <v>36</v>
      </c>
      <c r="G11" s="14" t="s">
        <v>36</v>
      </c>
      <c r="H11" s="14" t="s">
        <v>36</v>
      </c>
    </row>
    <row r="12" spans="1:8" ht="22" customHeight="1">
      <c r="A12" s="1"/>
      <c r="B12" s="1"/>
      <c r="C12" s="1"/>
      <c r="D12" s="1"/>
      <c r="E12" s="1"/>
      <c r="F12" s="1"/>
      <c r="G12" s="1"/>
      <c r="H12" s="1"/>
    </row>
    <row r="13" spans="1:8" ht="22" customHeight="1">
      <c r="A13" s="1"/>
      <c r="B13" s="1"/>
      <c r="C13" s="1"/>
      <c r="D13" s="1"/>
      <c r="E13" s="1"/>
      <c r="F13" s="1"/>
      <c r="G13" s="1"/>
      <c r="H13" s="1"/>
    </row>
    <row r="14" spans="1:8" ht="22" customHeight="1">
      <c r="A14" s="1"/>
      <c r="B14" s="1"/>
      <c r="C14" s="1"/>
      <c r="D14" s="1"/>
      <c r="E14" s="1"/>
      <c r="F14" s="1"/>
      <c r="G14" s="1"/>
      <c r="H14" s="1"/>
    </row>
    <row r="15" spans="1:8" ht="22" customHeight="1">
      <c r="A15" s="1"/>
      <c r="B15" s="1"/>
      <c r="C15" s="1"/>
      <c r="D15" s="1"/>
      <c r="E15" s="1"/>
      <c r="F15" s="1"/>
      <c r="G15" s="1"/>
      <c r="H15" s="1"/>
    </row>
    <row r="16" spans="1:8" ht="22" customHeight="1">
      <c r="A16" s="1"/>
      <c r="B16" s="1"/>
      <c r="C16" s="1"/>
      <c r="D16" s="1"/>
      <c r="E16" s="1"/>
      <c r="F16" s="1"/>
      <c r="G16" s="1"/>
      <c r="H16" s="1"/>
    </row>
    <row r="17" spans="1:8" ht="22" customHeight="1">
      <c r="A17" s="1"/>
      <c r="B17" s="1"/>
      <c r="C17" s="1"/>
      <c r="D17" s="1"/>
      <c r="E17" s="1"/>
      <c r="F17" s="1"/>
      <c r="G17" s="1"/>
      <c r="H17" s="1"/>
    </row>
    <row r="18" spans="1:8" ht="22" customHeight="1">
      <c r="A18" s="1"/>
      <c r="B18" s="1"/>
      <c r="C18" s="1"/>
      <c r="D18" s="1"/>
      <c r="E18" s="1"/>
      <c r="F18" s="1"/>
      <c r="G18" s="1"/>
      <c r="H18" s="1"/>
    </row>
    <row r="19" spans="1:8" ht="22" customHeight="1">
      <c r="A19" s="1"/>
      <c r="B19" s="1"/>
      <c r="C19" s="1"/>
      <c r="D19" s="1"/>
      <c r="E19" s="1"/>
      <c r="F19" s="1"/>
      <c r="G19" s="1"/>
      <c r="H19" s="1"/>
    </row>
    <row r="20" spans="1:8" ht="22" customHeight="1">
      <c r="A20" s="1"/>
      <c r="B20" s="1"/>
      <c r="C20" s="1"/>
      <c r="D20" s="1"/>
      <c r="E20" s="1"/>
      <c r="F20" s="1"/>
      <c r="G20" s="1"/>
      <c r="H20" s="1"/>
    </row>
    <row r="21" spans="1:8" ht="22" customHeight="1">
      <c r="A21" s="1"/>
      <c r="B21" s="1"/>
      <c r="C21" s="1"/>
      <c r="D21" s="1"/>
      <c r="E21" s="1"/>
      <c r="F21" s="1"/>
      <c r="G21" s="1"/>
      <c r="H21" s="1"/>
    </row>
    <row r="22" spans="1:8" ht="22" customHeight="1">
      <c r="A22" s="1"/>
      <c r="B22" s="1"/>
      <c r="C22" s="1"/>
      <c r="D22" s="1"/>
      <c r="E22" s="1"/>
      <c r="F22" s="1"/>
      <c r="G22" s="1"/>
      <c r="H22" s="1"/>
    </row>
    <row r="23" spans="1:8" ht="22" customHeight="1">
      <c r="A23" s="1"/>
      <c r="B23" s="1"/>
      <c r="C23" s="1"/>
      <c r="D23" s="1"/>
      <c r="E23" s="1"/>
      <c r="F23" s="1"/>
      <c r="G23" s="1"/>
      <c r="H23" s="1"/>
    </row>
    <row r="24" spans="1:8" ht="22" customHeight="1">
      <c r="A24" s="1"/>
      <c r="B24" s="1"/>
      <c r="C24" s="1"/>
      <c r="D24" s="1"/>
      <c r="E24" s="1"/>
      <c r="F24" s="1"/>
      <c r="G24" s="1"/>
      <c r="H24" s="1"/>
    </row>
    <row r="25" spans="1:8" ht="22" customHeight="1">
      <c r="A25" s="1"/>
      <c r="B25" s="1"/>
      <c r="C25" s="1"/>
      <c r="D25" s="1"/>
      <c r="E25" s="1"/>
      <c r="F25" s="1"/>
      <c r="G25" s="1"/>
      <c r="H25" s="1"/>
    </row>
    <row r="26" spans="1:8" ht="22" customHeight="1">
      <c r="A26" s="1"/>
      <c r="B26" s="1"/>
      <c r="C26" s="1"/>
      <c r="D26" s="1"/>
      <c r="E26" s="1"/>
      <c r="F26" s="1"/>
      <c r="G26" s="1"/>
      <c r="H26" s="1"/>
    </row>
    <row r="27" spans="1:8" ht="22" customHeight="1">
      <c r="A27" s="1"/>
      <c r="B27" s="1"/>
      <c r="C27" s="1"/>
      <c r="D27" s="1"/>
      <c r="E27" s="1"/>
      <c r="F27" s="1"/>
      <c r="G27" s="1"/>
      <c r="H27" s="1"/>
    </row>
    <row r="28" spans="1:8" ht="22" customHeight="1">
      <c r="A28" s="1"/>
      <c r="B28" s="1"/>
      <c r="C28" s="1"/>
      <c r="D28" s="1"/>
      <c r="E28" s="1"/>
      <c r="F28" s="1"/>
      <c r="G28" s="1"/>
      <c r="H28" s="1"/>
    </row>
    <row r="29" spans="1:8" ht="22" customHeight="1">
      <c r="A29" s="1"/>
      <c r="B29" s="1"/>
      <c r="C29" s="1"/>
      <c r="D29" s="1"/>
      <c r="E29" s="1"/>
      <c r="F29" s="1"/>
      <c r="G29" s="1"/>
      <c r="H29" s="1"/>
    </row>
    <row r="30" spans="1:8" ht="22" customHeight="1">
      <c r="A30" s="1"/>
      <c r="B30" s="1"/>
      <c r="C30" s="1"/>
      <c r="D30" s="1"/>
      <c r="E30" s="1"/>
      <c r="F30" s="1"/>
      <c r="G30" s="1"/>
      <c r="H30" s="1"/>
    </row>
    <row r="31" spans="1:8" ht="22" customHeight="1">
      <c r="A31" s="1"/>
      <c r="B31" s="1"/>
      <c r="C31" s="1"/>
      <c r="D31" s="1"/>
      <c r="E31" s="1"/>
      <c r="F31" s="1"/>
      <c r="G31" s="1"/>
      <c r="H31" s="1"/>
    </row>
    <row r="32" spans="1:8" ht="22" customHeight="1">
      <c r="A32" s="1"/>
      <c r="B32" s="1"/>
      <c r="C32" s="1"/>
      <c r="D32" s="1"/>
      <c r="E32" s="1"/>
      <c r="F32" s="1"/>
      <c r="G32" s="1"/>
      <c r="H32" s="1"/>
    </row>
    <row r="33" spans="1:8" ht="22" customHeight="1">
      <c r="A33" s="1"/>
      <c r="B33" s="1"/>
      <c r="C33" s="1"/>
      <c r="D33" s="1"/>
      <c r="E33" s="1"/>
      <c r="F33" s="1"/>
      <c r="G33" s="1"/>
      <c r="H33" s="1"/>
    </row>
    <row r="34" spans="1:8" ht="22" customHeight="1">
      <c r="A34" s="1"/>
      <c r="B34" s="1"/>
      <c r="C34" s="1"/>
      <c r="D34" s="1"/>
      <c r="E34" s="1"/>
      <c r="F34" s="1"/>
      <c r="G34" s="1"/>
      <c r="H34" s="1"/>
    </row>
    <row r="35" spans="1:8" ht="22" customHeight="1">
      <c r="A35" s="1"/>
      <c r="B35" s="1"/>
      <c r="C35" s="1"/>
      <c r="D35" s="1"/>
      <c r="E35" s="1"/>
      <c r="F35" s="1"/>
      <c r="G35" s="1"/>
      <c r="H35" s="1"/>
    </row>
    <row r="36" spans="1:8" ht="22" customHeight="1">
      <c r="A36" s="1"/>
      <c r="B36" s="1"/>
      <c r="C36" s="1"/>
      <c r="D36" s="1"/>
      <c r="E36" s="1"/>
      <c r="F36" s="1"/>
      <c r="G36" s="1"/>
      <c r="H36" s="1"/>
    </row>
    <row r="37" spans="1:8" ht="22" customHeight="1">
      <c r="A37" s="1"/>
      <c r="B37" s="1"/>
      <c r="C37" s="1"/>
      <c r="D37" s="1"/>
      <c r="E37" s="1"/>
      <c r="F37" s="1"/>
      <c r="G37" s="1"/>
      <c r="H37" s="1"/>
    </row>
    <row r="38" spans="1:8" ht="22" customHeight="1">
      <c r="A38" s="1"/>
      <c r="B38" s="1"/>
      <c r="C38" s="1"/>
      <c r="D38" s="1"/>
      <c r="E38" s="1"/>
      <c r="F38" s="1"/>
      <c r="G38" s="1"/>
      <c r="H38" s="1"/>
    </row>
    <row r="39" spans="1:8" ht="22" customHeight="1">
      <c r="A39" s="1"/>
      <c r="B39" s="1"/>
      <c r="C39" s="1"/>
      <c r="D39" s="1"/>
      <c r="E39" s="1"/>
      <c r="F39" s="1"/>
      <c r="G39" s="1"/>
      <c r="H39" s="1"/>
    </row>
    <row r="40" spans="1:8" ht="22" customHeight="1">
      <c r="A40" s="1"/>
      <c r="B40" s="1"/>
      <c r="C40" s="1"/>
      <c r="D40" s="1"/>
      <c r="E40" s="1"/>
      <c r="F40" s="1"/>
      <c r="G40" s="1"/>
      <c r="H40" s="1"/>
    </row>
    <row r="41" spans="1:8" ht="22" customHeight="1">
      <c r="A41" s="1"/>
      <c r="B41" s="1"/>
      <c r="C41" s="1"/>
      <c r="D41" s="1"/>
      <c r="E41" s="1"/>
      <c r="F41" s="1"/>
      <c r="G41" s="1"/>
      <c r="H41" s="1"/>
    </row>
    <row r="42" spans="1:8" ht="22" customHeight="1">
      <c r="A42" s="1"/>
      <c r="B42" s="1"/>
      <c r="C42" s="1"/>
      <c r="D42" s="1"/>
      <c r="E42" s="1"/>
      <c r="F42" s="1"/>
      <c r="G42" s="1"/>
      <c r="H42" s="1"/>
    </row>
    <row r="43" spans="1:8" ht="22" customHeight="1">
      <c r="A43" s="1"/>
      <c r="B43" s="1"/>
      <c r="C43" s="1"/>
      <c r="D43" s="1"/>
      <c r="E43" s="1"/>
      <c r="F43" s="1"/>
      <c r="G43" s="1"/>
      <c r="H43" s="1"/>
    </row>
    <row r="44" spans="1:8" ht="22" customHeight="1">
      <c r="A44" s="1"/>
      <c r="B44" s="1"/>
      <c r="C44" s="1"/>
      <c r="D44" s="1"/>
      <c r="E44" s="1"/>
      <c r="F44" s="1"/>
      <c r="G44" s="1"/>
      <c r="H44" s="1"/>
    </row>
    <row r="45" spans="1:8" ht="22" customHeight="1">
      <c r="A45" s="1"/>
      <c r="B45" s="1"/>
      <c r="C45" s="1"/>
      <c r="D45" s="1"/>
      <c r="E45" s="1"/>
      <c r="F45" s="1"/>
      <c r="G45" s="1"/>
      <c r="H45" s="1"/>
    </row>
    <row r="46" spans="1:8" ht="22" customHeight="1">
      <c r="A46" s="1"/>
      <c r="B46" s="1"/>
      <c r="C46" s="1"/>
      <c r="D46" s="1"/>
      <c r="E46" s="1"/>
      <c r="F46" s="1"/>
      <c r="G46" s="1"/>
      <c r="H46" s="1"/>
    </row>
    <row r="47" spans="1:8" ht="22" customHeight="1">
      <c r="A47" s="1"/>
      <c r="B47" s="1"/>
      <c r="C47" s="1"/>
      <c r="D47" s="1"/>
      <c r="E47" s="1"/>
      <c r="F47" s="1"/>
      <c r="G47" s="1"/>
      <c r="H47" s="1"/>
    </row>
    <row r="48" spans="1:8" ht="22" customHeight="1">
      <c r="A48" s="1"/>
      <c r="B48" s="1"/>
      <c r="C48" s="1"/>
      <c r="D48" s="1"/>
      <c r="E48" s="1"/>
      <c r="F48" s="1"/>
      <c r="G48" s="1"/>
      <c r="H48" s="1"/>
    </row>
    <row r="49" spans="1:8" ht="22" customHeight="1">
      <c r="A49" s="1"/>
      <c r="B49" s="1"/>
      <c r="C49" s="1"/>
      <c r="D49" s="1"/>
      <c r="E49" s="1"/>
      <c r="F49" s="1"/>
      <c r="G49" s="1"/>
      <c r="H49" s="1"/>
    </row>
    <row r="50" spans="1:8" ht="22" customHeight="1">
      <c r="A50" s="1"/>
      <c r="B50" s="1"/>
      <c r="C50" s="1"/>
      <c r="D50" s="1"/>
      <c r="E50" s="1"/>
      <c r="F50" s="1"/>
      <c r="G50" s="1"/>
      <c r="H50" s="1"/>
    </row>
    <row r="51" spans="1:8" ht="22" customHeight="1">
      <c r="A51" s="1"/>
      <c r="B51" s="1"/>
      <c r="C51" s="1"/>
      <c r="D51" s="1"/>
      <c r="E51" s="1"/>
      <c r="F51" s="1"/>
      <c r="G51" s="1"/>
      <c r="H51" s="1"/>
    </row>
    <row r="52" spans="1:8" ht="22" customHeight="1">
      <c r="A52" s="1"/>
      <c r="B52" s="1"/>
      <c r="C52" s="1"/>
      <c r="D52" s="1"/>
      <c r="E52" s="1"/>
      <c r="F52" s="1"/>
      <c r="G52" s="1"/>
      <c r="H52" s="1"/>
    </row>
    <row r="53" spans="1:8" ht="22" customHeight="1">
      <c r="A53" s="1"/>
      <c r="B53" s="1"/>
      <c r="C53" s="1"/>
      <c r="D53" s="1"/>
      <c r="E53" s="1"/>
      <c r="F53" s="1"/>
      <c r="G53" s="1"/>
      <c r="H53" s="1"/>
    </row>
    <row r="54" spans="1:8" ht="22" customHeight="1">
      <c r="A54" s="1"/>
      <c r="B54" s="1"/>
      <c r="C54" s="1"/>
      <c r="D54" s="1"/>
      <c r="E54" s="1"/>
      <c r="F54" s="1"/>
      <c r="G54" s="1"/>
      <c r="H54" s="1"/>
    </row>
    <row r="55" spans="1:8" ht="22" customHeight="1">
      <c r="A55" s="1"/>
      <c r="B55" s="1"/>
      <c r="C55" s="1"/>
      <c r="D55" s="1"/>
      <c r="E55" s="1"/>
      <c r="F55" s="1"/>
      <c r="G55" s="1"/>
      <c r="H55" s="1"/>
    </row>
    <row r="56" spans="1:8" ht="22" customHeight="1">
      <c r="A56" s="1"/>
      <c r="B56" s="1"/>
      <c r="C56" s="1"/>
      <c r="D56" s="1"/>
      <c r="E56" s="1"/>
      <c r="F56" s="1"/>
      <c r="G56" s="1"/>
      <c r="H56" s="1"/>
    </row>
    <row r="57" spans="1:8" ht="22" customHeight="1">
      <c r="A57" s="1"/>
      <c r="B57" s="1"/>
      <c r="C57" s="1"/>
      <c r="D57" s="1"/>
      <c r="E57" s="1"/>
      <c r="F57" s="1"/>
      <c r="G57" s="1"/>
      <c r="H57" s="1"/>
    </row>
    <row r="58" spans="1:8" ht="22" customHeight="1">
      <c r="A58" s="1"/>
      <c r="B58" s="1"/>
      <c r="C58" s="1"/>
      <c r="D58" s="1"/>
      <c r="E58" s="1"/>
      <c r="F58" s="1"/>
      <c r="G58" s="1"/>
      <c r="H58" s="1"/>
    </row>
    <row r="59" spans="1:8" ht="22" customHeight="1">
      <c r="A59" s="1"/>
      <c r="B59" s="1"/>
      <c r="C59" s="1"/>
      <c r="D59" s="1"/>
      <c r="E59" s="1"/>
      <c r="F59" s="1"/>
      <c r="G59" s="1"/>
      <c r="H59" s="1"/>
    </row>
    <row r="60" spans="1:8" ht="22" customHeight="1">
      <c r="A60" s="1"/>
      <c r="B60" s="1"/>
      <c r="C60" s="1"/>
      <c r="D60" s="1"/>
      <c r="E60" s="1"/>
      <c r="F60" s="1"/>
      <c r="G60" s="1"/>
      <c r="H60" s="1"/>
    </row>
    <row r="61" spans="1:8" ht="22" customHeight="1">
      <c r="A61" s="1"/>
      <c r="B61" s="1"/>
      <c r="C61" s="1"/>
      <c r="D61" s="1"/>
      <c r="E61" s="1"/>
      <c r="F61" s="1"/>
      <c r="G61" s="1"/>
      <c r="H61" s="1"/>
    </row>
    <row r="62" spans="1:8" ht="22" customHeight="1">
      <c r="A62" s="1"/>
      <c r="B62" s="1"/>
      <c r="C62" s="1"/>
      <c r="D62" s="1"/>
      <c r="E62" s="1"/>
      <c r="F62" s="1"/>
      <c r="G62" s="1"/>
      <c r="H62" s="1"/>
    </row>
    <row r="63" spans="1:8" ht="22" customHeight="1">
      <c r="A63" s="1"/>
      <c r="B63" s="1"/>
      <c r="C63" s="1"/>
      <c r="D63" s="1"/>
      <c r="E63" s="1"/>
      <c r="F63" s="1"/>
      <c r="G63" s="1"/>
      <c r="H63" s="1"/>
    </row>
    <row r="64" spans="1:8" ht="22" customHeight="1">
      <c r="A64" s="1"/>
      <c r="B64" s="1"/>
      <c r="C64" s="1"/>
      <c r="D64" s="1"/>
      <c r="E64" s="1"/>
      <c r="F64" s="1"/>
      <c r="G64" s="1"/>
      <c r="H64" s="1"/>
    </row>
    <row r="65" spans="1:8" ht="22" customHeight="1">
      <c r="A65" s="1"/>
      <c r="B65" s="1"/>
      <c r="C65" s="1"/>
      <c r="D65" s="1"/>
      <c r="E65" s="1"/>
      <c r="F65" s="1"/>
      <c r="G65" s="1"/>
      <c r="H65" s="1"/>
    </row>
    <row r="66" spans="1:8" ht="22" customHeight="1">
      <c r="A66" s="1"/>
      <c r="B66" s="1"/>
      <c r="C66" s="1"/>
      <c r="D66" s="1"/>
      <c r="E66" s="1"/>
      <c r="F66" s="1"/>
      <c r="G66" s="1"/>
      <c r="H66" s="1"/>
    </row>
    <row r="67" spans="1:8" ht="22" customHeight="1">
      <c r="A67" s="1"/>
      <c r="B67" s="1"/>
      <c r="C67" s="1"/>
      <c r="D67" s="1"/>
      <c r="E67" s="1"/>
      <c r="F67" s="1"/>
      <c r="G67" s="1"/>
      <c r="H67" s="1"/>
    </row>
    <row r="68" spans="1:8" ht="22" customHeight="1">
      <c r="A68" s="1"/>
      <c r="B68" s="1"/>
      <c r="C68" s="1"/>
      <c r="D68" s="1"/>
      <c r="E68" s="1"/>
      <c r="F68" s="1"/>
      <c r="G68" s="1"/>
      <c r="H68" s="1"/>
    </row>
    <row r="69" spans="1:8" ht="22" customHeight="1">
      <c r="A69" s="1"/>
      <c r="B69" s="1"/>
      <c r="C69" s="1"/>
      <c r="D69" s="1"/>
      <c r="E69" s="1"/>
      <c r="F69" s="1"/>
      <c r="G69" s="1"/>
      <c r="H69" s="1"/>
    </row>
    <row r="70" spans="1:8" ht="22" customHeight="1">
      <c r="A70" s="1"/>
      <c r="B70" s="1"/>
      <c r="C70" s="1"/>
      <c r="D70" s="1"/>
      <c r="E70" s="1"/>
      <c r="F70" s="1"/>
      <c r="G70" s="1"/>
      <c r="H70" s="1"/>
    </row>
    <row r="71" spans="1:8" ht="22" customHeight="1">
      <c r="A71" s="1"/>
      <c r="B71" s="1"/>
      <c r="C71" s="1"/>
      <c r="D71" s="1"/>
      <c r="E71" s="1"/>
      <c r="F71" s="1"/>
      <c r="G71" s="1"/>
      <c r="H71" s="1"/>
    </row>
    <row r="72" spans="1:8" ht="22" customHeight="1">
      <c r="A72" s="1"/>
      <c r="B72" s="1"/>
      <c r="C72" s="1"/>
      <c r="D72" s="1"/>
      <c r="E72" s="1"/>
      <c r="F72" s="1"/>
      <c r="G72" s="1"/>
      <c r="H72" s="1"/>
    </row>
    <row r="73" spans="1:8" ht="22" customHeight="1">
      <c r="A73" s="1"/>
      <c r="B73" s="1"/>
      <c r="C73" s="1"/>
      <c r="D73" s="1"/>
      <c r="E73" s="1"/>
      <c r="F73" s="1"/>
      <c r="G73" s="1"/>
      <c r="H73" s="1"/>
    </row>
    <row r="74" spans="1:8" ht="22" customHeight="1">
      <c r="A74" s="1"/>
      <c r="B74" s="1"/>
      <c r="C74" s="1"/>
      <c r="D74" s="1"/>
      <c r="E74" s="1"/>
      <c r="F74" s="1"/>
      <c r="G74" s="1"/>
      <c r="H74" s="1"/>
    </row>
    <row r="75" spans="1:8" ht="22" customHeight="1">
      <c r="A75" s="1"/>
      <c r="B75" s="1"/>
      <c r="C75" s="1"/>
      <c r="D75" s="1"/>
      <c r="E75" s="1"/>
      <c r="F75" s="1"/>
      <c r="G75" s="1"/>
      <c r="H75" s="1"/>
    </row>
    <row r="76" spans="1:8" ht="22" customHeight="1">
      <c r="A76" s="1"/>
      <c r="B76" s="1"/>
      <c r="C76" s="1"/>
      <c r="D76" s="1"/>
      <c r="E76" s="1"/>
      <c r="F76" s="1"/>
      <c r="G76" s="1"/>
      <c r="H76" s="1"/>
    </row>
    <row r="77" spans="1:8" ht="22" customHeight="1">
      <c r="A77" s="1"/>
      <c r="B77" s="1"/>
      <c r="C77" s="1"/>
      <c r="D77" s="1"/>
      <c r="E77" s="1"/>
      <c r="F77" s="1"/>
      <c r="G77" s="1"/>
      <c r="H77" s="1"/>
    </row>
    <row r="78" spans="1:8" ht="22" customHeight="1">
      <c r="A78" s="1"/>
      <c r="B78" s="1"/>
      <c r="C78" s="1"/>
      <c r="D78" s="1"/>
      <c r="E78" s="1"/>
      <c r="F78" s="1"/>
      <c r="G78" s="1"/>
      <c r="H78" s="1"/>
    </row>
    <row r="79" spans="1:8" ht="22" customHeight="1">
      <c r="A79" s="1"/>
      <c r="B79" s="1"/>
      <c r="C79" s="1"/>
      <c r="D79" s="1"/>
      <c r="E79" s="1"/>
      <c r="F79" s="1"/>
      <c r="G79" s="1"/>
      <c r="H79" s="1"/>
    </row>
    <row r="80" spans="1:8" ht="22" customHeight="1">
      <c r="A80" s="1"/>
      <c r="B80" s="1"/>
      <c r="C80" s="1"/>
      <c r="D80" s="1"/>
      <c r="E80" s="1"/>
      <c r="F80" s="1"/>
      <c r="G80" s="1"/>
      <c r="H80" s="1"/>
    </row>
    <row r="81" spans="1:8" ht="22" customHeight="1">
      <c r="A81" s="1"/>
      <c r="B81" s="1"/>
      <c r="C81" s="1"/>
      <c r="D81" s="1"/>
      <c r="E81" s="1"/>
      <c r="F81" s="1"/>
      <c r="G81" s="1"/>
      <c r="H81" s="1"/>
    </row>
    <row r="82" spans="1:8" ht="22" customHeight="1">
      <c r="A82" s="1"/>
      <c r="B82" s="1"/>
      <c r="C82" s="1"/>
      <c r="D82" s="1"/>
      <c r="E82" s="1"/>
      <c r="F82" s="1"/>
      <c r="G82" s="1"/>
      <c r="H82" s="1"/>
    </row>
    <row r="83" spans="1:8" ht="22" customHeight="1">
      <c r="A83" s="1"/>
      <c r="B83" s="1"/>
      <c r="C83" s="1"/>
      <c r="D83" s="1"/>
      <c r="E83" s="1"/>
      <c r="F83" s="1"/>
      <c r="G83" s="1"/>
      <c r="H83" s="1"/>
    </row>
    <row r="84" spans="1:8" ht="22" customHeight="1">
      <c r="A84" s="1"/>
      <c r="B84" s="1"/>
      <c r="C84" s="1"/>
      <c r="D84" s="1"/>
      <c r="E84" s="1"/>
      <c r="F84" s="1"/>
      <c r="G84" s="1"/>
      <c r="H84" s="1"/>
    </row>
    <row r="85" spans="1:8" ht="22" customHeight="1">
      <c r="A85" s="1"/>
      <c r="B85" s="1"/>
      <c r="C85" s="1"/>
      <c r="D85" s="1"/>
      <c r="E85" s="1"/>
      <c r="F85" s="1"/>
      <c r="G85" s="1"/>
      <c r="H85" s="1"/>
    </row>
    <row r="86" spans="1:8" ht="22" customHeight="1">
      <c r="A86" s="1"/>
      <c r="B86" s="1"/>
      <c r="C86" s="1"/>
      <c r="D86" s="1"/>
      <c r="E86" s="1"/>
      <c r="F86" s="1"/>
      <c r="G86" s="1"/>
      <c r="H86" s="1"/>
    </row>
    <row r="87" spans="1:8" ht="22" customHeight="1">
      <c r="A87" s="1"/>
      <c r="B87" s="1"/>
      <c r="C87" s="1"/>
      <c r="D87" s="1"/>
      <c r="E87" s="1"/>
      <c r="F87" s="1"/>
      <c r="G87" s="1"/>
      <c r="H87" s="1"/>
    </row>
    <row r="88" spans="1:8" ht="22" customHeight="1">
      <c r="A88" s="1"/>
      <c r="B88" s="1"/>
      <c r="C88" s="1"/>
      <c r="D88" s="1"/>
      <c r="E88" s="1"/>
      <c r="F88" s="1"/>
      <c r="G88" s="1"/>
      <c r="H88" s="1"/>
    </row>
    <row r="89" spans="1:8" ht="22" customHeight="1">
      <c r="A89" s="1"/>
      <c r="B89" s="1"/>
      <c r="C89" s="1"/>
      <c r="D89" s="1"/>
      <c r="E89" s="1"/>
      <c r="F89" s="1"/>
      <c r="G89" s="1"/>
      <c r="H89" s="1"/>
    </row>
    <row r="90" spans="1:8" ht="22" customHeight="1">
      <c r="A90" s="1"/>
      <c r="B90" s="1"/>
      <c r="C90" s="1"/>
      <c r="D90" s="1"/>
      <c r="E90" s="1"/>
      <c r="F90" s="1"/>
      <c r="G90" s="1"/>
      <c r="H90" s="1"/>
    </row>
  </sheetData>
  <sheetProtection sheet="1" objects="1" scenarios="1"/>
  <mergeCells count="4">
    <mergeCell ref="A1:H2"/>
    <mergeCell ref="C5:H5"/>
    <mergeCell ref="C6:H6"/>
    <mergeCell ref="A10:H11"/>
  </mergeCells>
  <pageMargins left="0.39370078740157477" right="0.39370078740157477" top="0.39370078740157477" bottom="0.39370078740157477" header="0.3" footer="0.3"/>
  <pageSetup paperSize="9" scale="86" orientation="landscape" r:id="rId1"/>
  <headerFooter>
    <oddFooter>&amp;CCalcy | Page &amp;P&amp;Rcalcy.com.au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AF4EE"/>
    <pageSetUpPr fitToPage="1"/>
  </sheetPr>
  <dimension ref="A1:H1086"/>
  <sheetViews>
    <sheetView showGridLines="0" zoomScaleNormal="100" workbookViewId="0">
      <pane ySplit="6" topLeftCell="A7" activePane="bottomLeft" state="frozen"/>
      <selection pane="bottomLeft" sqref="A1:H2"/>
    </sheetView>
  </sheetViews>
  <sheetFormatPr defaultRowHeight="14.15"/>
  <cols>
    <col min="1" max="1" width="9" customWidth="1"/>
    <col min="2" max="2" width="16" customWidth="1"/>
    <col min="3" max="8" width="18" customWidth="1"/>
  </cols>
  <sheetData>
    <row r="1" spans="1:8" ht="22" customHeight="1">
      <c r="A1" s="12" t="s">
        <v>37</v>
      </c>
      <c r="B1" s="12" t="s">
        <v>37</v>
      </c>
      <c r="C1" s="12" t="s">
        <v>37</v>
      </c>
      <c r="D1" s="12" t="s">
        <v>37</v>
      </c>
      <c r="E1" s="12" t="s">
        <v>37</v>
      </c>
      <c r="F1" s="12" t="s">
        <v>37</v>
      </c>
      <c r="G1" s="12" t="s">
        <v>37</v>
      </c>
      <c r="H1" s="12" t="s">
        <v>37</v>
      </c>
    </row>
    <row r="2" spans="1:8" ht="22" customHeight="1">
      <c r="A2" s="12" t="s">
        <v>37</v>
      </c>
      <c r="B2" s="12" t="s">
        <v>37</v>
      </c>
      <c r="C2" s="12" t="s">
        <v>37</v>
      </c>
      <c r="D2" s="12" t="s">
        <v>37</v>
      </c>
      <c r="E2" s="12" t="s">
        <v>37</v>
      </c>
      <c r="F2" s="12" t="s">
        <v>37</v>
      </c>
      <c r="G2" s="12" t="s">
        <v>37</v>
      </c>
      <c r="H2" s="12" t="s">
        <v>37</v>
      </c>
    </row>
    <row r="3" spans="1:8" ht="22" customHeight="1">
      <c r="A3" s="1"/>
      <c r="B3" s="1"/>
      <c r="C3" s="1"/>
      <c r="D3" s="1"/>
      <c r="E3" s="1"/>
      <c r="F3" s="1"/>
      <c r="G3" s="1"/>
      <c r="H3" s="1"/>
    </row>
    <row r="4" spans="1:8" ht="22" customHeight="1">
      <c r="A4" s="1"/>
      <c r="B4" s="1"/>
      <c r="C4" s="1"/>
      <c r="D4" s="1"/>
      <c r="E4" s="1"/>
      <c r="F4" s="1"/>
      <c r="G4" s="1"/>
      <c r="H4" s="1"/>
    </row>
    <row r="5" spans="1:8" ht="22" customHeight="1">
      <c r="A5" s="1"/>
      <c r="B5" s="1"/>
      <c r="C5" s="1"/>
      <c r="D5" s="1"/>
      <c r="E5" s="1"/>
      <c r="F5" s="1"/>
      <c r="G5" s="1"/>
      <c r="H5" s="1"/>
    </row>
    <row r="6" spans="1:8" ht="32.049999999999997" customHeight="1">
      <c r="A6" s="3" t="s">
        <v>38</v>
      </c>
      <c r="B6" s="3" t="s">
        <v>39</v>
      </c>
      <c r="C6" s="3" t="s">
        <v>40</v>
      </c>
      <c r="D6" s="3" t="s">
        <v>41</v>
      </c>
      <c r="E6" s="3" t="s">
        <v>42</v>
      </c>
      <c r="F6" s="3" t="s">
        <v>43</v>
      </c>
      <c r="G6" s="3" t="s">
        <v>44</v>
      </c>
      <c r="H6" s="3" t="s">
        <v>45</v>
      </c>
    </row>
    <row r="7" spans="1:8" ht="22" customHeight="1">
      <c r="A7" s="1">
        <f>IF(AND('Mortgage Inputs'!$B$12,1&lt;=IF('Mortgage Inputs'!$B$12,'Mortgage Inputs'!$B$7,0)*12+600,ISNUMBER('Mortgage Inputs'!$B$5),'Mortgage Inputs'!$B$5&gt;0.005),1,"")</f>
        <v>1</v>
      </c>
      <c r="B7" s="4">
        <f>IF(A7="","",DATE(YEAR('Mortgage Inputs'!$B$8),MONTH('Mortgage Inputs'!$B$8)+A7,DAY('Mortgage Inputs'!$B$8)))</f>
        <v>46357</v>
      </c>
      <c r="C7" s="2">
        <f>IF(A7="","",'Mortgage Inputs'!$B$5)</f>
        <v>650000</v>
      </c>
      <c r="D7" s="2">
        <f>IF(A7="","",'Offset Inputs'!$B$5)</f>
        <v>50000</v>
      </c>
      <c r="E7" s="2">
        <f>IF(A7="","",MAX(0,(C7-MIN(D7,C7))*'Mortgage Inputs'!$B$15))</f>
        <v>3195</v>
      </c>
      <c r="F7" s="2">
        <f>IF(A7="","",IF(AND('Offset Inputs'!$B$5&gt;='Mortgage Inputs'!$B$5,'Mortgage Inputs'!$B$5&gt;0),C7,MIN(C7,MAX(0,'Mortgage Inputs'!$B$17-E7))))</f>
        <v>866.53336780735344</v>
      </c>
      <c r="G7" s="2">
        <f t="shared" ref="G7:G70" si="0">IF(A7="","",MAX(0,C7-F7))</f>
        <v>649133.46663219261</v>
      </c>
      <c r="H7" s="2">
        <f>IF(A7="","",IF(AND('Offset Inputs'!$B$5&gt;='Mortgage Inputs'!$B$5,'Mortgage Inputs'!$B$5&gt;0),'Offset Inputs'!$B$5-'Mortgage Inputs'!$B$5,D7+'Offset Inputs'!$B$6))</f>
        <v>50500</v>
      </c>
    </row>
    <row r="8" spans="1:8" ht="22" customHeight="1">
      <c r="A8" s="1">
        <f>IF(AND('Mortgage Inputs'!$B$12,2&lt;=IF('Mortgage Inputs'!$B$12,'Mortgage Inputs'!$B$7,0)*12+600,ISNUMBER(G7),G7&gt;0.005),2,"")</f>
        <v>2</v>
      </c>
      <c r="B8" s="4">
        <f>IF(A8="","",DATE(YEAR('Mortgage Inputs'!$B$8),MONTH('Mortgage Inputs'!$B$8)+A8,DAY('Mortgage Inputs'!$B$8)))</f>
        <v>46388</v>
      </c>
      <c r="C8" s="2">
        <f t="shared" ref="C8:C71" si="1">IF(A8="","",G7)</f>
        <v>649133.46663219261</v>
      </c>
      <c r="D8" s="2">
        <f t="shared" ref="D8:D71" si="2">IF(A8="","",H7)</f>
        <v>50500</v>
      </c>
      <c r="E8" s="2">
        <f>IF(A8="","",MAX(0,(C8-MIN(D8,C8))*'Mortgage Inputs'!$B$15))</f>
        <v>3187.7232098164254</v>
      </c>
      <c r="F8" s="2">
        <f>IF(A8="","",IF(AND('Offset Inputs'!$B$5&gt;='Mortgage Inputs'!$B$5,'Mortgage Inputs'!$B$5&gt;0),C8,MIN(C8,MAX(0,'Mortgage Inputs'!$B$17-E8))))</f>
        <v>873.81015799092802</v>
      </c>
      <c r="G8" s="2">
        <f t="shared" si="0"/>
        <v>648259.65647420171</v>
      </c>
      <c r="H8" s="2">
        <f>IF(A8="","",IF(AND('Offset Inputs'!$B$5&gt;='Mortgage Inputs'!$B$5,'Mortgage Inputs'!$B$5&gt;0),'Offset Inputs'!$B$5-'Mortgage Inputs'!$B$5,D8+'Offset Inputs'!$B$6))</f>
        <v>51000</v>
      </c>
    </row>
    <row r="9" spans="1:8" ht="22" customHeight="1">
      <c r="A9" s="1">
        <f>IF(AND('Mortgage Inputs'!$B$12,3&lt;=IF('Mortgage Inputs'!$B$12,'Mortgage Inputs'!$B$7,0)*12+600,ISNUMBER(G8),G8&gt;0.005),3,"")</f>
        <v>3</v>
      </c>
      <c r="B9" s="4">
        <f>IF(A9="","",DATE(YEAR('Mortgage Inputs'!$B$8),MONTH('Mortgage Inputs'!$B$8)+A9,DAY('Mortgage Inputs'!$B$8)))</f>
        <v>46419</v>
      </c>
      <c r="C9" s="2">
        <f t="shared" si="1"/>
        <v>648259.65647420171</v>
      </c>
      <c r="D9" s="2">
        <f t="shared" si="2"/>
        <v>51000</v>
      </c>
      <c r="E9" s="2">
        <f>IF(A9="","",MAX(0,(C9-MIN(D9,C9))*'Mortgage Inputs'!$B$15))</f>
        <v>3180.4076707251238</v>
      </c>
      <c r="F9" s="2">
        <f>IF(A9="","",IF(AND('Offset Inputs'!$B$5&gt;='Mortgage Inputs'!$B$5,'Mortgage Inputs'!$B$5&gt;0),C9,MIN(C9,MAX(0,'Mortgage Inputs'!$B$17-E9))))</f>
        <v>881.12569708222964</v>
      </c>
      <c r="G9" s="2">
        <f t="shared" si="0"/>
        <v>647378.53077711945</v>
      </c>
      <c r="H9" s="2">
        <f>IF(A9="","",IF(AND('Offset Inputs'!$B$5&gt;='Mortgage Inputs'!$B$5,'Mortgage Inputs'!$B$5&gt;0),'Offset Inputs'!$B$5-'Mortgage Inputs'!$B$5,D9+'Offset Inputs'!$B$6))</f>
        <v>51500</v>
      </c>
    </row>
    <row r="10" spans="1:8" ht="22" customHeight="1">
      <c r="A10" s="1">
        <f>IF(AND('Mortgage Inputs'!$B$12,4&lt;=IF('Mortgage Inputs'!$B$12,'Mortgage Inputs'!$B$7,0)*12+600,ISNUMBER(G9),G9&gt;0.005),4,"")</f>
        <v>4</v>
      </c>
      <c r="B10" s="4">
        <f>IF(A10="","",DATE(YEAR('Mortgage Inputs'!$B$8),MONTH('Mortgage Inputs'!$B$8)+A10,DAY('Mortgage Inputs'!$B$8)))</f>
        <v>46447</v>
      </c>
      <c r="C10" s="2">
        <f t="shared" si="1"/>
        <v>647378.53077711945</v>
      </c>
      <c r="D10" s="2">
        <f t="shared" si="2"/>
        <v>51500</v>
      </c>
      <c r="E10" s="2">
        <f>IF(A10="","",MAX(0,(C10-MIN(D10,C10))*'Mortgage Inputs'!$B$15))</f>
        <v>3173.0531763881609</v>
      </c>
      <c r="F10" s="2">
        <f>IF(A10="","",IF(AND('Offset Inputs'!$B$5&gt;='Mortgage Inputs'!$B$5,'Mortgage Inputs'!$B$5&gt;0),C10,MIN(C10,MAX(0,'Mortgage Inputs'!$B$17-E10))))</f>
        <v>888.48019141919258</v>
      </c>
      <c r="G10" s="2">
        <f t="shared" si="0"/>
        <v>646490.0505857002</v>
      </c>
      <c r="H10" s="2">
        <f>IF(A10="","",IF(AND('Offset Inputs'!$B$5&gt;='Mortgage Inputs'!$B$5,'Mortgage Inputs'!$B$5&gt;0),'Offset Inputs'!$B$5-'Mortgage Inputs'!$B$5,D10+'Offset Inputs'!$B$6))</f>
        <v>52000</v>
      </c>
    </row>
    <row r="11" spans="1:8" ht="22" customHeight="1">
      <c r="A11" s="1">
        <f>IF(AND('Mortgage Inputs'!$B$12,5&lt;=IF('Mortgage Inputs'!$B$12,'Mortgage Inputs'!$B$7,0)*12+600,ISNUMBER(G10),G10&gt;0.005),5,"")</f>
        <v>5</v>
      </c>
      <c r="B11" s="4">
        <f>IF(A11="","",DATE(YEAR('Mortgage Inputs'!$B$8),MONTH('Mortgage Inputs'!$B$8)+A11,DAY('Mortgage Inputs'!$B$8)))</f>
        <v>46478</v>
      </c>
      <c r="C11" s="2">
        <f t="shared" si="1"/>
        <v>646490.0505857002</v>
      </c>
      <c r="D11" s="2">
        <f t="shared" si="2"/>
        <v>52000</v>
      </c>
      <c r="E11" s="2">
        <f>IF(A11="","",MAX(0,(C11-MIN(D11,C11))*'Mortgage Inputs'!$B$15))</f>
        <v>3165.6595193688536</v>
      </c>
      <c r="F11" s="2">
        <f>IF(A11="","",IF(AND('Offset Inputs'!$B$5&gt;='Mortgage Inputs'!$B$5,'Mortgage Inputs'!$B$5&gt;0),C11,MIN(C11,MAX(0,'Mortgage Inputs'!$B$17-E11))))</f>
        <v>895.87384843849986</v>
      </c>
      <c r="G11" s="2">
        <f t="shared" si="0"/>
        <v>645594.1767372617</v>
      </c>
      <c r="H11" s="2">
        <f>IF(A11="","",IF(AND('Offset Inputs'!$B$5&gt;='Mortgage Inputs'!$B$5,'Mortgage Inputs'!$B$5&gt;0),'Offset Inputs'!$B$5-'Mortgage Inputs'!$B$5,D11+'Offset Inputs'!$B$6))</f>
        <v>52500</v>
      </c>
    </row>
    <row r="12" spans="1:8" ht="22" customHeight="1">
      <c r="A12" s="1">
        <f>IF(AND('Mortgage Inputs'!$B$12,6&lt;=IF('Mortgage Inputs'!$B$12,'Mortgage Inputs'!$B$7,0)*12+600,ISNUMBER(G11),G11&gt;0.005),6,"")</f>
        <v>6</v>
      </c>
      <c r="B12" s="4">
        <f>IF(A12="","",DATE(YEAR('Mortgage Inputs'!$B$8),MONTH('Mortgage Inputs'!$B$8)+A12,DAY('Mortgage Inputs'!$B$8)))</f>
        <v>46508</v>
      </c>
      <c r="C12" s="2">
        <f t="shared" si="1"/>
        <v>645594.1767372617</v>
      </c>
      <c r="D12" s="2">
        <f t="shared" si="2"/>
        <v>52500</v>
      </c>
      <c r="E12" s="2">
        <f>IF(A12="","",MAX(0,(C12-MIN(D12,C12))*'Mortgage Inputs'!$B$15))</f>
        <v>3158.2264911259185</v>
      </c>
      <c r="F12" s="2">
        <f>IF(A12="","",IF(AND('Offset Inputs'!$B$5&gt;='Mortgage Inputs'!$B$5,'Mortgage Inputs'!$B$5&gt;0),C12,MIN(C12,MAX(0,'Mortgage Inputs'!$B$17-E12))))</f>
        <v>903.30687668143491</v>
      </c>
      <c r="G12" s="2">
        <f t="shared" si="0"/>
        <v>644690.86986058031</v>
      </c>
      <c r="H12" s="2">
        <f>IF(A12="","",IF(AND('Offset Inputs'!$B$5&gt;='Mortgage Inputs'!$B$5,'Mortgage Inputs'!$B$5&gt;0),'Offset Inputs'!$B$5-'Mortgage Inputs'!$B$5,D12+'Offset Inputs'!$B$6))</f>
        <v>53000</v>
      </c>
    </row>
    <row r="13" spans="1:8" ht="22" customHeight="1">
      <c r="A13" s="1">
        <f>IF(AND('Mortgage Inputs'!$B$12,7&lt;=IF('Mortgage Inputs'!$B$12,'Mortgage Inputs'!$B$7,0)*12+600,ISNUMBER(G12),G12&gt;0.005),7,"")</f>
        <v>7</v>
      </c>
      <c r="B13" s="4">
        <f>IF(A13="","",DATE(YEAR('Mortgage Inputs'!$B$8),MONTH('Mortgage Inputs'!$B$8)+A13,DAY('Mortgage Inputs'!$B$8)))</f>
        <v>46539</v>
      </c>
      <c r="C13" s="2">
        <f t="shared" si="1"/>
        <v>644690.86986058031</v>
      </c>
      <c r="D13" s="2">
        <f t="shared" si="2"/>
        <v>53000</v>
      </c>
      <c r="E13" s="2">
        <f>IF(A13="","",MAX(0,(C13-MIN(D13,C13))*'Mortgage Inputs'!$B$15))</f>
        <v>3150.7538820075902</v>
      </c>
      <c r="F13" s="2">
        <f>IF(A13="","",IF(AND('Offset Inputs'!$B$5&gt;='Mortgage Inputs'!$B$5,'Mortgage Inputs'!$B$5&gt;0),C13,MIN(C13,MAX(0,'Mortgage Inputs'!$B$17-E13))))</f>
        <v>910.77948579976328</v>
      </c>
      <c r="G13" s="2">
        <f t="shared" si="0"/>
        <v>643780.09037478059</v>
      </c>
      <c r="H13" s="2">
        <f>IF(A13="","",IF(AND('Offset Inputs'!$B$5&gt;='Mortgage Inputs'!$B$5,'Mortgage Inputs'!$B$5&gt;0),'Offset Inputs'!$B$5-'Mortgage Inputs'!$B$5,D13+'Offset Inputs'!$B$6))</f>
        <v>53500</v>
      </c>
    </row>
    <row r="14" spans="1:8" ht="22" customHeight="1">
      <c r="A14" s="1">
        <f>IF(AND('Mortgage Inputs'!$B$12,8&lt;=IF('Mortgage Inputs'!$B$12,'Mortgage Inputs'!$B$7,0)*12+600,ISNUMBER(G13),G13&gt;0.005),8,"")</f>
        <v>8</v>
      </c>
      <c r="B14" s="4">
        <f>IF(A14="","",DATE(YEAR('Mortgage Inputs'!$B$8),MONTH('Mortgage Inputs'!$B$8)+A14,DAY('Mortgage Inputs'!$B$8)))</f>
        <v>46569</v>
      </c>
      <c r="C14" s="2">
        <f t="shared" si="1"/>
        <v>643780.09037478059</v>
      </c>
      <c r="D14" s="2">
        <f t="shared" si="2"/>
        <v>53500</v>
      </c>
      <c r="E14" s="2">
        <f>IF(A14="","",MAX(0,(C14-MIN(D14,C14))*'Mortgage Inputs'!$B$15))</f>
        <v>3143.2414812457064</v>
      </c>
      <c r="F14" s="2">
        <f>IF(A14="","",IF(AND('Offset Inputs'!$B$5&gt;='Mortgage Inputs'!$B$5,'Mortgage Inputs'!$B$5&gt;0),C14,MIN(C14,MAX(0,'Mortgage Inputs'!$B$17-E14))))</f>
        <v>918.29188656164706</v>
      </c>
      <c r="G14" s="2">
        <f t="shared" si="0"/>
        <v>642861.79848821892</v>
      </c>
      <c r="H14" s="2">
        <f>IF(A14="","",IF(AND('Offset Inputs'!$B$5&gt;='Mortgage Inputs'!$B$5,'Mortgage Inputs'!$B$5&gt;0),'Offset Inputs'!$B$5-'Mortgage Inputs'!$B$5,D14+'Offset Inputs'!$B$6))</f>
        <v>54000</v>
      </c>
    </row>
    <row r="15" spans="1:8" ht="22" customHeight="1">
      <c r="A15" s="1">
        <f>IF(AND('Mortgage Inputs'!$B$12,9&lt;=IF('Mortgage Inputs'!$B$12,'Mortgage Inputs'!$B$7,0)*12+600,ISNUMBER(G14),G14&gt;0.005),9,"")</f>
        <v>9</v>
      </c>
      <c r="B15" s="4">
        <f>IF(A15="","",DATE(YEAR('Mortgage Inputs'!$B$8),MONTH('Mortgage Inputs'!$B$8)+A15,DAY('Mortgage Inputs'!$B$8)))</f>
        <v>46600</v>
      </c>
      <c r="C15" s="2">
        <f t="shared" si="1"/>
        <v>642861.79848821892</v>
      </c>
      <c r="D15" s="2">
        <f t="shared" si="2"/>
        <v>54000</v>
      </c>
      <c r="E15" s="2">
        <f>IF(A15="","",MAX(0,(C15-MIN(D15,C15))*'Mortgage Inputs'!$B$15))</f>
        <v>3135.6890769497659</v>
      </c>
      <c r="F15" s="2">
        <f>IF(A15="","",IF(AND('Offset Inputs'!$B$5&gt;='Mortgage Inputs'!$B$5,'Mortgage Inputs'!$B$5&gt;0),C15,MIN(C15,MAX(0,'Mortgage Inputs'!$B$17-E15))))</f>
        <v>925.84429085758757</v>
      </c>
      <c r="G15" s="2">
        <f t="shared" si="0"/>
        <v>641935.95419736137</v>
      </c>
      <c r="H15" s="2">
        <f>IF(A15="","",IF(AND('Offset Inputs'!$B$5&gt;='Mortgage Inputs'!$B$5,'Mortgage Inputs'!$B$5&gt;0),'Offset Inputs'!$B$5-'Mortgage Inputs'!$B$5,D15+'Offset Inputs'!$B$6))</f>
        <v>54500</v>
      </c>
    </row>
    <row r="16" spans="1:8" ht="22" customHeight="1">
      <c r="A16" s="1">
        <f>IF(AND('Mortgage Inputs'!$B$12,10&lt;=IF('Mortgage Inputs'!$B$12,'Mortgage Inputs'!$B$7,0)*12+600,ISNUMBER(G15),G15&gt;0.005),10,"")</f>
        <v>10</v>
      </c>
      <c r="B16" s="4">
        <f>IF(A16="","",DATE(YEAR('Mortgage Inputs'!$B$8),MONTH('Mortgage Inputs'!$B$8)+A16,DAY('Mortgage Inputs'!$B$8)))</f>
        <v>46631</v>
      </c>
      <c r="C16" s="2">
        <f t="shared" si="1"/>
        <v>641935.95419736137</v>
      </c>
      <c r="D16" s="2">
        <f t="shared" si="2"/>
        <v>54500</v>
      </c>
      <c r="E16" s="2">
        <f>IF(A16="","",MAX(0,(C16-MIN(D16,C16))*'Mortgage Inputs'!$B$15))</f>
        <v>3128.0964561009491</v>
      </c>
      <c r="F16" s="2">
        <f>IF(A16="","",IF(AND('Offset Inputs'!$B$5&gt;='Mortgage Inputs'!$B$5,'Mortgage Inputs'!$B$5&gt;0),C16,MIN(C16,MAX(0,'Mortgage Inputs'!$B$17-E16))))</f>
        <v>933.43691170640432</v>
      </c>
      <c r="G16" s="2">
        <f t="shared" si="0"/>
        <v>641002.51728565502</v>
      </c>
      <c r="H16" s="2">
        <f>IF(A16="","",IF(AND('Offset Inputs'!$B$5&gt;='Mortgage Inputs'!$B$5,'Mortgage Inputs'!$B$5&gt;0),'Offset Inputs'!$B$5-'Mortgage Inputs'!$B$5,D16+'Offset Inputs'!$B$6))</f>
        <v>55000</v>
      </c>
    </row>
    <row r="17" spans="1:8" ht="22" customHeight="1">
      <c r="A17" s="1">
        <f>IF(AND('Mortgage Inputs'!$B$12,11&lt;=IF('Mortgage Inputs'!$B$12,'Mortgage Inputs'!$B$7,0)*12+600,ISNUMBER(G16),G16&gt;0.005),11,"")</f>
        <v>11</v>
      </c>
      <c r="B17" s="4">
        <f>IF(A17="","",DATE(YEAR('Mortgage Inputs'!$B$8),MONTH('Mortgage Inputs'!$B$8)+A17,DAY('Mortgage Inputs'!$B$8)))</f>
        <v>46661</v>
      </c>
      <c r="C17" s="2">
        <f t="shared" si="1"/>
        <v>641002.51728565502</v>
      </c>
      <c r="D17" s="2">
        <f t="shared" si="2"/>
        <v>55000</v>
      </c>
      <c r="E17" s="2">
        <f>IF(A17="","",MAX(0,(C17-MIN(D17,C17))*'Mortgage Inputs'!$B$15))</f>
        <v>3120.463404546113</v>
      </c>
      <c r="F17" s="2">
        <f>IF(A17="","",IF(AND('Offset Inputs'!$B$5&gt;='Mortgage Inputs'!$B$5,'Mortgage Inputs'!$B$5&gt;0),C17,MIN(C17,MAX(0,'Mortgage Inputs'!$B$17-E17))))</f>
        <v>941.06996326124045</v>
      </c>
      <c r="G17" s="2">
        <f t="shared" si="0"/>
        <v>640061.44732239377</v>
      </c>
      <c r="H17" s="2">
        <f>IF(A17="","",IF(AND('Offset Inputs'!$B$5&gt;='Mortgage Inputs'!$B$5,'Mortgage Inputs'!$B$5&gt;0),'Offset Inputs'!$B$5-'Mortgage Inputs'!$B$5,D17+'Offset Inputs'!$B$6))</f>
        <v>55500</v>
      </c>
    </row>
    <row r="18" spans="1:8" ht="22" customHeight="1">
      <c r="A18" s="1">
        <f>IF(AND('Mortgage Inputs'!$B$12,12&lt;=IF('Mortgage Inputs'!$B$12,'Mortgage Inputs'!$B$7,0)*12+600,ISNUMBER(G17),G17&gt;0.005),12,"")</f>
        <v>12</v>
      </c>
      <c r="B18" s="4">
        <f>IF(A18="","",DATE(YEAR('Mortgage Inputs'!$B$8),MONTH('Mortgage Inputs'!$B$8)+A18,DAY('Mortgage Inputs'!$B$8)))</f>
        <v>46692</v>
      </c>
      <c r="C18" s="2">
        <f t="shared" si="1"/>
        <v>640061.44732239377</v>
      </c>
      <c r="D18" s="2">
        <f t="shared" si="2"/>
        <v>55500</v>
      </c>
      <c r="E18" s="2">
        <f>IF(A18="","",MAX(0,(C18-MIN(D18,C18))*'Mortgage Inputs'!$B$15))</f>
        <v>3112.7897069917467</v>
      </c>
      <c r="F18" s="2">
        <f>IF(A18="","",IF(AND('Offset Inputs'!$B$5&gt;='Mortgage Inputs'!$B$5,'Mortgage Inputs'!$B$5&gt;0),C18,MIN(C18,MAX(0,'Mortgage Inputs'!$B$17-E18))))</f>
        <v>948.74366081560675</v>
      </c>
      <c r="G18" s="2">
        <f t="shared" si="0"/>
        <v>639112.70366157813</v>
      </c>
      <c r="H18" s="2">
        <f>IF(A18="","",IF(AND('Offset Inputs'!$B$5&gt;='Mortgage Inputs'!$B$5,'Mortgage Inputs'!$B$5&gt;0),'Offset Inputs'!$B$5-'Mortgage Inputs'!$B$5,D18+'Offset Inputs'!$B$6))</f>
        <v>56000</v>
      </c>
    </row>
    <row r="19" spans="1:8" ht="22" customHeight="1">
      <c r="A19" s="1">
        <f>IF(AND('Mortgage Inputs'!$B$12,13&lt;=IF('Mortgage Inputs'!$B$12,'Mortgage Inputs'!$B$7,0)*12+600,ISNUMBER(G18),G18&gt;0.005),13,"")</f>
        <v>13</v>
      </c>
      <c r="B19" s="4">
        <f>IF(A19="","",DATE(YEAR('Mortgage Inputs'!$B$8),MONTH('Mortgage Inputs'!$B$8)+A19,DAY('Mortgage Inputs'!$B$8)))</f>
        <v>46722</v>
      </c>
      <c r="C19" s="2">
        <f t="shared" si="1"/>
        <v>639112.70366157813</v>
      </c>
      <c r="D19" s="2">
        <f t="shared" si="2"/>
        <v>56000</v>
      </c>
      <c r="E19" s="2">
        <f>IF(A19="","",MAX(0,(C19-MIN(D19,C19))*'Mortgage Inputs'!$B$15))</f>
        <v>3105.0751469979036</v>
      </c>
      <c r="F19" s="2">
        <f>IF(A19="","",IF(AND('Offset Inputs'!$B$5&gt;='Mortgage Inputs'!$B$5,'Mortgage Inputs'!$B$5&gt;0),C19,MIN(C19,MAX(0,'Mortgage Inputs'!$B$17-E19))))</f>
        <v>956.45822080944981</v>
      </c>
      <c r="G19" s="2">
        <f t="shared" si="0"/>
        <v>638156.24544076866</v>
      </c>
      <c r="H19" s="2">
        <f>IF(A19="","",IF(AND('Offset Inputs'!$B$5&gt;='Mortgage Inputs'!$B$5,'Mortgage Inputs'!$B$5&gt;0),'Offset Inputs'!$B$5-'Mortgage Inputs'!$B$5,D19+'Offset Inputs'!$B$6))</f>
        <v>56500</v>
      </c>
    </row>
    <row r="20" spans="1:8" ht="22" customHeight="1">
      <c r="A20" s="1">
        <f>IF(AND('Mortgage Inputs'!$B$12,14&lt;=IF('Mortgage Inputs'!$B$12,'Mortgage Inputs'!$B$7,0)*12+600,ISNUMBER(G19),G19&gt;0.005),14,"")</f>
        <v>14</v>
      </c>
      <c r="B20" s="4">
        <f>IF(A20="","",DATE(YEAR('Mortgage Inputs'!$B$8),MONTH('Mortgage Inputs'!$B$8)+A20,DAY('Mortgage Inputs'!$B$8)))</f>
        <v>46753</v>
      </c>
      <c r="C20" s="2">
        <f t="shared" si="1"/>
        <v>638156.24544076866</v>
      </c>
      <c r="D20" s="2">
        <f t="shared" si="2"/>
        <v>56500</v>
      </c>
      <c r="E20" s="2">
        <f>IF(A20="","",MAX(0,(C20-MIN(D20,C20))*'Mortgage Inputs'!$B$15))</f>
        <v>3097.3195069720932</v>
      </c>
      <c r="F20" s="2">
        <f>IF(A20="","",IF(AND('Offset Inputs'!$B$5&gt;='Mortgage Inputs'!$B$5,'Mortgage Inputs'!$B$5&gt;0),C20,MIN(C20,MAX(0,'Mortgage Inputs'!$B$17-E20))))</f>
        <v>964.21386083526022</v>
      </c>
      <c r="G20" s="2">
        <f t="shared" si="0"/>
        <v>637192.03157993336</v>
      </c>
      <c r="H20" s="2">
        <f>IF(A20="","",IF(AND('Offset Inputs'!$B$5&gt;='Mortgage Inputs'!$B$5,'Mortgage Inputs'!$B$5&gt;0),'Offset Inputs'!$B$5-'Mortgage Inputs'!$B$5,D20+'Offset Inputs'!$B$6))</f>
        <v>57000</v>
      </c>
    </row>
    <row r="21" spans="1:8" ht="22" customHeight="1">
      <c r="A21" s="1">
        <f>IF(AND('Mortgage Inputs'!$B$12,15&lt;=IF('Mortgage Inputs'!$B$12,'Mortgage Inputs'!$B$7,0)*12+600,ISNUMBER(G20),G20&gt;0.005),15,"")</f>
        <v>15</v>
      </c>
      <c r="B21" s="4">
        <f>IF(A21="","",DATE(YEAR('Mortgage Inputs'!$B$8),MONTH('Mortgage Inputs'!$B$8)+A21,DAY('Mortgage Inputs'!$B$8)))</f>
        <v>46784</v>
      </c>
      <c r="C21" s="2">
        <f t="shared" si="1"/>
        <v>637192.03157993336</v>
      </c>
      <c r="D21" s="2">
        <f t="shared" si="2"/>
        <v>57000</v>
      </c>
      <c r="E21" s="2">
        <f>IF(A21="","",MAX(0,(C21-MIN(D21,C21))*'Mortgage Inputs'!$B$15))</f>
        <v>3089.522568163145</v>
      </c>
      <c r="F21" s="2">
        <f>IF(A21="","",IF(AND('Offset Inputs'!$B$5&gt;='Mortgage Inputs'!$B$5,'Mortgage Inputs'!$B$5&gt;0),C21,MIN(C21,MAX(0,'Mortgage Inputs'!$B$17-E21))))</f>
        <v>972.01079964420842</v>
      </c>
      <c r="G21" s="2">
        <f t="shared" si="0"/>
        <v>636220.0207802892</v>
      </c>
      <c r="H21" s="2">
        <f>IF(A21="","",IF(AND('Offset Inputs'!$B$5&gt;='Mortgage Inputs'!$B$5,'Mortgage Inputs'!$B$5&gt;0),'Offset Inputs'!$B$5-'Mortgage Inputs'!$B$5,D21+'Offset Inputs'!$B$6))</f>
        <v>57500</v>
      </c>
    </row>
    <row r="22" spans="1:8" ht="22" customHeight="1">
      <c r="A22" s="1">
        <f>IF(AND('Mortgage Inputs'!$B$12,16&lt;=IF('Mortgage Inputs'!$B$12,'Mortgage Inputs'!$B$7,0)*12+600,ISNUMBER(G21),G21&gt;0.005),16,"")</f>
        <v>16</v>
      </c>
      <c r="B22" s="4">
        <f>IF(A22="","",DATE(YEAR('Mortgage Inputs'!$B$8),MONTH('Mortgage Inputs'!$B$8)+A22,DAY('Mortgage Inputs'!$B$8)))</f>
        <v>46813</v>
      </c>
      <c r="C22" s="2">
        <f t="shared" si="1"/>
        <v>636220.0207802892</v>
      </c>
      <c r="D22" s="2">
        <f t="shared" si="2"/>
        <v>57500</v>
      </c>
      <c r="E22" s="2">
        <f>IF(A22="","",MAX(0,(C22-MIN(D22,C22))*'Mortgage Inputs'!$B$15))</f>
        <v>3081.6841106550401</v>
      </c>
      <c r="F22" s="2">
        <f>IF(A22="","",IF(AND('Offset Inputs'!$B$5&gt;='Mortgage Inputs'!$B$5,'Mortgage Inputs'!$B$5&gt;0),C22,MIN(C22,MAX(0,'Mortgage Inputs'!$B$17-E22))))</f>
        <v>979.84925715231338</v>
      </c>
      <c r="G22" s="2">
        <f t="shared" si="0"/>
        <v>635240.1715231369</v>
      </c>
      <c r="H22" s="2">
        <f>IF(A22="","",IF(AND('Offset Inputs'!$B$5&gt;='Mortgage Inputs'!$B$5,'Mortgage Inputs'!$B$5&gt;0),'Offset Inputs'!$B$5-'Mortgage Inputs'!$B$5,D22+'Offset Inputs'!$B$6))</f>
        <v>58000</v>
      </c>
    </row>
    <row r="23" spans="1:8" ht="22" customHeight="1">
      <c r="A23" s="1">
        <f>IF(AND('Mortgage Inputs'!$B$12,17&lt;=IF('Mortgage Inputs'!$B$12,'Mortgage Inputs'!$B$7,0)*12+600,ISNUMBER(G22),G22&gt;0.005),17,"")</f>
        <v>17</v>
      </c>
      <c r="B23" s="4">
        <f>IF(A23="","",DATE(YEAR('Mortgage Inputs'!$B$8),MONTH('Mortgage Inputs'!$B$8)+A23,DAY('Mortgage Inputs'!$B$8)))</f>
        <v>46844</v>
      </c>
      <c r="C23" s="2">
        <f t="shared" si="1"/>
        <v>635240.1715231369</v>
      </c>
      <c r="D23" s="2">
        <f t="shared" si="2"/>
        <v>58000</v>
      </c>
      <c r="E23" s="2">
        <f>IF(A23="","",MAX(0,(C23-MIN(D23,C23))*'Mortgage Inputs'!$B$15))</f>
        <v>3073.803913360704</v>
      </c>
      <c r="F23" s="2">
        <f>IF(A23="","",IF(AND('Offset Inputs'!$B$5&gt;='Mortgage Inputs'!$B$5,'Mortgage Inputs'!$B$5&gt;0),C23,MIN(C23,MAX(0,'Mortgage Inputs'!$B$17-E23))))</f>
        <v>987.72945444664947</v>
      </c>
      <c r="G23" s="2">
        <f t="shared" si="0"/>
        <v>634252.4420686902</v>
      </c>
      <c r="H23" s="2">
        <f>IF(A23="","",IF(AND('Offset Inputs'!$B$5&gt;='Mortgage Inputs'!$B$5,'Mortgage Inputs'!$B$5&gt;0),'Offset Inputs'!$B$5-'Mortgage Inputs'!$B$5,D23+'Offset Inputs'!$B$6))</f>
        <v>58500</v>
      </c>
    </row>
    <row r="24" spans="1:8" ht="22" customHeight="1">
      <c r="A24" s="1">
        <f>IF(AND('Mortgage Inputs'!$B$12,18&lt;=IF('Mortgage Inputs'!$B$12,'Mortgage Inputs'!$B$7,0)*12+600,ISNUMBER(G23),G23&gt;0.005),18,"")</f>
        <v>18</v>
      </c>
      <c r="B24" s="4">
        <f>IF(A24="","",DATE(YEAR('Mortgage Inputs'!$B$8),MONTH('Mortgage Inputs'!$B$8)+A24,DAY('Mortgage Inputs'!$B$8)))</f>
        <v>46874</v>
      </c>
      <c r="C24" s="2">
        <f t="shared" si="1"/>
        <v>634252.4420686902</v>
      </c>
      <c r="D24" s="2">
        <f t="shared" si="2"/>
        <v>58500</v>
      </c>
      <c r="E24" s="2">
        <f>IF(A24="","",MAX(0,(C24-MIN(D24,C24))*'Mortgage Inputs'!$B$15))</f>
        <v>3065.8817540157752</v>
      </c>
      <c r="F24" s="2">
        <f>IF(A24="","",IF(AND('Offset Inputs'!$B$5&gt;='Mortgage Inputs'!$B$5,'Mortgage Inputs'!$B$5&gt;0),C24,MIN(C24,MAX(0,'Mortgage Inputs'!$B$17-E24))))</f>
        <v>995.65161379157826</v>
      </c>
      <c r="G24" s="2">
        <f t="shared" si="0"/>
        <v>633256.79045489861</v>
      </c>
      <c r="H24" s="2">
        <f>IF(A24="","",IF(AND('Offset Inputs'!$B$5&gt;='Mortgage Inputs'!$B$5,'Mortgage Inputs'!$B$5&gt;0),'Offset Inputs'!$B$5-'Mortgage Inputs'!$B$5,D24+'Offset Inputs'!$B$6))</f>
        <v>59000</v>
      </c>
    </row>
    <row r="25" spans="1:8" ht="22" customHeight="1">
      <c r="A25" s="1">
        <f>IF(AND('Mortgage Inputs'!$B$12,19&lt;=IF('Mortgage Inputs'!$B$12,'Mortgage Inputs'!$B$7,0)*12+600,ISNUMBER(G24),G24&gt;0.005),19,"")</f>
        <v>19</v>
      </c>
      <c r="B25" s="4">
        <f>IF(A25="","",DATE(YEAR('Mortgage Inputs'!$B$8),MONTH('Mortgage Inputs'!$B$8)+A25,DAY('Mortgage Inputs'!$B$8)))</f>
        <v>46905</v>
      </c>
      <c r="C25" s="2">
        <f t="shared" si="1"/>
        <v>633256.79045489861</v>
      </c>
      <c r="D25" s="2">
        <f t="shared" si="2"/>
        <v>59000</v>
      </c>
      <c r="E25" s="2">
        <f>IF(A25="","",MAX(0,(C25-MIN(D25,C25))*'Mortgage Inputs'!$B$15))</f>
        <v>3057.9174091723348</v>
      </c>
      <c r="F25" s="2">
        <f>IF(A25="","",IF(AND('Offset Inputs'!$B$5&gt;='Mortgage Inputs'!$B$5,'Mortgage Inputs'!$B$5&gt;0),C25,MIN(C25,MAX(0,'Mortgage Inputs'!$B$17-E25))))</f>
        <v>1003.6159586350186</v>
      </c>
      <c r="G25" s="2">
        <f t="shared" si="0"/>
        <v>632253.17449626361</v>
      </c>
      <c r="H25" s="2">
        <f>IF(A25="","",IF(AND('Offset Inputs'!$B$5&gt;='Mortgage Inputs'!$B$5,'Mortgage Inputs'!$B$5&gt;0),'Offset Inputs'!$B$5-'Mortgage Inputs'!$B$5,D25+'Offset Inputs'!$B$6))</f>
        <v>59500</v>
      </c>
    </row>
    <row r="26" spans="1:8" ht="22" customHeight="1">
      <c r="A26" s="1">
        <f>IF(AND('Mortgage Inputs'!$B$12,20&lt;=IF('Mortgage Inputs'!$B$12,'Mortgage Inputs'!$B$7,0)*12+600,ISNUMBER(G25),G25&gt;0.005),20,"")</f>
        <v>20</v>
      </c>
      <c r="B26" s="4">
        <f>IF(A26="","",DATE(YEAR('Mortgage Inputs'!$B$8),MONTH('Mortgage Inputs'!$B$8)+A26,DAY('Mortgage Inputs'!$B$8)))</f>
        <v>46935</v>
      </c>
      <c r="C26" s="2">
        <f t="shared" si="1"/>
        <v>632253.17449626361</v>
      </c>
      <c r="D26" s="2">
        <f t="shared" si="2"/>
        <v>59500</v>
      </c>
      <c r="E26" s="2">
        <f>IF(A26="","",MAX(0,(C26-MIN(D26,C26))*'Mortgage Inputs'!$B$15))</f>
        <v>3049.9106541926035</v>
      </c>
      <c r="F26" s="2">
        <f>IF(A26="","",IF(AND('Offset Inputs'!$B$5&gt;='Mortgage Inputs'!$B$5,'Mortgage Inputs'!$B$5&gt;0),C26,MIN(C26,MAX(0,'Mortgage Inputs'!$B$17-E26))))</f>
        <v>1011.62271361475</v>
      </c>
      <c r="G26" s="2">
        <f t="shared" si="0"/>
        <v>631241.55178264889</v>
      </c>
      <c r="H26" s="2">
        <f>IF(A26="","",IF(AND('Offset Inputs'!$B$5&gt;='Mortgage Inputs'!$B$5,'Mortgage Inputs'!$B$5&gt;0),'Offset Inputs'!$B$5-'Mortgage Inputs'!$B$5,D26+'Offset Inputs'!$B$6))</f>
        <v>60000</v>
      </c>
    </row>
    <row r="27" spans="1:8" ht="22" customHeight="1">
      <c r="A27" s="1">
        <f>IF(AND('Mortgage Inputs'!$B$12,21&lt;=IF('Mortgage Inputs'!$B$12,'Mortgage Inputs'!$B$7,0)*12+600,ISNUMBER(G26),G26&gt;0.005),21,"")</f>
        <v>21</v>
      </c>
      <c r="B27" s="4">
        <f>IF(A27="","",DATE(YEAR('Mortgage Inputs'!$B$8),MONTH('Mortgage Inputs'!$B$8)+A27,DAY('Mortgage Inputs'!$B$8)))</f>
        <v>46966</v>
      </c>
      <c r="C27" s="2">
        <f t="shared" si="1"/>
        <v>631241.55178264889</v>
      </c>
      <c r="D27" s="2">
        <f t="shared" si="2"/>
        <v>60000</v>
      </c>
      <c r="E27" s="2">
        <f>IF(A27="","",MAX(0,(C27-MIN(D27,C27))*'Mortgage Inputs'!$B$15))</f>
        <v>3041.8612632426052</v>
      </c>
      <c r="F27" s="2">
        <f>IF(A27="","",IF(AND('Offset Inputs'!$B$5&gt;='Mortgage Inputs'!$B$5,'Mortgage Inputs'!$B$5&gt;0),C27,MIN(C27,MAX(0,'Mortgage Inputs'!$B$17-E27))))</f>
        <v>1019.6721045647482</v>
      </c>
      <c r="G27" s="2">
        <f t="shared" si="0"/>
        <v>630221.87967808417</v>
      </c>
      <c r="H27" s="2">
        <f>IF(A27="","",IF(AND('Offset Inputs'!$B$5&gt;='Mortgage Inputs'!$B$5,'Mortgage Inputs'!$B$5&gt;0),'Offset Inputs'!$B$5-'Mortgage Inputs'!$B$5,D27+'Offset Inputs'!$B$6))</f>
        <v>60500</v>
      </c>
    </row>
    <row r="28" spans="1:8" ht="22" customHeight="1">
      <c r="A28" s="1">
        <f>IF(AND('Mortgage Inputs'!$B$12,22&lt;=IF('Mortgage Inputs'!$B$12,'Mortgage Inputs'!$B$7,0)*12+600,ISNUMBER(G27),G27&gt;0.005),22,"")</f>
        <v>22</v>
      </c>
      <c r="B28" s="4">
        <f>IF(A28="","",DATE(YEAR('Mortgage Inputs'!$B$8),MONTH('Mortgage Inputs'!$B$8)+A28,DAY('Mortgage Inputs'!$B$8)))</f>
        <v>46997</v>
      </c>
      <c r="C28" s="2">
        <f t="shared" si="1"/>
        <v>630221.87967808417</v>
      </c>
      <c r="D28" s="2">
        <f t="shared" si="2"/>
        <v>60500</v>
      </c>
      <c r="E28" s="2">
        <f>IF(A28="","",MAX(0,(C28-MIN(D28,C28))*'Mortgage Inputs'!$B$15))</f>
        <v>3033.7690092857979</v>
      </c>
      <c r="F28" s="2">
        <f>IF(A28="","",IF(AND('Offset Inputs'!$B$5&gt;='Mortgage Inputs'!$B$5,'Mortgage Inputs'!$B$5&gt;0),C28,MIN(C28,MAX(0,'Mortgage Inputs'!$B$17-E28))))</f>
        <v>1027.7643585215556</v>
      </c>
      <c r="G28" s="2">
        <f t="shared" si="0"/>
        <v>629194.11531956261</v>
      </c>
      <c r="H28" s="2">
        <f>IF(A28="","",IF(AND('Offset Inputs'!$B$5&gt;='Mortgage Inputs'!$B$5,'Mortgage Inputs'!$B$5&gt;0),'Offset Inputs'!$B$5-'Mortgage Inputs'!$B$5,D28+'Offset Inputs'!$B$6))</f>
        <v>61000</v>
      </c>
    </row>
    <row r="29" spans="1:8" ht="22" customHeight="1">
      <c r="A29" s="1">
        <f>IF(AND('Mortgage Inputs'!$B$12,23&lt;=IF('Mortgage Inputs'!$B$12,'Mortgage Inputs'!$B$7,0)*12+600,ISNUMBER(G28),G28&gt;0.005),23,"")</f>
        <v>23</v>
      </c>
      <c r="B29" s="4">
        <f>IF(A29="","",DATE(YEAR('Mortgage Inputs'!$B$8),MONTH('Mortgage Inputs'!$B$8)+A29,DAY('Mortgage Inputs'!$B$8)))</f>
        <v>47027</v>
      </c>
      <c r="C29" s="2">
        <f t="shared" si="1"/>
        <v>629194.11531956261</v>
      </c>
      <c r="D29" s="2">
        <f t="shared" si="2"/>
        <v>61000</v>
      </c>
      <c r="E29" s="2">
        <f>IF(A29="","",MAX(0,(C29-MIN(D29,C29))*'Mortgage Inputs'!$B$15))</f>
        <v>3025.6336640766708</v>
      </c>
      <c r="F29" s="2">
        <f>IF(A29="","",IF(AND('Offset Inputs'!$B$5&gt;='Mortgage Inputs'!$B$5,'Mortgage Inputs'!$B$5&gt;0),C29,MIN(C29,MAX(0,'Mortgage Inputs'!$B$17-E29))))</f>
        <v>1035.8997037306826</v>
      </c>
      <c r="G29" s="2">
        <f t="shared" si="0"/>
        <v>628158.2156158319</v>
      </c>
      <c r="H29" s="2">
        <f>IF(A29="","",IF(AND('Offset Inputs'!$B$5&gt;='Mortgage Inputs'!$B$5,'Mortgage Inputs'!$B$5&gt;0),'Offset Inputs'!$B$5-'Mortgage Inputs'!$B$5,D29+'Offset Inputs'!$B$6))</f>
        <v>61500</v>
      </c>
    </row>
    <row r="30" spans="1:8" ht="22" customHeight="1">
      <c r="A30" s="1">
        <f>IF(AND('Mortgage Inputs'!$B$12,24&lt;=IF('Mortgage Inputs'!$B$12,'Mortgage Inputs'!$B$7,0)*12+600,ISNUMBER(G29),G29&gt;0.005),24,"")</f>
        <v>24</v>
      </c>
      <c r="B30" s="4">
        <f>IF(A30="","",DATE(YEAR('Mortgage Inputs'!$B$8),MONTH('Mortgage Inputs'!$B$8)+A30,DAY('Mortgage Inputs'!$B$8)))</f>
        <v>47058</v>
      </c>
      <c r="C30" s="2">
        <f t="shared" si="1"/>
        <v>628158.2156158319</v>
      </c>
      <c r="D30" s="2">
        <f t="shared" si="2"/>
        <v>61500</v>
      </c>
      <c r="E30" s="2">
        <f>IF(A30="","",MAX(0,(C30-MIN(D30,C30))*'Mortgage Inputs'!$B$15))</f>
        <v>3017.4549981543046</v>
      </c>
      <c r="F30" s="2">
        <f>IF(A30="","",IF(AND('Offset Inputs'!$B$5&gt;='Mortgage Inputs'!$B$5,'Mortgage Inputs'!$B$5&gt;0),C30,MIN(C30,MAX(0,'Mortgage Inputs'!$B$17-E30))))</f>
        <v>1044.0783696530489</v>
      </c>
      <c r="G30" s="2">
        <f t="shared" si="0"/>
        <v>627114.13724617881</v>
      </c>
      <c r="H30" s="2">
        <f>IF(A30="","",IF(AND('Offset Inputs'!$B$5&gt;='Mortgage Inputs'!$B$5,'Mortgage Inputs'!$B$5&gt;0),'Offset Inputs'!$B$5-'Mortgage Inputs'!$B$5,D30+'Offset Inputs'!$B$6))</f>
        <v>62000</v>
      </c>
    </row>
    <row r="31" spans="1:8" ht="22" customHeight="1">
      <c r="A31" s="1">
        <f>IF(AND('Mortgage Inputs'!$B$12,25&lt;=IF('Mortgage Inputs'!$B$12,'Mortgage Inputs'!$B$7,0)*12+600,ISNUMBER(G30),G30&gt;0.005),25,"")</f>
        <v>25</v>
      </c>
      <c r="B31" s="4">
        <f>IF(A31="","",DATE(YEAR('Mortgage Inputs'!$B$8),MONTH('Mortgage Inputs'!$B$8)+A31,DAY('Mortgage Inputs'!$B$8)))</f>
        <v>47088</v>
      </c>
      <c r="C31" s="2">
        <f t="shared" si="1"/>
        <v>627114.13724617881</v>
      </c>
      <c r="D31" s="2">
        <f t="shared" si="2"/>
        <v>62000</v>
      </c>
      <c r="E31" s="2">
        <f>IF(A31="","",MAX(0,(C31-MIN(D31,C31))*'Mortgage Inputs'!$B$15))</f>
        <v>3009.2327808359023</v>
      </c>
      <c r="F31" s="2">
        <f>IF(A31="","",IF(AND('Offset Inputs'!$B$5&gt;='Mortgage Inputs'!$B$5,'Mortgage Inputs'!$B$5&gt;0),C31,MIN(C31,MAX(0,'Mortgage Inputs'!$B$17-E31))))</f>
        <v>1052.3005869714511</v>
      </c>
      <c r="G31" s="2">
        <f t="shared" si="0"/>
        <v>626061.83665920736</v>
      </c>
      <c r="H31" s="2">
        <f>IF(A31="","",IF(AND('Offset Inputs'!$B$5&gt;='Mortgage Inputs'!$B$5,'Mortgage Inputs'!$B$5&gt;0),'Offset Inputs'!$B$5-'Mortgage Inputs'!$B$5,D31+'Offset Inputs'!$B$6))</f>
        <v>62500</v>
      </c>
    </row>
    <row r="32" spans="1:8" ht="22" customHeight="1">
      <c r="A32" s="1">
        <f>IF(AND('Mortgage Inputs'!$B$12,26&lt;=IF('Mortgage Inputs'!$B$12,'Mortgage Inputs'!$B$7,0)*12+600,ISNUMBER(G31),G31&gt;0.005),26,"")</f>
        <v>26</v>
      </c>
      <c r="B32" s="4">
        <f>IF(A32="","",DATE(YEAR('Mortgage Inputs'!$B$8),MONTH('Mortgage Inputs'!$B$8)+A32,DAY('Mortgage Inputs'!$B$8)))</f>
        <v>47119</v>
      </c>
      <c r="C32" s="2">
        <f t="shared" si="1"/>
        <v>626061.83665920736</v>
      </c>
      <c r="D32" s="2">
        <f t="shared" si="2"/>
        <v>62500</v>
      </c>
      <c r="E32" s="2">
        <f>IF(A32="","",MAX(0,(C32-MIN(D32,C32))*'Mortgage Inputs'!$B$15))</f>
        <v>3000.966780210279</v>
      </c>
      <c r="F32" s="2">
        <f>IF(A32="","",IF(AND('Offset Inputs'!$B$5&gt;='Mortgage Inputs'!$B$5,'Mortgage Inputs'!$B$5&gt;0),C32,MIN(C32,MAX(0,'Mortgage Inputs'!$B$17-E32))))</f>
        <v>1060.5665875970744</v>
      </c>
      <c r="G32" s="2">
        <f t="shared" si="0"/>
        <v>625001.27007161023</v>
      </c>
      <c r="H32" s="2">
        <f>IF(A32="","",IF(AND('Offset Inputs'!$B$5&gt;='Mortgage Inputs'!$B$5,'Mortgage Inputs'!$B$5&gt;0),'Offset Inputs'!$B$5-'Mortgage Inputs'!$B$5,D32+'Offset Inputs'!$B$6))</f>
        <v>63000</v>
      </c>
    </row>
    <row r="33" spans="1:8" ht="22" customHeight="1">
      <c r="A33" s="1">
        <f>IF(AND('Mortgage Inputs'!$B$12,27&lt;=IF('Mortgage Inputs'!$B$12,'Mortgage Inputs'!$B$7,0)*12+600,ISNUMBER(G32),G32&gt;0.005),27,"")</f>
        <v>27</v>
      </c>
      <c r="B33" s="4">
        <f>IF(A33="","",DATE(YEAR('Mortgage Inputs'!$B$8),MONTH('Mortgage Inputs'!$B$8)+A33,DAY('Mortgage Inputs'!$B$8)))</f>
        <v>47150</v>
      </c>
      <c r="C33" s="2">
        <f t="shared" si="1"/>
        <v>625001.27007161023</v>
      </c>
      <c r="D33" s="2">
        <f t="shared" si="2"/>
        <v>63000</v>
      </c>
      <c r="E33" s="2">
        <f>IF(A33="","",MAX(0,(C33-MIN(D33,C33))*'Mortgage Inputs'!$B$15))</f>
        <v>2992.6567631313242</v>
      </c>
      <c r="F33" s="2">
        <f>IF(A33="","",IF(AND('Offset Inputs'!$B$5&gt;='Mortgage Inputs'!$B$5,'Mortgage Inputs'!$B$5&gt;0),C33,MIN(C33,MAX(0,'Mortgage Inputs'!$B$17-E33))))</f>
        <v>1068.8766046760293</v>
      </c>
      <c r="G33" s="2">
        <f t="shared" si="0"/>
        <v>623932.39346693421</v>
      </c>
      <c r="H33" s="2">
        <f>IF(A33="","",IF(AND('Offset Inputs'!$B$5&gt;='Mortgage Inputs'!$B$5,'Mortgage Inputs'!$B$5&gt;0),'Offset Inputs'!$B$5-'Mortgage Inputs'!$B$5,D33+'Offset Inputs'!$B$6))</f>
        <v>63500</v>
      </c>
    </row>
    <row r="34" spans="1:8" ht="22" customHeight="1">
      <c r="A34" s="1">
        <f>IF(AND('Mortgage Inputs'!$B$12,28&lt;=IF('Mortgage Inputs'!$B$12,'Mortgage Inputs'!$B$7,0)*12+600,ISNUMBER(G33),G33&gt;0.005),28,"")</f>
        <v>28</v>
      </c>
      <c r="B34" s="4">
        <f>IF(A34="","",DATE(YEAR('Mortgage Inputs'!$B$8),MONTH('Mortgage Inputs'!$B$8)+A34,DAY('Mortgage Inputs'!$B$8)))</f>
        <v>47178</v>
      </c>
      <c r="C34" s="2">
        <f t="shared" si="1"/>
        <v>623932.39346693421</v>
      </c>
      <c r="D34" s="2">
        <f t="shared" si="2"/>
        <v>63500</v>
      </c>
      <c r="E34" s="2">
        <f>IF(A34="","",MAX(0,(C34-MIN(D34,C34))*'Mortgage Inputs'!$B$15))</f>
        <v>2984.3024952114247</v>
      </c>
      <c r="F34" s="2">
        <f>IF(A34="","",IF(AND('Offset Inputs'!$B$5&gt;='Mortgage Inputs'!$B$5,'Mortgage Inputs'!$B$5&gt;0),C34,MIN(C34,MAX(0,'Mortgage Inputs'!$B$17-E34))))</f>
        <v>1077.2308725959288</v>
      </c>
      <c r="G34" s="2">
        <f t="shared" si="0"/>
        <v>622855.1625943383</v>
      </c>
      <c r="H34" s="2">
        <f>IF(A34="","",IF(AND('Offset Inputs'!$B$5&gt;='Mortgage Inputs'!$B$5,'Mortgage Inputs'!$B$5&gt;0),'Offset Inputs'!$B$5-'Mortgage Inputs'!$B$5,D34+'Offset Inputs'!$B$6))</f>
        <v>64000</v>
      </c>
    </row>
    <row r="35" spans="1:8" ht="22" customHeight="1">
      <c r="A35" s="1">
        <f>IF(AND('Mortgage Inputs'!$B$12,29&lt;=IF('Mortgage Inputs'!$B$12,'Mortgage Inputs'!$B$7,0)*12+600,ISNUMBER(G34),G34&gt;0.005),29,"")</f>
        <v>29</v>
      </c>
      <c r="B35" s="4">
        <f>IF(A35="","",DATE(YEAR('Mortgage Inputs'!$B$8),MONTH('Mortgage Inputs'!$B$8)+A35,DAY('Mortgage Inputs'!$B$8)))</f>
        <v>47209</v>
      </c>
      <c r="C35" s="2">
        <f t="shared" si="1"/>
        <v>622855.1625943383</v>
      </c>
      <c r="D35" s="2">
        <f t="shared" si="2"/>
        <v>64000</v>
      </c>
      <c r="E35" s="2">
        <f>IF(A35="","",MAX(0,(C35-MIN(D35,C35))*'Mortgage Inputs'!$B$15))</f>
        <v>2975.9037408148515</v>
      </c>
      <c r="F35" s="2">
        <f>IF(A35="","",IF(AND('Offset Inputs'!$B$5&gt;='Mortgage Inputs'!$B$5,'Mortgage Inputs'!$B$5&gt;0),C35,MIN(C35,MAX(0,'Mortgage Inputs'!$B$17-E35))))</f>
        <v>1085.6296269925019</v>
      </c>
      <c r="G35" s="2">
        <f t="shared" si="0"/>
        <v>621769.53296734579</v>
      </c>
      <c r="H35" s="2">
        <f>IF(A35="","",IF(AND('Offset Inputs'!$B$5&gt;='Mortgage Inputs'!$B$5,'Mortgage Inputs'!$B$5&gt;0),'Offset Inputs'!$B$5-'Mortgage Inputs'!$B$5,D35+'Offset Inputs'!$B$6))</f>
        <v>64500</v>
      </c>
    </row>
    <row r="36" spans="1:8" ht="22" customHeight="1">
      <c r="A36" s="1">
        <f>IF(AND('Mortgage Inputs'!$B$12,30&lt;=IF('Mortgage Inputs'!$B$12,'Mortgage Inputs'!$B$7,0)*12+600,ISNUMBER(G35),G35&gt;0.005),30,"")</f>
        <v>30</v>
      </c>
      <c r="B36" s="4">
        <f>IF(A36="","",DATE(YEAR('Mortgage Inputs'!$B$8),MONTH('Mortgage Inputs'!$B$8)+A36,DAY('Mortgage Inputs'!$B$8)))</f>
        <v>47239</v>
      </c>
      <c r="C36" s="2">
        <f t="shared" si="1"/>
        <v>621769.53296734579</v>
      </c>
      <c r="D36" s="2">
        <f t="shared" si="2"/>
        <v>64500</v>
      </c>
      <c r="E36" s="2">
        <f>IF(A36="","",MAX(0,(C36-MIN(D36,C36))*'Mortgage Inputs'!$B$15))</f>
        <v>2967.4602630511163</v>
      </c>
      <c r="F36" s="2">
        <f>IF(A36="","",IF(AND('Offset Inputs'!$B$5&gt;='Mortgage Inputs'!$B$5,'Mortgage Inputs'!$B$5&gt;0),C36,MIN(C36,MAX(0,'Mortgage Inputs'!$B$17-E36))))</f>
        <v>1094.0731047562372</v>
      </c>
      <c r="G36" s="2">
        <f t="shared" si="0"/>
        <v>620675.4598625896</v>
      </c>
      <c r="H36" s="2">
        <f>IF(A36="","",IF(AND('Offset Inputs'!$B$5&gt;='Mortgage Inputs'!$B$5,'Mortgage Inputs'!$B$5&gt;0),'Offset Inputs'!$B$5-'Mortgage Inputs'!$B$5,D36+'Offset Inputs'!$B$6))</f>
        <v>65000</v>
      </c>
    </row>
    <row r="37" spans="1:8" ht="22" customHeight="1">
      <c r="A37" s="1">
        <f>IF(AND('Mortgage Inputs'!$B$12,31&lt;=IF('Mortgage Inputs'!$B$12,'Mortgage Inputs'!$B$7,0)*12+600,ISNUMBER(G36),G36&gt;0.005),31,"")</f>
        <v>31</v>
      </c>
      <c r="B37" s="4">
        <f>IF(A37="","",DATE(YEAR('Mortgage Inputs'!$B$8),MONTH('Mortgage Inputs'!$B$8)+A37,DAY('Mortgage Inputs'!$B$8)))</f>
        <v>47270</v>
      </c>
      <c r="C37" s="2">
        <f t="shared" si="1"/>
        <v>620675.4598625896</v>
      </c>
      <c r="D37" s="2">
        <f t="shared" si="2"/>
        <v>65000</v>
      </c>
      <c r="E37" s="2">
        <f>IF(A37="","",MAX(0,(C37-MIN(D37,C37))*'Mortgage Inputs'!$B$15))</f>
        <v>2958.9718237682896</v>
      </c>
      <c r="F37" s="2">
        <f>IF(A37="","",IF(AND('Offset Inputs'!$B$5&gt;='Mortgage Inputs'!$B$5,'Mortgage Inputs'!$B$5&gt;0),C37,MIN(C37,MAX(0,'Mortgage Inputs'!$B$17-E37))))</f>
        <v>1102.5615440390638</v>
      </c>
      <c r="G37" s="2">
        <f t="shared" si="0"/>
        <v>619572.89831855055</v>
      </c>
      <c r="H37" s="2">
        <f>IF(A37="","",IF(AND('Offset Inputs'!$B$5&gt;='Mortgage Inputs'!$B$5,'Mortgage Inputs'!$B$5&gt;0),'Offset Inputs'!$B$5-'Mortgage Inputs'!$B$5,D37+'Offset Inputs'!$B$6))</f>
        <v>65500</v>
      </c>
    </row>
    <row r="38" spans="1:8" ht="22" customHeight="1">
      <c r="A38" s="1">
        <f>IF(AND('Mortgage Inputs'!$B$12,32&lt;=IF('Mortgage Inputs'!$B$12,'Mortgage Inputs'!$B$7,0)*12+600,ISNUMBER(G37),G37&gt;0.005),32,"")</f>
        <v>32</v>
      </c>
      <c r="B38" s="4">
        <f>IF(A38="","",DATE(YEAR('Mortgage Inputs'!$B$8),MONTH('Mortgage Inputs'!$B$8)+A38,DAY('Mortgage Inputs'!$B$8)))</f>
        <v>47300</v>
      </c>
      <c r="C38" s="2">
        <f t="shared" si="1"/>
        <v>619572.89831855055</v>
      </c>
      <c r="D38" s="2">
        <f t="shared" si="2"/>
        <v>65500</v>
      </c>
      <c r="E38" s="2">
        <f>IF(A38="","",MAX(0,(C38-MIN(D38,C38))*'Mortgage Inputs'!$B$15))</f>
        <v>2950.4381835462814</v>
      </c>
      <c r="F38" s="2">
        <f>IF(A38="","",IF(AND('Offset Inputs'!$B$5&gt;='Mortgage Inputs'!$B$5,'Mortgage Inputs'!$B$5&gt;0),C38,MIN(C38,MAX(0,'Mortgage Inputs'!$B$17-E38))))</f>
        <v>1111.0951842610721</v>
      </c>
      <c r="G38" s="2">
        <f t="shared" si="0"/>
        <v>618461.80313428945</v>
      </c>
      <c r="H38" s="2">
        <f>IF(A38="","",IF(AND('Offset Inputs'!$B$5&gt;='Mortgage Inputs'!$B$5,'Mortgage Inputs'!$B$5&gt;0),'Offset Inputs'!$B$5-'Mortgage Inputs'!$B$5,D38+'Offset Inputs'!$B$6))</f>
        <v>66000</v>
      </c>
    </row>
    <row r="39" spans="1:8" ht="22" customHeight="1">
      <c r="A39" s="1">
        <f>IF(AND('Mortgage Inputs'!$B$12,33&lt;=IF('Mortgage Inputs'!$B$12,'Mortgage Inputs'!$B$7,0)*12+600,ISNUMBER(G38),G38&gt;0.005),33,"")</f>
        <v>33</v>
      </c>
      <c r="B39" s="4">
        <f>IF(A39="","",DATE(YEAR('Mortgage Inputs'!$B$8),MONTH('Mortgage Inputs'!$B$8)+A39,DAY('Mortgage Inputs'!$B$8)))</f>
        <v>47331</v>
      </c>
      <c r="C39" s="2">
        <f t="shared" si="1"/>
        <v>618461.80313428945</v>
      </c>
      <c r="D39" s="2">
        <f t="shared" si="2"/>
        <v>66000</v>
      </c>
      <c r="E39" s="2">
        <f>IF(A39="","",MAX(0,(C39-MIN(D39,C39))*'Mortgage Inputs'!$B$15))</f>
        <v>2941.8591016900914</v>
      </c>
      <c r="F39" s="2">
        <f>IF(A39="","",IF(AND('Offset Inputs'!$B$5&gt;='Mortgage Inputs'!$B$5,'Mortgage Inputs'!$B$5&gt;0),C39,MIN(C39,MAX(0,'Mortgage Inputs'!$B$17-E39))))</f>
        <v>1119.6742661172621</v>
      </c>
      <c r="G39" s="2">
        <f t="shared" si="0"/>
        <v>617342.12886817218</v>
      </c>
      <c r="H39" s="2">
        <f>IF(A39="","",IF(AND('Offset Inputs'!$B$5&gt;='Mortgage Inputs'!$B$5,'Mortgage Inputs'!$B$5&gt;0),'Offset Inputs'!$B$5-'Mortgage Inputs'!$B$5,D39+'Offset Inputs'!$B$6))</f>
        <v>66500</v>
      </c>
    </row>
    <row r="40" spans="1:8" ht="22" customHeight="1">
      <c r="A40" s="1">
        <f>IF(AND('Mortgage Inputs'!$B$12,34&lt;=IF('Mortgage Inputs'!$B$12,'Mortgage Inputs'!$B$7,0)*12+600,ISNUMBER(G39),G39&gt;0.005),34,"")</f>
        <v>34</v>
      </c>
      <c r="B40" s="4">
        <f>IF(A40="","",DATE(YEAR('Mortgage Inputs'!$B$8),MONTH('Mortgage Inputs'!$B$8)+A40,DAY('Mortgage Inputs'!$B$8)))</f>
        <v>47362</v>
      </c>
      <c r="C40" s="2">
        <f t="shared" si="1"/>
        <v>617342.12886817218</v>
      </c>
      <c r="D40" s="2">
        <f t="shared" si="2"/>
        <v>66500</v>
      </c>
      <c r="E40" s="2">
        <f>IF(A40="","",MAX(0,(C40-MIN(D40,C40))*'Mortgage Inputs'!$B$15))</f>
        <v>2933.2343362230167</v>
      </c>
      <c r="F40" s="2">
        <f>IF(A40="","",IF(AND('Offset Inputs'!$B$5&gt;='Mortgage Inputs'!$B$5,'Mortgage Inputs'!$B$5&gt;0),C40,MIN(C40,MAX(0,'Mortgage Inputs'!$B$17-E40))))</f>
        <v>1128.2990315843367</v>
      </c>
      <c r="G40" s="2">
        <f t="shared" si="0"/>
        <v>616213.82983658789</v>
      </c>
      <c r="H40" s="2">
        <f>IF(A40="","",IF(AND('Offset Inputs'!$B$5&gt;='Mortgage Inputs'!$B$5,'Mortgage Inputs'!$B$5&gt;0),'Offset Inputs'!$B$5-'Mortgage Inputs'!$B$5,D40+'Offset Inputs'!$B$6))</f>
        <v>67000</v>
      </c>
    </row>
    <row r="41" spans="1:8" ht="22" customHeight="1">
      <c r="A41" s="1">
        <f>IF(AND('Mortgage Inputs'!$B$12,35&lt;=IF('Mortgage Inputs'!$B$12,'Mortgage Inputs'!$B$7,0)*12+600,ISNUMBER(G40),G40&gt;0.005),35,"")</f>
        <v>35</v>
      </c>
      <c r="B41" s="4">
        <f>IF(A41="","",DATE(YEAR('Mortgage Inputs'!$B$8),MONTH('Mortgage Inputs'!$B$8)+A41,DAY('Mortgage Inputs'!$B$8)))</f>
        <v>47392</v>
      </c>
      <c r="C41" s="2">
        <f t="shared" si="1"/>
        <v>616213.82983658789</v>
      </c>
      <c r="D41" s="2">
        <f t="shared" si="2"/>
        <v>67000</v>
      </c>
      <c r="E41" s="2">
        <f>IF(A41="","",MAX(0,(C41-MIN(D41,C41))*'Mortgage Inputs'!$B$15))</f>
        <v>2924.5636438798306</v>
      </c>
      <c r="F41" s="2">
        <f>IF(A41="","",IF(AND('Offset Inputs'!$B$5&gt;='Mortgage Inputs'!$B$5,'Mortgage Inputs'!$B$5&gt;0),C41,MIN(C41,MAX(0,'Mortgage Inputs'!$B$17-E41))))</f>
        <v>1136.9697239275229</v>
      </c>
      <c r="G41" s="2">
        <f t="shared" si="0"/>
        <v>615076.86011266033</v>
      </c>
      <c r="H41" s="2">
        <f>IF(A41="","",IF(AND('Offset Inputs'!$B$5&gt;='Mortgage Inputs'!$B$5,'Mortgage Inputs'!$B$5&gt;0),'Offset Inputs'!$B$5-'Mortgage Inputs'!$B$5,D41+'Offset Inputs'!$B$6))</f>
        <v>67500</v>
      </c>
    </row>
    <row r="42" spans="1:8" ht="22" customHeight="1">
      <c r="A42" s="1">
        <f>IF(AND('Mortgage Inputs'!$B$12,36&lt;=IF('Mortgage Inputs'!$B$12,'Mortgage Inputs'!$B$7,0)*12+600,ISNUMBER(G41),G41&gt;0.005),36,"")</f>
        <v>36</v>
      </c>
      <c r="B42" s="4">
        <f>IF(A42="","",DATE(YEAR('Mortgage Inputs'!$B$8),MONTH('Mortgage Inputs'!$B$8)+A42,DAY('Mortgage Inputs'!$B$8)))</f>
        <v>47423</v>
      </c>
      <c r="C42" s="2">
        <f t="shared" si="1"/>
        <v>615076.86011266033</v>
      </c>
      <c r="D42" s="2">
        <f t="shared" si="2"/>
        <v>67500</v>
      </c>
      <c r="E42" s="2">
        <f>IF(A42="","",MAX(0,(C42-MIN(D42,C42))*'Mortgage Inputs'!$B$15))</f>
        <v>2915.846780099916</v>
      </c>
      <c r="F42" s="2">
        <f>IF(A42="","",IF(AND('Offset Inputs'!$B$5&gt;='Mortgage Inputs'!$B$5,'Mortgage Inputs'!$B$5&gt;0),C42,MIN(C42,MAX(0,'Mortgage Inputs'!$B$17-E42))))</f>
        <v>1145.6865877074374</v>
      </c>
      <c r="G42" s="2">
        <f t="shared" si="0"/>
        <v>613931.17352495284</v>
      </c>
      <c r="H42" s="2">
        <f>IF(A42="","",IF(AND('Offset Inputs'!$B$5&gt;='Mortgage Inputs'!$B$5,'Mortgage Inputs'!$B$5&gt;0),'Offset Inputs'!$B$5-'Mortgage Inputs'!$B$5,D42+'Offset Inputs'!$B$6))</f>
        <v>68000</v>
      </c>
    </row>
    <row r="43" spans="1:8" ht="22" customHeight="1">
      <c r="A43" s="1">
        <f>IF(AND('Mortgage Inputs'!$B$12,37&lt;=IF('Mortgage Inputs'!$B$12,'Mortgage Inputs'!$B$7,0)*12+600,ISNUMBER(G42),G42&gt;0.005),37,"")</f>
        <v>37</v>
      </c>
      <c r="B43" s="4">
        <f>IF(A43="","",DATE(YEAR('Mortgage Inputs'!$B$8),MONTH('Mortgage Inputs'!$B$8)+A43,DAY('Mortgage Inputs'!$B$8)))</f>
        <v>47453</v>
      </c>
      <c r="C43" s="2">
        <f t="shared" si="1"/>
        <v>613931.17352495284</v>
      </c>
      <c r="D43" s="2">
        <f t="shared" si="2"/>
        <v>68000</v>
      </c>
      <c r="E43" s="2">
        <f>IF(A43="","",MAX(0,(C43-MIN(D43,C43))*'Mortgage Inputs'!$B$15))</f>
        <v>2907.0834990203739</v>
      </c>
      <c r="F43" s="2">
        <f>IF(A43="","",IF(AND('Offset Inputs'!$B$5&gt;='Mortgage Inputs'!$B$5,'Mortgage Inputs'!$B$5&gt;0),C43,MIN(C43,MAX(0,'Mortgage Inputs'!$B$17-E43))))</f>
        <v>1154.4498687869796</v>
      </c>
      <c r="G43" s="2">
        <f t="shared" si="0"/>
        <v>612776.72365616588</v>
      </c>
      <c r="H43" s="2">
        <f>IF(A43="","",IF(AND('Offset Inputs'!$B$5&gt;='Mortgage Inputs'!$B$5,'Mortgage Inputs'!$B$5&gt;0),'Offset Inputs'!$B$5-'Mortgage Inputs'!$B$5,D43+'Offset Inputs'!$B$6))</f>
        <v>68500</v>
      </c>
    </row>
    <row r="44" spans="1:8" ht="22" customHeight="1">
      <c r="A44" s="1">
        <f>IF(AND('Mortgage Inputs'!$B$12,38&lt;=IF('Mortgage Inputs'!$B$12,'Mortgage Inputs'!$B$7,0)*12+600,ISNUMBER(G43),G43&gt;0.005),38,"")</f>
        <v>38</v>
      </c>
      <c r="B44" s="4">
        <f>IF(A44="","",DATE(YEAR('Mortgage Inputs'!$B$8),MONTH('Mortgage Inputs'!$B$8)+A44,DAY('Mortgage Inputs'!$B$8)))</f>
        <v>47484</v>
      </c>
      <c r="C44" s="2">
        <f t="shared" si="1"/>
        <v>612776.72365616588</v>
      </c>
      <c r="D44" s="2">
        <f t="shared" si="2"/>
        <v>68500</v>
      </c>
      <c r="E44" s="2">
        <f>IF(A44="","",MAX(0,(C44-MIN(D44,C44))*'Mortgage Inputs'!$B$15))</f>
        <v>2898.2735534690833</v>
      </c>
      <c r="F44" s="2">
        <f>IF(A44="","",IF(AND('Offset Inputs'!$B$5&gt;='Mortgage Inputs'!$B$5,'Mortgage Inputs'!$B$5&gt;0),C44,MIN(C44,MAX(0,'Mortgage Inputs'!$B$17-E44))))</f>
        <v>1163.2598143382702</v>
      </c>
      <c r="G44" s="2">
        <f t="shared" si="0"/>
        <v>611613.46384182759</v>
      </c>
      <c r="H44" s="2">
        <f>IF(A44="","",IF(AND('Offset Inputs'!$B$5&gt;='Mortgage Inputs'!$B$5,'Mortgage Inputs'!$B$5&gt;0),'Offset Inputs'!$B$5-'Mortgage Inputs'!$B$5,D44+'Offset Inputs'!$B$6))</f>
        <v>69000</v>
      </c>
    </row>
    <row r="45" spans="1:8" ht="22" customHeight="1">
      <c r="A45" s="1">
        <f>IF(AND('Mortgage Inputs'!$B$12,39&lt;=IF('Mortgage Inputs'!$B$12,'Mortgage Inputs'!$B$7,0)*12+600,ISNUMBER(G44),G44&gt;0.005),39,"")</f>
        <v>39</v>
      </c>
      <c r="B45" s="4">
        <f>IF(A45="","",DATE(YEAR('Mortgage Inputs'!$B$8),MONTH('Mortgage Inputs'!$B$8)+A45,DAY('Mortgage Inputs'!$B$8)))</f>
        <v>47515</v>
      </c>
      <c r="C45" s="2">
        <f t="shared" si="1"/>
        <v>611613.46384182759</v>
      </c>
      <c r="D45" s="2">
        <f t="shared" si="2"/>
        <v>69000</v>
      </c>
      <c r="E45" s="2">
        <f>IF(A45="","",MAX(0,(C45-MIN(D45,C45))*'Mortgage Inputs'!$B$15))</f>
        <v>2889.416694957732</v>
      </c>
      <c r="F45" s="2">
        <f>IF(A45="","",IF(AND('Offset Inputs'!$B$5&gt;='Mortgage Inputs'!$B$5,'Mortgage Inputs'!$B$5&gt;0),C45,MIN(C45,MAX(0,'Mortgage Inputs'!$B$17-E45))))</f>
        <v>1172.1166728496214</v>
      </c>
      <c r="G45" s="2">
        <f t="shared" si="0"/>
        <v>610441.34716897795</v>
      </c>
      <c r="H45" s="2">
        <f>IF(A45="","",IF(AND('Offset Inputs'!$B$5&gt;='Mortgage Inputs'!$B$5,'Mortgage Inputs'!$B$5&gt;0),'Offset Inputs'!$B$5-'Mortgage Inputs'!$B$5,D45+'Offset Inputs'!$B$6))</f>
        <v>69500</v>
      </c>
    </row>
    <row r="46" spans="1:8" ht="22" customHeight="1">
      <c r="A46" s="1">
        <f>IF(AND('Mortgage Inputs'!$B$12,40&lt;=IF('Mortgage Inputs'!$B$12,'Mortgage Inputs'!$B$7,0)*12+600,ISNUMBER(G45),G45&gt;0.005),40,"")</f>
        <v>40</v>
      </c>
      <c r="B46" s="4">
        <f>IF(A46="","",DATE(YEAR('Mortgage Inputs'!$B$8),MONTH('Mortgage Inputs'!$B$8)+A46,DAY('Mortgage Inputs'!$B$8)))</f>
        <v>47543</v>
      </c>
      <c r="C46" s="2">
        <f t="shared" si="1"/>
        <v>610441.34716897795</v>
      </c>
      <c r="D46" s="2">
        <f t="shared" si="2"/>
        <v>69500</v>
      </c>
      <c r="E46" s="2">
        <f>IF(A46="","",MAX(0,(C46-MIN(D46,C46))*'Mortgage Inputs'!$B$15))</f>
        <v>2880.5126736748075</v>
      </c>
      <c r="F46" s="2">
        <f>IF(A46="","",IF(AND('Offset Inputs'!$B$5&gt;='Mortgage Inputs'!$B$5,'Mortgage Inputs'!$B$5&gt;0),C46,MIN(C46,MAX(0,'Mortgage Inputs'!$B$17-E46))))</f>
        <v>1181.0206941325459</v>
      </c>
      <c r="G46" s="2">
        <f t="shared" si="0"/>
        <v>609260.32647484541</v>
      </c>
      <c r="H46" s="2">
        <f>IF(A46="","",IF(AND('Offset Inputs'!$B$5&gt;='Mortgage Inputs'!$B$5,'Mortgage Inputs'!$B$5&gt;0),'Offset Inputs'!$B$5-'Mortgage Inputs'!$B$5,D46+'Offset Inputs'!$B$6))</f>
        <v>70000</v>
      </c>
    </row>
    <row r="47" spans="1:8" ht="22" customHeight="1">
      <c r="A47" s="1">
        <f>IF(AND('Mortgage Inputs'!$B$12,41&lt;=IF('Mortgage Inputs'!$B$12,'Mortgage Inputs'!$B$7,0)*12+600,ISNUMBER(G46),G46&gt;0.005),41,"")</f>
        <v>41</v>
      </c>
      <c r="B47" s="4">
        <f>IF(A47="","",DATE(YEAR('Mortgage Inputs'!$B$8),MONTH('Mortgage Inputs'!$B$8)+A47,DAY('Mortgage Inputs'!$B$8)))</f>
        <v>47574</v>
      </c>
      <c r="C47" s="2">
        <f t="shared" si="1"/>
        <v>609260.32647484541</v>
      </c>
      <c r="D47" s="2">
        <f t="shared" si="2"/>
        <v>70000</v>
      </c>
      <c r="E47" s="2">
        <f>IF(A47="","",MAX(0,(C47-MIN(D47,C47))*'Mortgage Inputs'!$B$15))</f>
        <v>2871.5612384785518</v>
      </c>
      <c r="F47" s="2">
        <f>IF(A47="","",IF(AND('Offset Inputs'!$B$5&gt;='Mortgage Inputs'!$B$5,'Mortgage Inputs'!$B$5&gt;0),C47,MIN(C47,MAX(0,'Mortgage Inputs'!$B$17-E47))))</f>
        <v>1189.9721293288017</v>
      </c>
      <c r="G47" s="2">
        <f t="shared" si="0"/>
        <v>608070.35434551665</v>
      </c>
      <c r="H47" s="2">
        <f>IF(A47="","",IF(AND('Offset Inputs'!$B$5&gt;='Mortgage Inputs'!$B$5,'Mortgage Inputs'!$B$5&gt;0),'Offset Inputs'!$B$5-'Mortgage Inputs'!$B$5,D47+'Offset Inputs'!$B$6))</f>
        <v>70500</v>
      </c>
    </row>
    <row r="48" spans="1:8" ht="22" customHeight="1">
      <c r="A48" s="1">
        <f>IF(AND('Mortgage Inputs'!$B$12,42&lt;=IF('Mortgage Inputs'!$B$12,'Mortgage Inputs'!$B$7,0)*12+600,ISNUMBER(G47),G47&gt;0.005),42,"")</f>
        <v>42</v>
      </c>
      <c r="B48" s="4">
        <f>IF(A48="","",DATE(YEAR('Mortgage Inputs'!$B$8),MONTH('Mortgage Inputs'!$B$8)+A48,DAY('Mortgage Inputs'!$B$8)))</f>
        <v>47604</v>
      </c>
      <c r="C48" s="2">
        <f t="shared" si="1"/>
        <v>608070.35434551665</v>
      </c>
      <c r="D48" s="2">
        <f t="shared" si="2"/>
        <v>70500</v>
      </c>
      <c r="E48" s="2">
        <f>IF(A48="","",MAX(0,(C48-MIN(D48,C48))*'Mortgage Inputs'!$B$15))</f>
        <v>2862.562136889876</v>
      </c>
      <c r="F48" s="2">
        <f>IF(A48="","",IF(AND('Offset Inputs'!$B$5&gt;='Mortgage Inputs'!$B$5,'Mortgage Inputs'!$B$5&gt;0),C48,MIN(C48,MAX(0,'Mortgage Inputs'!$B$17-E48))))</f>
        <v>1198.9712309174774</v>
      </c>
      <c r="G48" s="2">
        <f t="shared" si="0"/>
        <v>606871.38311459916</v>
      </c>
      <c r="H48" s="2">
        <f>IF(A48="","",IF(AND('Offset Inputs'!$B$5&gt;='Mortgage Inputs'!$B$5,'Mortgage Inputs'!$B$5&gt;0),'Offset Inputs'!$B$5-'Mortgage Inputs'!$B$5,D48+'Offset Inputs'!$B$6))</f>
        <v>71000</v>
      </c>
    </row>
    <row r="49" spans="1:8" ht="22" customHeight="1">
      <c r="A49" s="1">
        <f>IF(AND('Mortgage Inputs'!$B$12,43&lt;=IF('Mortgage Inputs'!$B$12,'Mortgage Inputs'!$B$7,0)*12+600,ISNUMBER(G48),G48&gt;0.005),43,"")</f>
        <v>43</v>
      </c>
      <c r="B49" s="4">
        <f>IF(A49="","",DATE(YEAR('Mortgage Inputs'!$B$8),MONTH('Mortgage Inputs'!$B$8)+A49,DAY('Mortgage Inputs'!$B$8)))</f>
        <v>47635</v>
      </c>
      <c r="C49" s="2">
        <f t="shared" si="1"/>
        <v>606871.38311459916</v>
      </c>
      <c r="D49" s="2">
        <f t="shared" si="2"/>
        <v>71000</v>
      </c>
      <c r="E49" s="2">
        <f>IF(A49="","",MAX(0,(C49-MIN(D49,C49))*'Mortgage Inputs'!$B$15))</f>
        <v>2853.5151150852403</v>
      </c>
      <c r="F49" s="2">
        <f>IF(A49="","",IF(AND('Offset Inputs'!$B$5&gt;='Mortgage Inputs'!$B$5,'Mortgage Inputs'!$B$5&gt;0),C49,MIN(C49,MAX(0,'Mortgage Inputs'!$B$17-E49))))</f>
        <v>1208.0182527221132</v>
      </c>
      <c r="G49" s="2">
        <f t="shared" si="0"/>
        <v>605663.36486187705</v>
      </c>
      <c r="H49" s="2">
        <f>IF(A49="","",IF(AND('Offset Inputs'!$B$5&gt;='Mortgage Inputs'!$B$5,'Mortgage Inputs'!$B$5&gt;0),'Offset Inputs'!$B$5-'Mortgage Inputs'!$B$5,D49+'Offset Inputs'!$B$6))</f>
        <v>71500</v>
      </c>
    </row>
    <row r="50" spans="1:8" ht="22" customHeight="1">
      <c r="A50" s="1">
        <f>IF(AND('Mortgage Inputs'!$B$12,44&lt;=IF('Mortgage Inputs'!$B$12,'Mortgage Inputs'!$B$7,0)*12+600,ISNUMBER(G49),G49&gt;0.005),44,"")</f>
        <v>44</v>
      </c>
      <c r="B50" s="4">
        <f>IF(A50="","",DATE(YEAR('Mortgage Inputs'!$B$8),MONTH('Mortgage Inputs'!$B$8)+A50,DAY('Mortgage Inputs'!$B$8)))</f>
        <v>47665</v>
      </c>
      <c r="C50" s="2">
        <f t="shared" si="1"/>
        <v>605663.36486187705</v>
      </c>
      <c r="D50" s="2">
        <f t="shared" si="2"/>
        <v>71500</v>
      </c>
      <c r="E50" s="2">
        <f>IF(A50="","",MAX(0,(C50-MIN(D50,C50))*'Mortgage Inputs'!$B$15))</f>
        <v>2844.4199178894951</v>
      </c>
      <c r="F50" s="2">
        <f>IF(A50="","",IF(AND('Offset Inputs'!$B$5&gt;='Mortgage Inputs'!$B$5,'Mortgage Inputs'!$B$5&gt;0),C50,MIN(C50,MAX(0,'Mortgage Inputs'!$B$17-E50))))</f>
        <v>1217.1134499178584</v>
      </c>
      <c r="G50" s="2">
        <f t="shared" si="0"/>
        <v>604446.25141195918</v>
      </c>
      <c r="H50" s="2">
        <f>IF(A50="","",IF(AND('Offset Inputs'!$B$5&gt;='Mortgage Inputs'!$B$5,'Mortgage Inputs'!$B$5&gt;0),'Offset Inputs'!$B$5-'Mortgage Inputs'!$B$5,D50+'Offset Inputs'!$B$6))</f>
        <v>72000</v>
      </c>
    </row>
    <row r="51" spans="1:8" ht="22" customHeight="1">
      <c r="A51" s="1">
        <f>IF(AND('Mortgage Inputs'!$B$12,45&lt;=IF('Mortgage Inputs'!$B$12,'Mortgage Inputs'!$B$7,0)*12+600,ISNUMBER(G50),G50&gt;0.005),45,"")</f>
        <v>45</v>
      </c>
      <c r="B51" s="4">
        <f>IF(A51="","",DATE(YEAR('Mortgage Inputs'!$B$8),MONTH('Mortgage Inputs'!$B$8)+A51,DAY('Mortgage Inputs'!$B$8)))</f>
        <v>47696</v>
      </c>
      <c r="C51" s="2">
        <f t="shared" si="1"/>
        <v>604446.25141195918</v>
      </c>
      <c r="D51" s="2">
        <f t="shared" si="2"/>
        <v>72000</v>
      </c>
      <c r="E51" s="2">
        <f>IF(A51="","",MAX(0,(C51-MIN(D51,C51))*'Mortgage Inputs'!$B$15))</f>
        <v>2835.2762887686827</v>
      </c>
      <c r="F51" s="2">
        <f>IF(A51="","",IF(AND('Offset Inputs'!$B$5&gt;='Mortgage Inputs'!$B$5,'Mortgage Inputs'!$B$5&gt;0),C51,MIN(C51,MAX(0,'Mortgage Inputs'!$B$17-E51))))</f>
        <v>1226.2570790386708</v>
      </c>
      <c r="G51" s="2">
        <f t="shared" si="0"/>
        <v>603219.99433292053</v>
      </c>
      <c r="H51" s="2">
        <f>IF(A51="","",IF(AND('Offset Inputs'!$B$5&gt;='Mortgage Inputs'!$B$5,'Mortgage Inputs'!$B$5&gt;0),'Offset Inputs'!$B$5-'Mortgage Inputs'!$B$5,D51+'Offset Inputs'!$B$6))</f>
        <v>72500</v>
      </c>
    </row>
    <row r="52" spans="1:8" ht="22" customHeight="1">
      <c r="A52" s="1">
        <f>IF(AND('Mortgage Inputs'!$B$12,46&lt;=IF('Mortgage Inputs'!$B$12,'Mortgage Inputs'!$B$7,0)*12+600,ISNUMBER(G51),G51&gt;0.005),46,"")</f>
        <v>46</v>
      </c>
      <c r="B52" s="4">
        <f>IF(A52="","",DATE(YEAR('Mortgage Inputs'!$B$8),MONTH('Mortgage Inputs'!$B$8)+A52,DAY('Mortgage Inputs'!$B$8)))</f>
        <v>47727</v>
      </c>
      <c r="C52" s="2">
        <f t="shared" si="1"/>
        <v>603219.99433292053</v>
      </c>
      <c r="D52" s="2">
        <f t="shared" si="2"/>
        <v>72500</v>
      </c>
      <c r="E52" s="2">
        <f>IF(A52="","",MAX(0,(C52-MIN(D52,C52))*'Mortgage Inputs'!$B$15))</f>
        <v>2826.0839698228019</v>
      </c>
      <c r="F52" s="2">
        <f>IF(A52="","",IF(AND('Offset Inputs'!$B$5&gt;='Mortgage Inputs'!$B$5,'Mortgage Inputs'!$B$5&gt;0),C52,MIN(C52,MAX(0,'Mortgage Inputs'!$B$17-E52))))</f>
        <v>1235.4493979845515</v>
      </c>
      <c r="G52" s="2">
        <f t="shared" si="0"/>
        <v>601984.54493493598</v>
      </c>
      <c r="H52" s="2">
        <f>IF(A52="","",IF(AND('Offset Inputs'!$B$5&gt;='Mortgage Inputs'!$B$5,'Mortgage Inputs'!$B$5&gt;0),'Offset Inputs'!$B$5-'Mortgage Inputs'!$B$5,D52+'Offset Inputs'!$B$6))</f>
        <v>73000</v>
      </c>
    </row>
    <row r="53" spans="1:8" ht="22" customHeight="1">
      <c r="A53" s="1">
        <f>IF(AND('Mortgage Inputs'!$B$12,47&lt;=IF('Mortgage Inputs'!$B$12,'Mortgage Inputs'!$B$7,0)*12+600,ISNUMBER(G52),G52&gt;0.005),47,"")</f>
        <v>47</v>
      </c>
      <c r="B53" s="4">
        <f>IF(A53="","",DATE(YEAR('Mortgage Inputs'!$B$8),MONTH('Mortgage Inputs'!$B$8)+A53,DAY('Mortgage Inputs'!$B$8)))</f>
        <v>47757</v>
      </c>
      <c r="C53" s="2">
        <f t="shared" si="1"/>
        <v>601984.54493493598</v>
      </c>
      <c r="D53" s="2">
        <f t="shared" si="2"/>
        <v>73000</v>
      </c>
      <c r="E53" s="2">
        <f>IF(A53="","",MAX(0,(C53-MIN(D53,C53))*'Mortgage Inputs'!$B$15))</f>
        <v>2816.8427017785339</v>
      </c>
      <c r="F53" s="2">
        <f>IF(A53="","",IF(AND('Offset Inputs'!$B$5&gt;='Mortgage Inputs'!$B$5,'Mortgage Inputs'!$B$5&gt;0),C53,MIN(C53,MAX(0,'Mortgage Inputs'!$B$17-E53))))</f>
        <v>1244.6906660288196</v>
      </c>
      <c r="G53" s="2">
        <f t="shared" si="0"/>
        <v>600739.85426890722</v>
      </c>
      <c r="H53" s="2">
        <f>IF(A53="","",IF(AND('Offset Inputs'!$B$5&gt;='Mortgage Inputs'!$B$5,'Mortgage Inputs'!$B$5&gt;0),'Offset Inputs'!$B$5-'Mortgage Inputs'!$B$5,D53+'Offset Inputs'!$B$6))</f>
        <v>73500</v>
      </c>
    </row>
    <row r="54" spans="1:8" ht="22" customHeight="1">
      <c r="A54" s="1">
        <f>IF(AND('Mortgage Inputs'!$B$12,48&lt;=IF('Mortgage Inputs'!$B$12,'Mortgage Inputs'!$B$7,0)*12+600,ISNUMBER(G53),G53&gt;0.005),48,"")</f>
        <v>48</v>
      </c>
      <c r="B54" s="4">
        <f>IF(A54="","",DATE(YEAR('Mortgage Inputs'!$B$8),MONTH('Mortgage Inputs'!$B$8)+A54,DAY('Mortgage Inputs'!$B$8)))</f>
        <v>47788</v>
      </c>
      <c r="C54" s="2">
        <f t="shared" si="1"/>
        <v>600739.85426890722</v>
      </c>
      <c r="D54" s="2">
        <f t="shared" si="2"/>
        <v>73500</v>
      </c>
      <c r="E54" s="2">
        <f>IF(A54="","",MAX(0,(C54-MIN(D54,C54))*'Mortgage Inputs'!$B$15))</f>
        <v>2807.5522239819311</v>
      </c>
      <c r="F54" s="2">
        <f>IF(A54="","",IF(AND('Offset Inputs'!$B$5&gt;='Mortgage Inputs'!$B$5,'Mortgage Inputs'!$B$5&gt;0),C54,MIN(C54,MAX(0,'Mortgage Inputs'!$B$17-E54))))</f>
        <v>1253.9811438254224</v>
      </c>
      <c r="G54" s="2">
        <f t="shared" si="0"/>
        <v>599485.87312508177</v>
      </c>
      <c r="H54" s="2">
        <f>IF(A54="","",IF(AND('Offset Inputs'!$B$5&gt;='Mortgage Inputs'!$B$5,'Mortgage Inputs'!$B$5&gt;0),'Offset Inputs'!$B$5-'Mortgage Inputs'!$B$5,D54+'Offset Inputs'!$B$6))</f>
        <v>74000</v>
      </c>
    </row>
    <row r="55" spans="1:8" ht="22" customHeight="1">
      <c r="A55" s="1">
        <f>IF(AND('Mortgage Inputs'!$B$12,49&lt;=IF('Mortgage Inputs'!$B$12,'Mortgage Inputs'!$B$7,0)*12+600,ISNUMBER(G54),G54&gt;0.005),49,"")</f>
        <v>49</v>
      </c>
      <c r="B55" s="4">
        <f>IF(A55="","",DATE(YEAR('Mortgage Inputs'!$B$8),MONTH('Mortgage Inputs'!$B$8)+A55,DAY('Mortgage Inputs'!$B$8)))</f>
        <v>47818</v>
      </c>
      <c r="C55" s="2">
        <f t="shared" si="1"/>
        <v>599485.87312508177</v>
      </c>
      <c r="D55" s="2">
        <f t="shared" si="2"/>
        <v>74000</v>
      </c>
      <c r="E55" s="2">
        <f>IF(A55="","",MAX(0,(C55-MIN(D55,C55))*'Mortgage Inputs'!$B$15))</f>
        <v>2798.2122743910604</v>
      </c>
      <c r="F55" s="2">
        <f>IF(A55="","",IF(AND('Offset Inputs'!$B$5&gt;='Mortgage Inputs'!$B$5,'Mortgage Inputs'!$B$5&gt;0),C55,MIN(C55,MAX(0,'Mortgage Inputs'!$B$17-E55))))</f>
        <v>1263.321093416293</v>
      </c>
      <c r="G55" s="2">
        <f t="shared" si="0"/>
        <v>598222.55203166546</v>
      </c>
      <c r="H55" s="2">
        <f>IF(A55="","",IF(AND('Offset Inputs'!$B$5&gt;='Mortgage Inputs'!$B$5,'Mortgage Inputs'!$B$5&gt;0),'Offset Inputs'!$B$5-'Mortgage Inputs'!$B$5,D55+'Offset Inputs'!$B$6))</f>
        <v>74500</v>
      </c>
    </row>
    <row r="56" spans="1:8" ht="22" customHeight="1">
      <c r="A56" s="1">
        <f>IF(AND('Mortgage Inputs'!$B$12,50&lt;=IF('Mortgage Inputs'!$B$12,'Mortgage Inputs'!$B$7,0)*12+600,ISNUMBER(G55),G55&gt;0.005),50,"")</f>
        <v>50</v>
      </c>
      <c r="B56" s="4">
        <f>IF(A56="","",DATE(YEAR('Mortgage Inputs'!$B$8),MONTH('Mortgage Inputs'!$B$8)+A56,DAY('Mortgage Inputs'!$B$8)))</f>
        <v>47849</v>
      </c>
      <c r="C56" s="2">
        <f t="shared" si="1"/>
        <v>598222.55203166546</v>
      </c>
      <c r="D56" s="2">
        <f t="shared" si="2"/>
        <v>74500</v>
      </c>
      <c r="E56" s="2">
        <f>IF(A56="","",MAX(0,(C56-MIN(D56,C56))*'Mortgage Inputs'!$B$15))</f>
        <v>2788.8225895686187</v>
      </c>
      <c r="F56" s="2">
        <f>IF(A56="","",IF(AND('Offset Inputs'!$B$5&gt;='Mortgage Inputs'!$B$5,'Mortgage Inputs'!$B$5&gt;0),C56,MIN(C56,MAX(0,'Mortgage Inputs'!$B$17-E56))))</f>
        <v>1272.7107782387347</v>
      </c>
      <c r="G56" s="2">
        <f t="shared" si="0"/>
        <v>596949.84125342674</v>
      </c>
      <c r="H56" s="2">
        <f>IF(A56="","",IF(AND('Offset Inputs'!$B$5&gt;='Mortgage Inputs'!$B$5,'Mortgage Inputs'!$B$5&gt;0),'Offset Inputs'!$B$5-'Mortgage Inputs'!$B$5,D56+'Offset Inputs'!$B$6))</f>
        <v>75000</v>
      </c>
    </row>
    <row r="57" spans="1:8" ht="22" customHeight="1">
      <c r="A57" s="1">
        <f>IF(AND('Mortgage Inputs'!$B$12,51&lt;=IF('Mortgage Inputs'!$B$12,'Mortgage Inputs'!$B$7,0)*12+600,ISNUMBER(G56),G56&gt;0.005),51,"")</f>
        <v>51</v>
      </c>
      <c r="B57" s="4">
        <f>IF(A57="","",DATE(YEAR('Mortgage Inputs'!$B$8),MONTH('Mortgage Inputs'!$B$8)+A57,DAY('Mortgage Inputs'!$B$8)))</f>
        <v>47880</v>
      </c>
      <c r="C57" s="2">
        <f t="shared" si="1"/>
        <v>596949.84125342674</v>
      </c>
      <c r="D57" s="2">
        <f t="shared" si="2"/>
        <v>75000</v>
      </c>
      <c r="E57" s="2">
        <f>IF(A57="","",MAX(0,(C57-MIN(D57,C57))*'Mortgage Inputs'!$B$15))</f>
        <v>2779.3829046744972</v>
      </c>
      <c r="F57" s="2">
        <f>IF(A57="","",IF(AND('Offset Inputs'!$B$5&gt;='Mortgage Inputs'!$B$5,'Mortgage Inputs'!$B$5&gt;0),C57,MIN(C57,MAX(0,'Mortgage Inputs'!$B$17-E57))))</f>
        <v>1282.1504631328562</v>
      </c>
      <c r="G57" s="2">
        <f t="shared" si="0"/>
        <v>595667.69079029385</v>
      </c>
      <c r="H57" s="2">
        <f>IF(A57="","",IF(AND('Offset Inputs'!$B$5&gt;='Mortgage Inputs'!$B$5,'Mortgage Inputs'!$B$5&gt;0),'Offset Inputs'!$B$5-'Mortgage Inputs'!$B$5,D57+'Offset Inputs'!$B$6))</f>
        <v>75500</v>
      </c>
    </row>
    <row r="58" spans="1:8" ht="22" customHeight="1">
      <c r="A58" s="1">
        <f>IF(AND('Mortgage Inputs'!$B$12,52&lt;=IF('Mortgage Inputs'!$B$12,'Mortgage Inputs'!$B$7,0)*12+600,ISNUMBER(G57),G57&gt;0.005),52,"")</f>
        <v>52</v>
      </c>
      <c r="B58" s="4">
        <f>IF(A58="","",DATE(YEAR('Mortgage Inputs'!$B$8),MONTH('Mortgage Inputs'!$B$8)+A58,DAY('Mortgage Inputs'!$B$8)))</f>
        <v>47908</v>
      </c>
      <c r="C58" s="2">
        <f t="shared" si="1"/>
        <v>595667.69079029385</v>
      </c>
      <c r="D58" s="2">
        <f t="shared" si="2"/>
        <v>75500</v>
      </c>
      <c r="E58" s="2">
        <f>IF(A58="","",MAX(0,(C58-MIN(D58,C58))*'Mortgage Inputs'!$B$15))</f>
        <v>2769.8929534583149</v>
      </c>
      <c r="F58" s="2">
        <f>IF(A58="","",IF(AND('Offset Inputs'!$B$5&gt;='Mortgage Inputs'!$B$5,'Mortgage Inputs'!$B$5&gt;0),C58,MIN(C58,MAX(0,'Mortgage Inputs'!$B$17-E58))))</f>
        <v>1291.6404143490386</v>
      </c>
      <c r="G58" s="2">
        <f t="shared" si="0"/>
        <v>594376.05037594482</v>
      </c>
      <c r="H58" s="2">
        <f>IF(A58="","",IF(AND('Offset Inputs'!$B$5&gt;='Mortgage Inputs'!$B$5,'Mortgage Inputs'!$B$5&gt;0),'Offset Inputs'!$B$5-'Mortgage Inputs'!$B$5,D58+'Offset Inputs'!$B$6))</f>
        <v>76000</v>
      </c>
    </row>
    <row r="59" spans="1:8" ht="22" customHeight="1">
      <c r="A59" s="1">
        <f>IF(AND('Mortgage Inputs'!$B$12,53&lt;=IF('Mortgage Inputs'!$B$12,'Mortgage Inputs'!$B$7,0)*12+600,ISNUMBER(G58),G58&gt;0.005),53,"")</f>
        <v>53</v>
      </c>
      <c r="B59" s="4">
        <f>IF(A59="","",DATE(YEAR('Mortgage Inputs'!$B$8),MONTH('Mortgage Inputs'!$B$8)+A59,DAY('Mortgage Inputs'!$B$8)))</f>
        <v>47939</v>
      </c>
      <c r="C59" s="2">
        <f t="shared" si="1"/>
        <v>594376.05037594482</v>
      </c>
      <c r="D59" s="2">
        <f t="shared" si="2"/>
        <v>76000</v>
      </c>
      <c r="E59" s="2">
        <f>IF(A59="","",MAX(0,(C59-MIN(D59,C59))*'Mortgage Inputs'!$B$15))</f>
        <v>2760.352468251906</v>
      </c>
      <c r="F59" s="2">
        <f>IF(A59="","",IF(AND('Offset Inputs'!$B$5&gt;='Mortgage Inputs'!$B$5,'Mortgage Inputs'!$B$5&gt;0),C59,MIN(C59,MAX(0,'Mortgage Inputs'!$B$17-E59))))</f>
        <v>1301.1808995554475</v>
      </c>
      <c r="G59" s="2">
        <f t="shared" si="0"/>
        <v>593074.86947638937</v>
      </c>
      <c r="H59" s="2">
        <f>IF(A59="","",IF(AND('Offset Inputs'!$B$5&gt;='Mortgage Inputs'!$B$5,'Mortgage Inputs'!$B$5&gt;0),'Offset Inputs'!$B$5-'Mortgage Inputs'!$B$5,D59+'Offset Inputs'!$B$6))</f>
        <v>76500</v>
      </c>
    </row>
    <row r="60" spans="1:8" ht="22" customHeight="1">
      <c r="A60" s="1">
        <f>IF(AND('Mortgage Inputs'!$B$12,54&lt;=IF('Mortgage Inputs'!$B$12,'Mortgage Inputs'!$B$7,0)*12+600,ISNUMBER(G59),G59&gt;0.005),54,"")</f>
        <v>54</v>
      </c>
      <c r="B60" s="4">
        <f>IF(A60="","",DATE(YEAR('Mortgage Inputs'!$B$8),MONTH('Mortgage Inputs'!$B$8)+A60,DAY('Mortgage Inputs'!$B$8)))</f>
        <v>47969</v>
      </c>
      <c r="C60" s="2">
        <f t="shared" si="1"/>
        <v>593074.86947638937</v>
      </c>
      <c r="D60" s="2">
        <f t="shared" si="2"/>
        <v>76500</v>
      </c>
      <c r="E60" s="2">
        <f>IF(A60="","",MAX(0,(C60-MIN(D60,C60))*'Mortgage Inputs'!$B$15))</f>
        <v>2750.7611799617735</v>
      </c>
      <c r="F60" s="2">
        <f>IF(A60="","",IF(AND('Offset Inputs'!$B$5&gt;='Mortgage Inputs'!$B$5,'Mortgage Inputs'!$B$5&gt;0),C60,MIN(C60,MAX(0,'Mortgage Inputs'!$B$17-E60))))</f>
        <v>1310.77218784558</v>
      </c>
      <c r="G60" s="2">
        <f t="shared" si="0"/>
        <v>591764.09728854382</v>
      </c>
      <c r="H60" s="2">
        <f>IF(A60="","",IF(AND('Offset Inputs'!$B$5&gt;='Mortgage Inputs'!$B$5,'Mortgage Inputs'!$B$5&gt;0),'Offset Inputs'!$B$5-'Mortgage Inputs'!$B$5,D60+'Offset Inputs'!$B$6))</f>
        <v>77000</v>
      </c>
    </row>
    <row r="61" spans="1:8" ht="22" customHeight="1">
      <c r="A61" s="1">
        <f>IF(AND('Mortgage Inputs'!$B$12,55&lt;=IF('Mortgage Inputs'!$B$12,'Mortgage Inputs'!$B$7,0)*12+600,ISNUMBER(G60),G60&gt;0.005),55,"")</f>
        <v>55</v>
      </c>
      <c r="B61" s="4">
        <f>IF(A61="","",DATE(YEAR('Mortgage Inputs'!$B$8),MONTH('Mortgage Inputs'!$B$8)+A61,DAY('Mortgage Inputs'!$B$8)))</f>
        <v>48000</v>
      </c>
      <c r="C61" s="2">
        <f t="shared" si="1"/>
        <v>591764.09728854382</v>
      </c>
      <c r="D61" s="2">
        <f t="shared" si="2"/>
        <v>77000</v>
      </c>
      <c r="E61" s="2">
        <f>IF(A61="","",MAX(0,(C61-MIN(D61,C61))*'Mortgage Inputs'!$B$15))</f>
        <v>2741.1188180614959</v>
      </c>
      <c r="F61" s="2">
        <f>IF(A61="","",IF(AND('Offset Inputs'!$B$5&gt;='Mortgage Inputs'!$B$5,'Mortgage Inputs'!$B$5&gt;0),C61,MIN(C61,MAX(0,'Mortgage Inputs'!$B$17-E61))))</f>
        <v>1320.4145497458576</v>
      </c>
      <c r="G61" s="2">
        <f t="shared" si="0"/>
        <v>590443.68273879797</v>
      </c>
      <c r="H61" s="2">
        <f>IF(A61="","",IF(AND('Offset Inputs'!$B$5&gt;='Mortgage Inputs'!$B$5,'Mortgage Inputs'!$B$5&gt;0),'Offset Inputs'!$B$5-'Mortgage Inputs'!$B$5,D61+'Offset Inputs'!$B$6))</f>
        <v>77500</v>
      </c>
    </row>
    <row r="62" spans="1:8" ht="22" customHeight="1">
      <c r="A62" s="1">
        <f>IF(AND('Mortgage Inputs'!$B$12,56&lt;=IF('Mortgage Inputs'!$B$12,'Mortgage Inputs'!$B$7,0)*12+600,ISNUMBER(G61),G61&gt;0.005),56,"")</f>
        <v>56</v>
      </c>
      <c r="B62" s="4">
        <f>IF(A62="","",DATE(YEAR('Mortgage Inputs'!$B$8),MONTH('Mortgage Inputs'!$B$8)+A62,DAY('Mortgage Inputs'!$B$8)))</f>
        <v>48030</v>
      </c>
      <c r="C62" s="2">
        <f t="shared" si="1"/>
        <v>590443.68273879797</v>
      </c>
      <c r="D62" s="2">
        <f t="shared" si="2"/>
        <v>77500</v>
      </c>
      <c r="E62" s="2">
        <f>IF(A62="","",MAX(0,(C62-MIN(D62,C62))*'Mortgage Inputs'!$B$15))</f>
        <v>2731.425110584099</v>
      </c>
      <c r="F62" s="2">
        <f>IF(A62="","",IF(AND('Offset Inputs'!$B$5&gt;='Mortgage Inputs'!$B$5,'Mortgage Inputs'!$B$5&gt;0),C62,MIN(C62,MAX(0,'Mortgage Inputs'!$B$17-E62))))</f>
        <v>1330.1082572232544</v>
      </c>
      <c r="G62" s="2">
        <f t="shared" si="0"/>
        <v>589113.5744815747</v>
      </c>
      <c r="H62" s="2">
        <f>IF(A62="","",IF(AND('Offset Inputs'!$B$5&gt;='Mortgage Inputs'!$B$5,'Mortgage Inputs'!$B$5&gt;0),'Offset Inputs'!$B$5-'Mortgage Inputs'!$B$5,D62+'Offset Inputs'!$B$6))</f>
        <v>78000</v>
      </c>
    </row>
    <row r="63" spans="1:8" ht="22" customHeight="1">
      <c r="A63" s="1">
        <f>IF(AND('Mortgage Inputs'!$B$12,57&lt;=IF('Mortgage Inputs'!$B$12,'Mortgage Inputs'!$B$7,0)*12+600,ISNUMBER(G62),G62&gt;0.005),57,"")</f>
        <v>57</v>
      </c>
      <c r="B63" s="4">
        <f>IF(A63="","",DATE(YEAR('Mortgage Inputs'!$B$8),MONTH('Mortgage Inputs'!$B$8)+A63,DAY('Mortgage Inputs'!$B$8)))</f>
        <v>48061</v>
      </c>
      <c r="C63" s="2">
        <f t="shared" si="1"/>
        <v>589113.5744815747</v>
      </c>
      <c r="D63" s="2">
        <f t="shared" si="2"/>
        <v>78000</v>
      </c>
      <c r="E63" s="2">
        <f>IF(A63="","",MAX(0,(C63-MIN(D63,C63))*'Mortgage Inputs'!$B$15))</f>
        <v>2721.6797841143853</v>
      </c>
      <c r="F63" s="2">
        <f>IF(A63="","",IF(AND('Offset Inputs'!$B$5&gt;='Mortgage Inputs'!$B$5,'Mortgage Inputs'!$B$5&gt;0),C63,MIN(C63,MAX(0,'Mortgage Inputs'!$B$17-E63))))</f>
        <v>1339.8535836929682</v>
      </c>
      <c r="G63" s="2">
        <f t="shared" si="0"/>
        <v>587773.72089788178</v>
      </c>
      <c r="H63" s="2">
        <f>IF(A63="","",IF(AND('Offset Inputs'!$B$5&gt;='Mortgage Inputs'!$B$5,'Mortgage Inputs'!$B$5&gt;0),'Offset Inputs'!$B$5-'Mortgage Inputs'!$B$5,D63+'Offset Inputs'!$B$6))</f>
        <v>78500</v>
      </c>
    </row>
    <row r="64" spans="1:8" ht="22" customHeight="1">
      <c r="A64" s="1">
        <f>IF(AND('Mortgage Inputs'!$B$12,58&lt;=IF('Mortgage Inputs'!$B$12,'Mortgage Inputs'!$B$7,0)*12+600,ISNUMBER(G63),G63&gt;0.005),58,"")</f>
        <v>58</v>
      </c>
      <c r="B64" s="4">
        <f>IF(A64="","",DATE(YEAR('Mortgage Inputs'!$B$8),MONTH('Mortgage Inputs'!$B$8)+A64,DAY('Mortgage Inputs'!$B$8)))</f>
        <v>48092</v>
      </c>
      <c r="C64" s="2">
        <f t="shared" si="1"/>
        <v>587773.72089788178</v>
      </c>
      <c r="D64" s="2">
        <f t="shared" si="2"/>
        <v>78500</v>
      </c>
      <c r="E64" s="2">
        <f>IF(A64="","",MAX(0,(C64-MIN(D64,C64))*'Mortgage Inputs'!$B$15))</f>
        <v>2711.8825637812206</v>
      </c>
      <c r="F64" s="2">
        <f>IF(A64="","",IF(AND('Offset Inputs'!$B$5&gt;='Mortgage Inputs'!$B$5,'Mortgage Inputs'!$B$5&gt;0),C64,MIN(C64,MAX(0,'Mortgage Inputs'!$B$17-E64))))</f>
        <v>1349.6508040261328</v>
      </c>
      <c r="G64" s="2">
        <f t="shared" si="0"/>
        <v>586424.07009385561</v>
      </c>
      <c r="H64" s="2">
        <f>IF(A64="","",IF(AND('Offset Inputs'!$B$5&gt;='Mortgage Inputs'!$B$5,'Mortgage Inputs'!$B$5&gt;0),'Offset Inputs'!$B$5-'Mortgage Inputs'!$B$5,D64+'Offset Inputs'!$B$6))</f>
        <v>79000</v>
      </c>
    </row>
    <row r="65" spans="1:8" ht="22" customHeight="1">
      <c r="A65" s="1">
        <f>IF(AND('Mortgage Inputs'!$B$12,59&lt;=IF('Mortgage Inputs'!$B$12,'Mortgage Inputs'!$B$7,0)*12+600,ISNUMBER(G64),G64&gt;0.005),59,"")</f>
        <v>59</v>
      </c>
      <c r="B65" s="4">
        <f>IF(A65="","",DATE(YEAR('Mortgage Inputs'!$B$8),MONTH('Mortgage Inputs'!$B$8)+A65,DAY('Mortgage Inputs'!$B$8)))</f>
        <v>48122</v>
      </c>
      <c r="C65" s="2">
        <f t="shared" si="1"/>
        <v>586424.07009385561</v>
      </c>
      <c r="D65" s="2">
        <f t="shared" si="2"/>
        <v>79000</v>
      </c>
      <c r="E65" s="2">
        <f>IF(A65="","",MAX(0,(C65-MIN(D65,C65))*'Mortgage Inputs'!$B$15))</f>
        <v>2702.0331732497812</v>
      </c>
      <c r="F65" s="2">
        <f>IF(A65="","",IF(AND('Offset Inputs'!$B$5&gt;='Mortgage Inputs'!$B$5,'Mortgage Inputs'!$B$5&gt;0),C65,MIN(C65,MAX(0,'Mortgage Inputs'!$B$17-E65))))</f>
        <v>1359.5001945575723</v>
      </c>
      <c r="G65" s="2">
        <f t="shared" si="0"/>
        <v>585064.56989929802</v>
      </c>
      <c r="H65" s="2">
        <f>IF(A65="","",IF(AND('Offset Inputs'!$B$5&gt;='Mortgage Inputs'!$B$5,'Mortgage Inputs'!$B$5&gt;0),'Offset Inputs'!$B$5-'Mortgage Inputs'!$B$5,D65+'Offset Inputs'!$B$6))</f>
        <v>79500</v>
      </c>
    </row>
    <row r="66" spans="1:8" ht="22" customHeight="1">
      <c r="A66" s="1">
        <f>IF(AND('Mortgage Inputs'!$B$12,60&lt;=IF('Mortgage Inputs'!$B$12,'Mortgage Inputs'!$B$7,0)*12+600,ISNUMBER(G65),G65&gt;0.005),60,"")</f>
        <v>60</v>
      </c>
      <c r="B66" s="4">
        <f>IF(A66="","",DATE(YEAR('Mortgage Inputs'!$B$8),MONTH('Mortgage Inputs'!$B$8)+A66,DAY('Mortgage Inputs'!$B$8)))</f>
        <v>48153</v>
      </c>
      <c r="C66" s="2">
        <f t="shared" si="1"/>
        <v>585064.56989929802</v>
      </c>
      <c r="D66" s="2">
        <f t="shared" si="2"/>
        <v>79500</v>
      </c>
      <c r="E66" s="2">
        <f>IF(A66="","",MAX(0,(C66-MIN(D66,C66))*'Mortgage Inputs'!$B$15))</f>
        <v>2692.131334713762</v>
      </c>
      <c r="F66" s="2">
        <f>IF(A66="","",IF(AND('Offset Inputs'!$B$5&gt;='Mortgage Inputs'!$B$5,'Mortgage Inputs'!$B$5&gt;0),C66,MIN(C66,MAX(0,'Mortgage Inputs'!$B$17-E66))))</f>
        <v>1369.4020330935914</v>
      </c>
      <c r="G66" s="2">
        <f t="shared" si="0"/>
        <v>583695.1678662044</v>
      </c>
      <c r="H66" s="2">
        <f>IF(A66="","",IF(AND('Offset Inputs'!$B$5&gt;='Mortgage Inputs'!$B$5,'Mortgage Inputs'!$B$5&gt;0),'Offset Inputs'!$B$5-'Mortgage Inputs'!$B$5,D66+'Offset Inputs'!$B$6))</f>
        <v>80000</v>
      </c>
    </row>
    <row r="67" spans="1:8" ht="22" customHeight="1">
      <c r="A67" s="1">
        <f>IF(AND('Mortgage Inputs'!$B$12,61&lt;=IF('Mortgage Inputs'!$B$12,'Mortgage Inputs'!$B$7,0)*12+600,ISNUMBER(G66),G66&gt;0.005),61,"")</f>
        <v>61</v>
      </c>
      <c r="B67" s="4">
        <f>IF(A67="","",DATE(YEAR('Mortgage Inputs'!$B$8),MONTH('Mortgage Inputs'!$B$8)+A67,DAY('Mortgage Inputs'!$B$8)))</f>
        <v>48183</v>
      </c>
      <c r="C67" s="2">
        <f t="shared" si="1"/>
        <v>583695.1678662044</v>
      </c>
      <c r="D67" s="2">
        <f t="shared" si="2"/>
        <v>80000</v>
      </c>
      <c r="E67" s="2">
        <f>IF(A67="","",MAX(0,(C67-MIN(D67,C67))*'Mortgage Inputs'!$B$15))</f>
        <v>2682.1767688875384</v>
      </c>
      <c r="F67" s="2">
        <f>IF(A67="","",IF(AND('Offset Inputs'!$B$5&gt;='Mortgage Inputs'!$B$5,'Mortgage Inputs'!$B$5&gt;0),C67,MIN(C67,MAX(0,'Mortgage Inputs'!$B$17-E67))))</f>
        <v>1379.356598919815</v>
      </c>
      <c r="G67" s="2">
        <f t="shared" si="0"/>
        <v>582315.81126728456</v>
      </c>
      <c r="H67" s="2">
        <f>IF(A67="","",IF(AND('Offset Inputs'!$B$5&gt;='Mortgage Inputs'!$B$5,'Mortgage Inputs'!$B$5&gt;0),'Offset Inputs'!$B$5-'Mortgage Inputs'!$B$5,D67+'Offset Inputs'!$B$6))</f>
        <v>80500</v>
      </c>
    </row>
    <row r="68" spans="1:8" ht="22" customHeight="1">
      <c r="A68" s="1">
        <f>IF(AND('Mortgage Inputs'!$B$12,62&lt;=IF('Mortgage Inputs'!$B$12,'Mortgage Inputs'!$B$7,0)*12+600,ISNUMBER(G67),G67&gt;0.005),62,"")</f>
        <v>62</v>
      </c>
      <c r="B68" s="4">
        <f>IF(A68="","",DATE(YEAR('Mortgage Inputs'!$B$8),MONTH('Mortgage Inputs'!$B$8)+A68,DAY('Mortgage Inputs'!$B$8)))</f>
        <v>48214</v>
      </c>
      <c r="C68" s="2">
        <f t="shared" si="1"/>
        <v>582315.81126728456</v>
      </c>
      <c r="D68" s="2">
        <f t="shared" si="2"/>
        <v>80500</v>
      </c>
      <c r="E68" s="2">
        <f>IF(A68="","",MAX(0,(C68-MIN(D68,C68))*'Mortgage Inputs'!$B$15))</f>
        <v>2672.1691949982901</v>
      </c>
      <c r="F68" s="2">
        <f>IF(A68="","",IF(AND('Offset Inputs'!$B$5&gt;='Mortgage Inputs'!$B$5,'Mortgage Inputs'!$B$5&gt;0),C68,MIN(C68,MAX(0,'Mortgage Inputs'!$B$17-E68))))</f>
        <v>1389.3641728090633</v>
      </c>
      <c r="G68" s="2">
        <f t="shared" si="0"/>
        <v>580926.4470944755</v>
      </c>
      <c r="H68" s="2">
        <f>IF(A68="","",IF(AND('Offset Inputs'!$B$5&gt;='Mortgage Inputs'!$B$5,'Mortgage Inputs'!$B$5&gt;0),'Offset Inputs'!$B$5-'Mortgage Inputs'!$B$5,D68+'Offset Inputs'!$B$6))</f>
        <v>81000</v>
      </c>
    </row>
    <row r="69" spans="1:8" ht="22" customHeight="1">
      <c r="A69" s="1">
        <f>IF(AND('Mortgage Inputs'!$B$12,63&lt;=IF('Mortgage Inputs'!$B$12,'Mortgage Inputs'!$B$7,0)*12+600,ISNUMBER(G68),G68&gt;0.005),63,"")</f>
        <v>63</v>
      </c>
      <c r="B69" s="4">
        <f>IF(A69="","",DATE(YEAR('Mortgage Inputs'!$B$8),MONTH('Mortgage Inputs'!$B$8)+A69,DAY('Mortgage Inputs'!$B$8)))</f>
        <v>48245</v>
      </c>
      <c r="C69" s="2">
        <f t="shared" si="1"/>
        <v>580926.4470944755</v>
      </c>
      <c r="D69" s="2">
        <f t="shared" si="2"/>
        <v>81000</v>
      </c>
      <c r="E69" s="2">
        <f>IF(A69="","",MAX(0,(C69-MIN(D69,C69))*'Mortgage Inputs'!$B$15))</f>
        <v>2662.1083307780818</v>
      </c>
      <c r="F69" s="2">
        <f>IF(A69="","",IF(AND('Offset Inputs'!$B$5&gt;='Mortgage Inputs'!$B$5,'Mortgage Inputs'!$B$5&gt;0),C69,MIN(C69,MAX(0,'Mortgage Inputs'!$B$17-E69))))</f>
        <v>1399.4250370292716</v>
      </c>
      <c r="G69" s="2">
        <f t="shared" si="0"/>
        <v>579527.02205744619</v>
      </c>
      <c r="H69" s="2">
        <f>IF(A69="","",IF(AND('Offset Inputs'!$B$5&gt;='Mortgage Inputs'!$B$5,'Mortgage Inputs'!$B$5&gt;0),'Offset Inputs'!$B$5-'Mortgage Inputs'!$B$5,D69+'Offset Inputs'!$B$6))</f>
        <v>81500</v>
      </c>
    </row>
    <row r="70" spans="1:8" ht="22" customHeight="1">
      <c r="A70" s="1">
        <f>IF(AND('Mortgage Inputs'!$B$12,64&lt;=IF('Mortgage Inputs'!$B$12,'Mortgage Inputs'!$B$7,0)*12+600,ISNUMBER(G69),G69&gt;0.005),64,"")</f>
        <v>64</v>
      </c>
      <c r="B70" s="4">
        <f>IF(A70="","",DATE(YEAR('Mortgage Inputs'!$B$8),MONTH('Mortgage Inputs'!$B$8)+A70,DAY('Mortgage Inputs'!$B$8)))</f>
        <v>48274</v>
      </c>
      <c r="C70" s="2">
        <f t="shared" si="1"/>
        <v>579527.02205744619</v>
      </c>
      <c r="D70" s="2">
        <f t="shared" si="2"/>
        <v>81500</v>
      </c>
      <c r="E70" s="2">
        <f>IF(A70="","",MAX(0,(C70-MIN(D70,C70))*'Mortgage Inputs'!$B$15))</f>
        <v>2651.993892455901</v>
      </c>
      <c r="F70" s="2">
        <f>IF(A70="","",IF(AND('Offset Inputs'!$B$5&gt;='Mortgage Inputs'!$B$5,'Mortgage Inputs'!$B$5&gt;0),C70,MIN(C70,MAX(0,'Mortgage Inputs'!$B$17-E70))))</f>
        <v>1409.5394753514524</v>
      </c>
      <c r="G70" s="2">
        <f t="shared" si="0"/>
        <v>578117.48258209473</v>
      </c>
      <c r="H70" s="2">
        <f>IF(A70="","",IF(AND('Offset Inputs'!$B$5&gt;='Mortgage Inputs'!$B$5,'Mortgage Inputs'!$B$5&gt;0),'Offset Inputs'!$B$5-'Mortgage Inputs'!$B$5,D70+'Offset Inputs'!$B$6))</f>
        <v>82000</v>
      </c>
    </row>
    <row r="71" spans="1:8" ht="22" customHeight="1">
      <c r="A71" s="1">
        <f>IF(AND('Mortgage Inputs'!$B$12,65&lt;=IF('Mortgage Inputs'!$B$12,'Mortgage Inputs'!$B$7,0)*12+600,ISNUMBER(G70),G70&gt;0.005),65,"")</f>
        <v>65</v>
      </c>
      <c r="B71" s="4">
        <f>IF(A71="","",DATE(YEAR('Mortgage Inputs'!$B$8),MONTH('Mortgage Inputs'!$B$8)+A71,DAY('Mortgage Inputs'!$B$8)))</f>
        <v>48305</v>
      </c>
      <c r="C71" s="2">
        <f t="shared" si="1"/>
        <v>578117.48258209473</v>
      </c>
      <c r="D71" s="2">
        <f t="shared" si="2"/>
        <v>82000</v>
      </c>
      <c r="E71" s="2">
        <f>IF(A71="","",MAX(0,(C71-MIN(D71,C71))*'Mortgage Inputs'!$B$15))</f>
        <v>2641.8255947496546</v>
      </c>
      <c r="F71" s="2">
        <f>IF(A71="","",IF(AND('Offset Inputs'!$B$5&gt;='Mortgage Inputs'!$B$5,'Mortgage Inputs'!$B$5&gt;0),C71,MIN(C71,MAX(0,'Mortgage Inputs'!$B$17-E71))))</f>
        <v>1419.7077730576989</v>
      </c>
      <c r="G71" s="2">
        <f t="shared" ref="G71:G134" si="3">IF(A71="","",MAX(0,C71-F71))</f>
        <v>576697.77480903699</v>
      </c>
      <c r="H71" s="2">
        <f>IF(A71="","",IF(AND('Offset Inputs'!$B$5&gt;='Mortgage Inputs'!$B$5,'Mortgage Inputs'!$B$5&gt;0),'Offset Inputs'!$B$5-'Mortgage Inputs'!$B$5,D71+'Offset Inputs'!$B$6))</f>
        <v>82500</v>
      </c>
    </row>
    <row r="72" spans="1:8" ht="22" customHeight="1">
      <c r="A72" s="1">
        <f>IF(AND('Mortgage Inputs'!$B$12,66&lt;=IF('Mortgage Inputs'!$B$12,'Mortgage Inputs'!$B$7,0)*12+600,ISNUMBER(G71),G71&gt;0.005),66,"")</f>
        <v>66</v>
      </c>
      <c r="B72" s="4">
        <f>IF(A72="","",DATE(YEAR('Mortgage Inputs'!$B$8),MONTH('Mortgage Inputs'!$B$8)+A72,DAY('Mortgage Inputs'!$B$8)))</f>
        <v>48335</v>
      </c>
      <c r="C72" s="2">
        <f t="shared" ref="C72:C135" si="4">IF(A72="","",G71)</f>
        <v>576697.77480903699</v>
      </c>
      <c r="D72" s="2">
        <f t="shared" ref="D72:D135" si="5">IF(A72="","",H71)</f>
        <v>82500</v>
      </c>
      <c r="E72" s="2">
        <f>IF(A72="","",MAX(0,(C72-MIN(D72,C72))*'Mortgage Inputs'!$B$15))</f>
        <v>2631.6031508581218</v>
      </c>
      <c r="F72" s="2">
        <f>IF(A72="","",IF(AND('Offset Inputs'!$B$5&gt;='Mortgage Inputs'!$B$5,'Mortgage Inputs'!$B$5&gt;0),C72,MIN(C72,MAX(0,'Mortgage Inputs'!$B$17-E72))))</f>
        <v>1429.9302169492316</v>
      </c>
      <c r="G72" s="2">
        <f t="shared" si="3"/>
        <v>575267.84459208779</v>
      </c>
      <c r="H72" s="2">
        <f>IF(A72="","",IF(AND('Offset Inputs'!$B$5&gt;='Mortgage Inputs'!$B$5,'Mortgage Inputs'!$B$5&gt;0),'Offset Inputs'!$B$5-'Mortgage Inputs'!$B$5,D72+'Offset Inputs'!$B$6))</f>
        <v>83000</v>
      </c>
    </row>
    <row r="73" spans="1:8" ht="22" customHeight="1">
      <c r="A73" s="1">
        <f>IF(AND('Mortgage Inputs'!$B$12,67&lt;=IF('Mortgage Inputs'!$B$12,'Mortgage Inputs'!$B$7,0)*12+600,ISNUMBER(G72),G72&gt;0.005),67,"")</f>
        <v>67</v>
      </c>
      <c r="B73" s="4">
        <f>IF(A73="","",DATE(YEAR('Mortgage Inputs'!$B$8),MONTH('Mortgage Inputs'!$B$8)+A73,DAY('Mortgage Inputs'!$B$8)))</f>
        <v>48366</v>
      </c>
      <c r="C73" s="2">
        <f t="shared" si="4"/>
        <v>575267.84459208779</v>
      </c>
      <c r="D73" s="2">
        <f t="shared" si="5"/>
        <v>83000</v>
      </c>
      <c r="E73" s="2">
        <f>IF(A73="","",MAX(0,(C73-MIN(D73,C73))*'Mortgage Inputs'!$B$15))</f>
        <v>2621.3262724528672</v>
      </c>
      <c r="F73" s="2">
        <f>IF(A73="","",IF(AND('Offset Inputs'!$B$5&gt;='Mortgage Inputs'!$B$5,'Mortgage Inputs'!$B$5&gt;0),C73,MIN(C73,MAX(0,'Mortgage Inputs'!$B$17-E73))))</f>
        <v>1440.2070953544862</v>
      </c>
      <c r="G73" s="2">
        <f t="shared" si="3"/>
        <v>573827.63749673334</v>
      </c>
      <c r="H73" s="2">
        <f>IF(A73="","",IF(AND('Offset Inputs'!$B$5&gt;='Mortgage Inputs'!$B$5,'Mortgage Inputs'!$B$5&gt;0),'Offset Inputs'!$B$5-'Mortgage Inputs'!$B$5,D73+'Offset Inputs'!$B$6))</f>
        <v>83500</v>
      </c>
    </row>
    <row r="74" spans="1:8" ht="22" customHeight="1">
      <c r="A74" s="1">
        <f>IF(AND('Mortgage Inputs'!$B$12,68&lt;=IF('Mortgage Inputs'!$B$12,'Mortgage Inputs'!$B$7,0)*12+600,ISNUMBER(G73),G73&gt;0.005),68,"")</f>
        <v>68</v>
      </c>
      <c r="B74" s="4">
        <f>IF(A74="","",DATE(YEAR('Mortgage Inputs'!$B$8),MONTH('Mortgage Inputs'!$B$8)+A74,DAY('Mortgage Inputs'!$B$8)))</f>
        <v>48396</v>
      </c>
      <c r="C74" s="2">
        <f t="shared" si="4"/>
        <v>573827.63749673334</v>
      </c>
      <c r="D74" s="2">
        <f t="shared" si="5"/>
        <v>83500</v>
      </c>
      <c r="E74" s="2">
        <f>IF(A74="","",MAX(0,(C74-MIN(D74,C74))*'Mortgage Inputs'!$B$15))</f>
        <v>2610.9946696701049</v>
      </c>
      <c r="F74" s="2">
        <f>IF(A74="","",IF(AND('Offset Inputs'!$B$5&gt;='Mortgage Inputs'!$B$5,'Mortgage Inputs'!$B$5&gt;0),C74,MIN(C74,MAX(0,'Mortgage Inputs'!$B$17-E74))))</f>
        <v>1450.5386981372485</v>
      </c>
      <c r="G74" s="2">
        <f t="shared" si="3"/>
        <v>572377.09879859607</v>
      </c>
      <c r="H74" s="2">
        <f>IF(A74="","",IF(AND('Offset Inputs'!$B$5&gt;='Mortgage Inputs'!$B$5,'Mortgage Inputs'!$B$5&gt;0),'Offset Inputs'!$B$5-'Mortgage Inputs'!$B$5,D74+'Offset Inputs'!$B$6))</f>
        <v>84000</v>
      </c>
    </row>
    <row r="75" spans="1:8" ht="22" customHeight="1">
      <c r="A75" s="1">
        <f>IF(AND('Mortgage Inputs'!$B$12,69&lt;=IF('Mortgage Inputs'!$B$12,'Mortgage Inputs'!$B$7,0)*12+600,ISNUMBER(G74),G74&gt;0.005),69,"")</f>
        <v>69</v>
      </c>
      <c r="B75" s="4">
        <f>IF(A75="","",DATE(YEAR('Mortgage Inputs'!$B$8),MONTH('Mortgage Inputs'!$B$8)+A75,DAY('Mortgage Inputs'!$B$8)))</f>
        <v>48427</v>
      </c>
      <c r="C75" s="2">
        <f t="shared" si="4"/>
        <v>572377.09879859607</v>
      </c>
      <c r="D75" s="2">
        <f t="shared" si="5"/>
        <v>84000</v>
      </c>
      <c r="E75" s="2">
        <f>IF(A75="","",MAX(0,(C75-MIN(D75,C75))*'Mortgage Inputs'!$B$15))</f>
        <v>2600.6080511025239</v>
      </c>
      <c r="F75" s="2">
        <f>IF(A75="","",IF(AND('Offset Inputs'!$B$5&gt;='Mortgage Inputs'!$B$5,'Mortgage Inputs'!$B$5&gt;0),C75,MIN(C75,MAX(0,'Mortgage Inputs'!$B$17-E75))))</f>
        <v>1460.9253167048296</v>
      </c>
      <c r="G75" s="2">
        <f t="shared" si="3"/>
        <v>570916.17348189128</v>
      </c>
      <c r="H75" s="2">
        <f>IF(A75="","",IF(AND('Offset Inputs'!$B$5&gt;='Mortgage Inputs'!$B$5,'Mortgage Inputs'!$B$5&gt;0),'Offset Inputs'!$B$5-'Mortgage Inputs'!$B$5,D75+'Offset Inputs'!$B$6))</f>
        <v>84500</v>
      </c>
    </row>
    <row r="76" spans="1:8" ht="22" customHeight="1">
      <c r="A76" s="1">
        <f>IF(AND('Mortgage Inputs'!$B$12,70&lt;=IF('Mortgage Inputs'!$B$12,'Mortgage Inputs'!$B$7,0)*12+600,ISNUMBER(G75),G75&gt;0.005),70,"")</f>
        <v>70</v>
      </c>
      <c r="B76" s="4">
        <f>IF(A76="","",DATE(YEAR('Mortgage Inputs'!$B$8),MONTH('Mortgage Inputs'!$B$8)+A76,DAY('Mortgage Inputs'!$B$8)))</f>
        <v>48458</v>
      </c>
      <c r="C76" s="2">
        <f t="shared" si="4"/>
        <v>570916.17348189128</v>
      </c>
      <c r="D76" s="2">
        <f t="shared" si="5"/>
        <v>84500</v>
      </c>
      <c r="E76" s="2">
        <f>IF(A76="","",MAX(0,(C76-MIN(D76,C76))*'Mortgage Inputs'!$B$15))</f>
        <v>2590.1661237910712</v>
      </c>
      <c r="F76" s="2">
        <f>IF(A76="","",IF(AND('Offset Inputs'!$B$5&gt;='Mortgage Inputs'!$B$5,'Mortgage Inputs'!$B$5&gt;0),C76,MIN(C76,MAX(0,'Mortgage Inputs'!$B$17-E76))))</f>
        <v>1471.3672440162823</v>
      </c>
      <c r="G76" s="2">
        <f t="shared" si="3"/>
        <v>569444.80623787502</v>
      </c>
      <c r="H76" s="2">
        <f>IF(A76="","",IF(AND('Offset Inputs'!$B$5&gt;='Mortgage Inputs'!$B$5,'Mortgage Inputs'!$B$5&gt;0),'Offset Inputs'!$B$5-'Mortgage Inputs'!$B$5,D76+'Offset Inputs'!$B$6))</f>
        <v>85000</v>
      </c>
    </row>
    <row r="77" spans="1:8" ht="22" customHeight="1">
      <c r="A77" s="1">
        <f>IF(AND('Mortgage Inputs'!$B$12,71&lt;=IF('Mortgage Inputs'!$B$12,'Mortgage Inputs'!$B$7,0)*12+600,ISNUMBER(G76),G76&gt;0.005),71,"")</f>
        <v>71</v>
      </c>
      <c r="B77" s="4">
        <f>IF(A77="","",DATE(YEAR('Mortgage Inputs'!$B$8),MONTH('Mortgage Inputs'!$B$8)+A77,DAY('Mortgage Inputs'!$B$8)))</f>
        <v>48488</v>
      </c>
      <c r="C77" s="2">
        <f t="shared" si="4"/>
        <v>569444.80623787502</v>
      </c>
      <c r="D77" s="2">
        <f t="shared" si="5"/>
        <v>85000</v>
      </c>
      <c r="E77" s="2">
        <f>IF(A77="","",MAX(0,(C77-MIN(D77,C77))*'Mortgage Inputs'!$B$15))</f>
        <v>2579.6685932166843</v>
      </c>
      <c r="F77" s="2">
        <f>IF(A77="","",IF(AND('Offset Inputs'!$B$5&gt;='Mortgage Inputs'!$B$5,'Mortgage Inputs'!$B$5&gt;0),C77,MIN(C77,MAX(0,'Mortgage Inputs'!$B$17-E77))))</f>
        <v>1481.8647745906692</v>
      </c>
      <c r="G77" s="2">
        <f t="shared" si="3"/>
        <v>567962.94146328431</v>
      </c>
      <c r="H77" s="2">
        <f>IF(A77="","",IF(AND('Offset Inputs'!$B$5&gt;='Mortgage Inputs'!$B$5,'Mortgage Inputs'!$B$5&gt;0),'Offset Inputs'!$B$5-'Mortgage Inputs'!$B$5,D77+'Offset Inputs'!$B$6))</f>
        <v>85500</v>
      </c>
    </row>
    <row r="78" spans="1:8" ht="22" customHeight="1">
      <c r="A78" s="1">
        <f>IF(AND('Mortgage Inputs'!$B$12,72&lt;=IF('Mortgage Inputs'!$B$12,'Mortgage Inputs'!$B$7,0)*12+600,ISNUMBER(G77),G77&gt;0.005),72,"")</f>
        <v>72</v>
      </c>
      <c r="B78" s="4">
        <f>IF(A78="","",DATE(YEAR('Mortgage Inputs'!$B$8),MONTH('Mortgage Inputs'!$B$8)+A78,DAY('Mortgage Inputs'!$B$8)))</f>
        <v>48519</v>
      </c>
      <c r="C78" s="2">
        <f t="shared" si="4"/>
        <v>567962.94146328431</v>
      </c>
      <c r="D78" s="2">
        <f t="shared" si="5"/>
        <v>85500</v>
      </c>
      <c r="E78" s="2">
        <f>IF(A78="","",MAX(0,(C78-MIN(D78,C78))*'Mortgage Inputs'!$B$15))</f>
        <v>2569.1151632919891</v>
      </c>
      <c r="F78" s="2">
        <f>IF(A78="","",IF(AND('Offset Inputs'!$B$5&gt;='Mortgage Inputs'!$B$5,'Mortgage Inputs'!$B$5&gt;0),C78,MIN(C78,MAX(0,'Mortgage Inputs'!$B$17-E78))))</f>
        <v>1492.4182045153643</v>
      </c>
      <c r="G78" s="2">
        <f t="shared" si="3"/>
        <v>566470.52325876895</v>
      </c>
      <c r="H78" s="2">
        <f>IF(A78="","",IF(AND('Offset Inputs'!$B$5&gt;='Mortgage Inputs'!$B$5,'Mortgage Inputs'!$B$5&gt;0),'Offset Inputs'!$B$5-'Mortgage Inputs'!$B$5,D78+'Offset Inputs'!$B$6))</f>
        <v>86000</v>
      </c>
    </row>
    <row r="79" spans="1:8" ht="22" customHeight="1">
      <c r="A79" s="1">
        <f>IF(AND('Mortgage Inputs'!$B$12,73&lt;=IF('Mortgage Inputs'!$B$12,'Mortgage Inputs'!$B$7,0)*12+600,ISNUMBER(G78),G78&gt;0.005),73,"")</f>
        <v>73</v>
      </c>
      <c r="B79" s="4">
        <f>IF(A79="","",DATE(YEAR('Mortgage Inputs'!$B$8),MONTH('Mortgage Inputs'!$B$8)+A79,DAY('Mortgage Inputs'!$B$8)))</f>
        <v>48549</v>
      </c>
      <c r="C79" s="2">
        <f t="shared" si="4"/>
        <v>566470.52325876895</v>
      </c>
      <c r="D79" s="2">
        <f t="shared" si="5"/>
        <v>86000</v>
      </c>
      <c r="E79" s="2">
        <f>IF(A79="","",MAX(0,(C79-MIN(D79,C79))*'Mortgage Inputs'!$B$15))</f>
        <v>2558.5055363529445</v>
      </c>
      <c r="F79" s="2">
        <f>IF(A79="","",IF(AND('Offset Inputs'!$B$5&gt;='Mortgage Inputs'!$B$5,'Mortgage Inputs'!$B$5&gt;0),C79,MIN(C79,MAX(0,'Mortgage Inputs'!$B$17-E79))))</f>
        <v>1503.0278314544089</v>
      </c>
      <c r="G79" s="2">
        <f t="shared" si="3"/>
        <v>564967.49542731454</v>
      </c>
      <c r="H79" s="2">
        <f>IF(A79="","",IF(AND('Offset Inputs'!$B$5&gt;='Mortgage Inputs'!$B$5,'Mortgage Inputs'!$B$5&gt;0),'Offset Inputs'!$B$5-'Mortgage Inputs'!$B$5,D79+'Offset Inputs'!$B$6))</f>
        <v>86500</v>
      </c>
    </row>
    <row r="80" spans="1:8" ht="22" customHeight="1">
      <c r="A80" s="1">
        <f>IF(AND('Mortgage Inputs'!$B$12,74&lt;=IF('Mortgage Inputs'!$B$12,'Mortgage Inputs'!$B$7,0)*12+600,ISNUMBER(G79),G79&gt;0.005),74,"")</f>
        <v>74</v>
      </c>
      <c r="B80" s="4">
        <f>IF(A80="","",DATE(YEAR('Mortgage Inputs'!$B$8),MONTH('Mortgage Inputs'!$B$8)+A80,DAY('Mortgage Inputs'!$B$8)))</f>
        <v>48580</v>
      </c>
      <c r="C80" s="2">
        <f t="shared" si="4"/>
        <v>564967.49542731454</v>
      </c>
      <c r="D80" s="2">
        <f t="shared" si="5"/>
        <v>86500</v>
      </c>
      <c r="E80" s="2">
        <f>IF(A80="","",MAX(0,(C80-MIN(D80,C80))*'Mortgage Inputs'!$B$15))</f>
        <v>2547.8394131504497</v>
      </c>
      <c r="F80" s="2">
        <f>IF(A80="","",IF(AND('Offset Inputs'!$B$5&gt;='Mortgage Inputs'!$B$5,'Mortgage Inputs'!$B$5&gt;0),C80,MIN(C80,MAX(0,'Mortgage Inputs'!$B$17-E80))))</f>
        <v>1513.6939546569038</v>
      </c>
      <c r="G80" s="2">
        <f t="shared" si="3"/>
        <v>563453.80147265759</v>
      </c>
      <c r="H80" s="2">
        <f>IF(A80="","",IF(AND('Offset Inputs'!$B$5&gt;='Mortgage Inputs'!$B$5,'Mortgage Inputs'!$B$5&gt;0),'Offset Inputs'!$B$5-'Mortgage Inputs'!$B$5,D80+'Offset Inputs'!$B$6))</f>
        <v>87000</v>
      </c>
    </row>
    <row r="81" spans="1:8" ht="22" customHeight="1">
      <c r="A81" s="1">
        <f>IF(AND('Mortgage Inputs'!$B$12,75&lt;=IF('Mortgage Inputs'!$B$12,'Mortgage Inputs'!$B$7,0)*12+600,ISNUMBER(G80),G80&gt;0.005),75,"")</f>
        <v>75</v>
      </c>
      <c r="B81" s="4">
        <f>IF(A81="","",DATE(YEAR('Mortgage Inputs'!$B$8),MONTH('Mortgage Inputs'!$B$8)+A81,DAY('Mortgage Inputs'!$B$8)))</f>
        <v>48611</v>
      </c>
      <c r="C81" s="2">
        <f t="shared" si="4"/>
        <v>563453.80147265759</v>
      </c>
      <c r="D81" s="2">
        <f t="shared" si="5"/>
        <v>87000</v>
      </c>
      <c r="E81" s="2">
        <f>IF(A81="","",MAX(0,(C81-MIN(D81,C81))*'Mortgage Inputs'!$B$15))</f>
        <v>2537.1164928419016</v>
      </c>
      <c r="F81" s="2">
        <f>IF(A81="","",IF(AND('Offset Inputs'!$B$5&gt;='Mortgage Inputs'!$B$5,'Mortgage Inputs'!$B$5&gt;0),C81,MIN(C81,MAX(0,'Mortgage Inputs'!$B$17-E81))))</f>
        <v>1524.4168749654518</v>
      </c>
      <c r="G81" s="2">
        <f t="shared" si="3"/>
        <v>561929.38459769217</v>
      </c>
      <c r="H81" s="2">
        <f>IF(A81="","",IF(AND('Offset Inputs'!$B$5&gt;='Mortgage Inputs'!$B$5,'Mortgage Inputs'!$B$5&gt;0),'Offset Inputs'!$B$5-'Mortgage Inputs'!$B$5,D81+'Offset Inputs'!$B$6))</f>
        <v>87500</v>
      </c>
    </row>
    <row r="82" spans="1:8" ht="22" customHeight="1">
      <c r="A82" s="1">
        <f>IF(AND('Mortgage Inputs'!$B$12,76&lt;=IF('Mortgage Inputs'!$B$12,'Mortgage Inputs'!$B$7,0)*12+600,ISNUMBER(G81),G81&gt;0.005),76,"")</f>
        <v>76</v>
      </c>
      <c r="B82" s="4">
        <f>IF(A82="","",DATE(YEAR('Mortgage Inputs'!$B$8),MONTH('Mortgage Inputs'!$B$8)+A82,DAY('Mortgage Inputs'!$B$8)))</f>
        <v>48639</v>
      </c>
      <c r="C82" s="2">
        <f t="shared" si="4"/>
        <v>561929.38459769217</v>
      </c>
      <c r="D82" s="2">
        <f t="shared" si="5"/>
        <v>87500</v>
      </c>
      <c r="E82" s="2">
        <f>IF(A82="","",MAX(0,(C82-MIN(D82,C82))*'Mortgage Inputs'!$B$15))</f>
        <v>2526.3364729827108</v>
      </c>
      <c r="F82" s="2">
        <f>IF(A82="","",IF(AND('Offset Inputs'!$B$5&gt;='Mortgage Inputs'!$B$5,'Mortgage Inputs'!$B$5&gt;0),C82,MIN(C82,MAX(0,'Mortgage Inputs'!$B$17-E82))))</f>
        <v>1535.1968948246426</v>
      </c>
      <c r="G82" s="2">
        <f t="shared" si="3"/>
        <v>560394.18770286755</v>
      </c>
      <c r="H82" s="2">
        <f>IF(A82="","",IF(AND('Offset Inputs'!$B$5&gt;='Mortgage Inputs'!$B$5,'Mortgage Inputs'!$B$5&gt;0),'Offset Inputs'!$B$5-'Mortgage Inputs'!$B$5,D82+'Offset Inputs'!$B$6))</f>
        <v>88000</v>
      </c>
    </row>
    <row r="83" spans="1:8" ht="22" customHeight="1">
      <c r="A83" s="1">
        <f>IF(AND('Mortgage Inputs'!$B$12,77&lt;=IF('Mortgage Inputs'!$B$12,'Mortgage Inputs'!$B$7,0)*12+600,ISNUMBER(G82),G82&gt;0.005),77,"")</f>
        <v>77</v>
      </c>
      <c r="B83" s="4">
        <f>IF(A83="","",DATE(YEAR('Mortgage Inputs'!$B$8),MONTH('Mortgage Inputs'!$B$8)+A83,DAY('Mortgage Inputs'!$B$8)))</f>
        <v>48670</v>
      </c>
      <c r="C83" s="2">
        <f t="shared" si="4"/>
        <v>560394.18770286755</v>
      </c>
      <c r="D83" s="2">
        <f t="shared" si="5"/>
        <v>88000</v>
      </c>
      <c r="E83" s="2">
        <f>IF(A83="","",MAX(0,(C83-MIN(D83,C83))*'Mortgage Inputs'!$B$15))</f>
        <v>2515.4990495177694</v>
      </c>
      <c r="F83" s="2">
        <f>IF(A83="","",IF(AND('Offset Inputs'!$B$5&gt;='Mortgage Inputs'!$B$5,'Mortgage Inputs'!$B$5&gt;0),C83,MIN(C83,MAX(0,'Mortgage Inputs'!$B$17-E83))))</f>
        <v>1546.034318289584</v>
      </c>
      <c r="G83" s="2">
        <f t="shared" si="3"/>
        <v>558848.15338457795</v>
      </c>
      <c r="H83" s="2">
        <f>IF(A83="","",IF(AND('Offset Inputs'!$B$5&gt;='Mortgage Inputs'!$B$5,'Mortgage Inputs'!$B$5&gt;0),'Offset Inputs'!$B$5-'Mortgage Inputs'!$B$5,D83+'Offset Inputs'!$B$6))</f>
        <v>88500</v>
      </c>
    </row>
    <row r="84" spans="1:8" ht="22" customHeight="1">
      <c r="A84" s="1">
        <f>IF(AND('Mortgage Inputs'!$B$12,78&lt;=IF('Mortgage Inputs'!$B$12,'Mortgage Inputs'!$B$7,0)*12+600,ISNUMBER(G83),G83&gt;0.005),78,"")</f>
        <v>78</v>
      </c>
      <c r="B84" s="4">
        <f>IF(A84="","",DATE(YEAR('Mortgage Inputs'!$B$8),MONTH('Mortgage Inputs'!$B$8)+A84,DAY('Mortgage Inputs'!$B$8)))</f>
        <v>48700</v>
      </c>
      <c r="C84" s="2">
        <f t="shared" si="4"/>
        <v>558848.15338457795</v>
      </c>
      <c r="D84" s="2">
        <f t="shared" si="5"/>
        <v>88500</v>
      </c>
      <c r="E84" s="2">
        <f>IF(A84="","",MAX(0,(C84-MIN(D84,C84))*'Mortgage Inputs'!$B$15))</f>
        <v>2504.6039167728777</v>
      </c>
      <c r="F84" s="2">
        <f>IF(A84="","",IF(AND('Offset Inputs'!$B$5&gt;='Mortgage Inputs'!$B$5,'Mortgage Inputs'!$B$5&gt;0),C84,MIN(C84,MAX(0,'Mortgage Inputs'!$B$17-E84))))</f>
        <v>1556.9294510344757</v>
      </c>
      <c r="G84" s="2">
        <f t="shared" si="3"/>
        <v>557291.22393354343</v>
      </c>
      <c r="H84" s="2">
        <f>IF(A84="","",IF(AND('Offset Inputs'!$B$5&gt;='Mortgage Inputs'!$B$5,'Mortgage Inputs'!$B$5&gt;0),'Offset Inputs'!$B$5-'Mortgage Inputs'!$B$5,D84+'Offset Inputs'!$B$6))</f>
        <v>89000</v>
      </c>
    </row>
    <row r="85" spans="1:8" ht="22" customHeight="1">
      <c r="A85" s="1">
        <f>IF(AND('Mortgage Inputs'!$B$12,79&lt;=IF('Mortgage Inputs'!$B$12,'Mortgage Inputs'!$B$7,0)*12+600,ISNUMBER(G84),G84&gt;0.005),79,"")</f>
        <v>79</v>
      </c>
      <c r="B85" s="4">
        <f>IF(A85="","",DATE(YEAR('Mortgage Inputs'!$B$8),MONTH('Mortgage Inputs'!$B$8)+A85,DAY('Mortgage Inputs'!$B$8)))</f>
        <v>48731</v>
      </c>
      <c r="C85" s="2">
        <f t="shared" si="4"/>
        <v>557291.22393354343</v>
      </c>
      <c r="D85" s="2">
        <f t="shared" si="5"/>
        <v>89000</v>
      </c>
      <c r="E85" s="2">
        <f>IF(A85="","",MAX(0,(C85-MIN(D85,C85))*'Mortgage Inputs'!$B$15))</f>
        <v>2493.6507674461186</v>
      </c>
      <c r="F85" s="2">
        <f>IF(A85="","",IF(AND('Offset Inputs'!$B$5&gt;='Mortgage Inputs'!$B$5,'Mortgage Inputs'!$B$5&gt;0),C85,MIN(C85,MAX(0,'Mortgage Inputs'!$B$17-E85))))</f>
        <v>1567.8826003612348</v>
      </c>
      <c r="G85" s="2">
        <f t="shared" si="3"/>
        <v>555723.34133318218</v>
      </c>
      <c r="H85" s="2">
        <f>IF(A85="","",IF(AND('Offset Inputs'!$B$5&gt;='Mortgage Inputs'!$B$5,'Mortgage Inputs'!$B$5&gt;0),'Offset Inputs'!$B$5-'Mortgage Inputs'!$B$5,D85+'Offset Inputs'!$B$6))</f>
        <v>89500</v>
      </c>
    </row>
    <row r="86" spans="1:8" ht="22" customHeight="1">
      <c r="A86" s="1">
        <f>IF(AND('Mortgage Inputs'!$B$12,80&lt;=IF('Mortgage Inputs'!$B$12,'Mortgage Inputs'!$B$7,0)*12+600,ISNUMBER(G85),G85&gt;0.005),80,"")</f>
        <v>80</v>
      </c>
      <c r="B86" s="4">
        <f>IF(A86="","",DATE(YEAR('Mortgage Inputs'!$B$8),MONTH('Mortgage Inputs'!$B$8)+A86,DAY('Mortgage Inputs'!$B$8)))</f>
        <v>48761</v>
      </c>
      <c r="C86" s="2">
        <f t="shared" si="4"/>
        <v>555723.34133318218</v>
      </c>
      <c r="D86" s="2">
        <f t="shared" si="5"/>
        <v>89500</v>
      </c>
      <c r="E86" s="2">
        <f>IF(A86="","",MAX(0,(C86-MIN(D86,C86))*'Mortgage Inputs'!$B$15))</f>
        <v>2482.639292599195</v>
      </c>
      <c r="F86" s="2">
        <f>IF(A86="","",IF(AND('Offset Inputs'!$B$5&gt;='Mortgage Inputs'!$B$5,'Mortgage Inputs'!$B$5&gt;0),C86,MIN(C86,MAX(0,'Mortgage Inputs'!$B$17-E86))))</f>
        <v>1578.8940752081585</v>
      </c>
      <c r="G86" s="2">
        <f t="shared" si="3"/>
        <v>554144.44725797407</v>
      </c>
      <c r="H86" s="2">
        <f>IF(A86="","",IF(AND('Offset Inputs'!$B$5&gt;='Mortgage Inputs'!$B$5,'Mortgage Inputs'!$B$5&gt;0),'Offset Inputs'!$B$5-'Mortgage Inputs'!$B$5,D86+'Offset Inputs'!$B$6))</f>
        <v>90000</v>
      </c>
    </row>
    <row r="87" spans="1:8" ht="22" customHeight="1">
      <c r="A87" s="1">
        <f>IF(AND('Mortgage Inputs'!$B$12,81&lt;=IF('Mortgage Inputs'!$B$12,'Mortgage Inputs'!$B$7,0)*12+600,ISNUMBER(G86),G86&gt;0.005),81,"")</f>
        <v>81</v>
      </c>
      <c r="B87" s="4">
        <f>IF(A87="","",DATE(YEAR('Mortgage Inputs'!$B$8),MONTH('Mortgage Inputs'!$B$8)+A87,DAY('Mortgage Inputs'!$B$8)))</f>
        <v>48792</v>
      </c>
      <c r="C87" s="2">
        <f t="shared" si="4"/>
        <v>554144.44725797407</v>
      </c>
      <c r="D87" s="2">
        <f t="shared" si="5"/>
        <v>90000</v>
      </c>
      <c r="E87" s="2">
        <f>IF(A87="","",MAX(0,(C87-MIN(D87,C87))*'Mortgage Inputs'!$B$15))</f>
        <v>2471.5691816487119</v>
      </c>
      <c r="F87" s="2">
        <f>IF(A87="","",IF(AND('Offset Inputs'!$B$5&gt;='Mortgage Inputs'!$B$5,'Mortgage Inputs'!$B$5&gt;0),C87,MIN(C87,MAX(0,'Mortgage Inputs'!$B$17-E87))))</f>
        <v>1589.9641861586415</v>
      </c>
      <c r="G87" s="2">
        <f t="shared" si="3"/>
        <v>552554.48307181546</v>
      </c>
      <c r="H87" s="2">
        <f>IF(A87="","",IF(AND('Offset Inputs'!$B$5&gt;='Mortgage Inputs'!$B$5,'Mortgage Inputs'!$B$5&gt;0),'Offset Inputs'!$B$5-'Mortgage Inputs'!$B$5,D87+'Offset Inputs'!$B$6))</f>
        <v>90500</v>
      </c>
    </row>
    <row r="88" spans="1:8" ht="22" customHeight="1">
      <c r="A88" s="1">
        <f>IF(AND('Mortgage Inputs'!$B$12,82&lt;=IF('Mortgage Inputs'!$B$12,'Mortgage Inputs'!$B$7,0)*12+600,ISNUMBER(G87),G87&gt;0.005),82,"")</f>
        <v>82</v>
      </c>
      <c r="B88" s="4">
        <f>IF(A88="","",DATE(YEAR('Mortgage Inputs'!$B$8),MONTH('Mortgage Inputs'!$B$8)+A88,DAY('Mortgage Inputs'!$B$8)))</f>
        <v>48823</v>
      </c>
      <c r="C88" s="2">
        <f t="shared" si="4"/>
        <v>552554.48307181546</v>
      </c>
      <c r="D88" s="2">
        <f t="shared" si="5"/>
        <v>90500</v>
      </c>
      <c r="E88" s="2">
        <f>IF(A88="","",MAX(0,(C88-MIN(D88,C88))*'Mortgage Inputs'!$B$15))</f>
        <v>2460.4401223574173</v>
      </c>
      <c r="F88" s="2">
        <f>IF(A88="","",IF(AND('Offset Inputs'!$B$5&gt;='Mortgage Inputs'!$B$5,'Mortgage Inputs'!$B$5&gt;0),C88,MIN(C88,MAX(0,'Mortgage Inputs'!$B$17-E88))))</f>
        <v>1601.0932454499361</v>
      </c>
      <c r="G88" s="2">
        <f t="shared" si="3"/>
        <v>550953.38982636551</v>
      </c>
      <c r="H88" s="2">
        <f>IF(A88="","",IF(AND('Offset Inputs'!$B$5&gt;='Mortgage Inputs'!$B$5,'Mortgage Inputs'!$B$5&gt;0),'Offset Inputs'!$B$5-'Mortgage Inputs'!$B$5,D88+'Offset Inputs'!$B$6))</f>
        <v>91000</v>
      </c>
    </row>
    <row r="89" spans="1:8" ht="22" customHeight="1">
      <c r="A89" s="1">
        <f>IF(AND('Mortgage Inputs'!$B$12,83&lt;=IF('Mortgage Inputs'!$B$12,'Mortgage Inputs'!$B$7,0)*12+600,ISNUMBER(G88),G88&gt;0.005),83,"")</f>
        <v>83</v>
      </c>
      <c r="B89" s="4">
        <f>IF(A89="","",DATE(YEAR('Mortgage Inputs'!$B$8),MONTH('Mortgage Inputs'!$B$8)+A89,DAY('Mortgage Inputs'!$B$8)))</f>
        <v>48853</v>
      </c>
      <c r="C89" s="2">
        <f t="shared" si="4"/>
        <v>550953.38982636551</v>
      </c>
      <c r="D89" s="2">
        <f t="shared" si="5"/>
        <v>91000</v>
      </c>
      <c r="E89" s="2">
        <f>IF(A89="","",MAX(0,(C89-MIN(D89,C89))*'Mortgage Inputs'!$B$15))</f>
        <v>2449.2518008253965</v>
      </c>
      <c r="F89" s="2">
        <f>IF(A89="","",IF(AND('Offset Inputs'!$B$5&gt;='Mortgage Inputs'!$B$5,'Mortgage Inputs'!$B$5&gt;0),C89,MIN(C89,MAX(0,'Mortgage Inputs'!$B$17-E89))))</f>
        <v>1612.281566981957</v>
      </c>
      <c r="G89" s="2">
        <f t="shared" si="3"/>
        <v>549341.10825938359</v>
      </c>
      <c r="H89" s="2">
        <f>IF(A89="","",IF(AND('Offset Inputs'!$B$5&gt;='Mortgage Inputs'!$B$5,'Mortgage Inputs'!$B$5&gt;0),'Offset Inputs'!$B$5-'Mortgage Inputs'!$B$5,D89+'Offset Inputs'!$B$6))</f>
        <v>91500</v>
      </c>
    </row>
    <row r="90" spans="1:8" ht="22" customHeight="1">
      <c r="A90" s="1">
        <f>IF(AND('Mortgage Inputs'!$B$12,84&lt;=IF('Mortgage Inputs'!$B$12,'Mortgage Inputs'!$B$7,0)*12+600,ISNUMBER(G89),G89&gt;0.005),84,"")</f>
        <v>84</v>
      </c>
      <c r="B90" s="4">
        <f>IF(A90="","",DATE(YEAR('Mortgage Inputs'!$B$8),MONTH('Mortgage Inputs'!$B$8)+A90,DAY('Mortgage Inputs'!$B$8)))</f>
        <v>48884</v>
      </c>
      <c r="C90" s="2">
        <f t="shared" si="4"/>
        <v>549341.10825938359</v>
      </c>
      <c r="D90" s="2">
        <f t="shared" si="5"/>
        <v>91500</v>
      </c>
      <c r="E90" s="2">
        <f>IF(A90="","",MAX(0,(C90-MIN(D90,C90))*'Mortgage Inputs'!$B$15))</f>
        <v>2438.0039014812173</v>
      </c>
      <c r="F90" s="2">
        <f>IF(A90="","",IF(AND('Offset Inputs'!$B$5&gt;='Mortgage Inputs'!$B$5,'Mortgage Inputs'!$B$5&gt;0),C90,MIN(C90,MAX(0,'Mortgage Inputs'!$B$17-E90))))</f>
        <v>1623.5294663261361</v>
      </c>
      <c r="G90" s="2">
        <f t="shared" si="3"/>
        <v>547717.57879305747</v>
      </c>
      <c r="H90" s="2">
        <f>IF(A90="","",IF(AND('Offset Inputs'!$B$5&gt;='Mortgage Inputs'!$B$5,'Mortgage Inputs'!$B$5&gt;0),'Offset Inputs'!$B$5-'Mortgage Inputs'!$B$5,D90+'Offset Inputs'!$B$6))</f>
        <v>92000</v>
      </c>
    </row>
    <row r="91" spans="1:8" ht="22" customHeight="1">
      <c r="A91" s="1">
        <f>IF(AND('Mortgage Inputs'!$B$12,85&lt;=IF('Mortgage Inputs'!$B$12,'Mortgage Inputs'!$B$7,0)*12+600,ISNUMBER(G90),G90&gt;0.005),85,"")</f>
        <v>85</v>
      </c>
      <c r="B91" s="4">
        <f>IF(A91="","",DATE(YEAR('Mortgage Inputs'!$B$8),MONTH('Mortgage Inputs'!$B$8)+A91,DAY('Mortgage Inputs'!$B$8)))</f>
        <v>48914</v>
      </c>
      <c r="C91" s="2">
        <f t="shared" si="4"/>
        <v>547717.57879305747</v>
      </c>
      <c r="D91" s="2">
        <f t="shared" si="5"/>
        <v>92000</v>
      </c>
      <c r="E91" s="2">
        <f>IF(A91="","",MAX(0,(C91-MIN(D91,C91))*'Mortgage Inputs'!$B$15))</f>
        <v>2426.6961070730308</v>
      </c>
      <c r="F91" s="2">
        <f>IF(A91="","",IF(AND('Offset Inputs'!$B$5&gt;='Mortgage Inputs'!$B$5,'Mortgage Inputs'!$B$5&gt;0),C91,MIN(C91,MAX(0,'Mortgage Inputs'!$B$17-E91))))</f>
        <v>1634.8372607343226</v>
      </c>
      <c r="G91" s="2">
        <f t="shared" si="3"/>
        <v>546082.74153232318</v>
      </c>
      <c r="H91" s="2">
        <f>IF(A91="","",IF(AND('Offset Inputs'!$B$5&gt;='Mortgage Inputs'!$B$5,'Mortgage Inputs'!$B$5&gt;0),'Offset Inputs'!$B$5-'Mortgage Inputs'!$B$5,D91+'Offset Inputs'!$B$6))</f>
        <v>92500</v>
      </c>
    </row>
    <row r="92" spans="1:8" ht="22" customHeight="1">
      <c r="A92" s="1">
        <f>IF(AND('Mortgage Inputs'!$B$12,86&lt;=IF('Mortgage Inputs'!$B$12,'Mortgage Inputs'!$B$7,0)*12+600,ISNUMBER(G91),G91&gt;0.005),86,"")</f>
        <v>86</v>
      </c>
      <c r="B92" s="4">
        <f>IF(A92="","",DATE(YEAR('Mortgage Inputs'!$B$8),MONTH('Mortgage Inputs'!$B$8)+A92,DAY('Mortgage Inputs'!$B$8)))</f>
        <v>48945</v>
      </c>
      <c r="C92" s="2">
        <f t="shared" si="4"/>
        <v>546082.74153232318</v>
      </c>
      <c r="D92" s="2">
        <f t="shared" si="5"/>
        <v>92500</v>
      </c>
      <c r="E92" s="2">
        <f>IF(A92="","",MAX(0,(C92-MIN(D92,C92))*'Mortgage Inputs'!$B$15))</f>
        <v>2415.328098659621</v>
      </c>
      <c r="F92" s="2">
        <f>IF(A92="","",IF(AND('Offset Inputs'!$B$5&gt;='Mortgage Inputs'!$B$5,'Mortgage Inputs'!$B$5&gt;0),C92,MIN(C92,MAX(0,'Mortgage Inputs'!$B$17-E92))))</f>
        <v>1646.2052691477325</v>
      </c>
      <c r="G92" s="2">
        <f t="shared" si="3"/>
        <v>544436.53626317543</v>
      </c>
      <c r="H92" s="2">
        <f>IF(A92="","",IF(AND('Offset Inputs'!$B$5&gt;='Mortgage Inputs'!$B$5,'Mortgage Inputs'!$B$5&gt;0),'Offset Inputs'!$B$5-'Mortgage Inputs'!$B$5,D92+'Offset Inputs'!$B$6))</f>
        <v>93000</v>
      </c>
    </row>
    <row r="93" spans="1:8" ht="22" customHeight="1">
      <c r="A93" s="1">
        <f>IF(AND('Mortgage Inputs'!$B$12,87&lt;=IF('Mortgage Inputs'!$B$12,'Mortgage Inputs'!$B$7,0)*12+600,ISNUMBER(G92),G92&gt;0.005),87,"")</f>
        <v>87</v>
      </c>
      <c r="B93" s="4">
        <f>IF(A93="","",DATE(YEAR('Mortgage Inputs'!$B$8),MONTH('Mortgage Inputs'!$B$8)+A93,DAY('Mortgage Inputs'!$B$8)))</f>
        <v>48976</v>
      </c>
      <c r="C93" s="2">
        <f t="shared" si="4"/>
        <v>544436.53626317543</v>
      </c>
      <c r="D93" s="2">
        <f t="shared" si="5"/>
        <v>93000</v>
      </c>
      <c r="E93" s="2">
        <f>IF(A93="","",MAX(0,(C93-MIN(D93,C93))*'Mortgage Inputs'!$B$15))</f>
        <v>2403.8995556014092</v>
      </c>
      <c r="F93" s="2">
        <f>IF(A93="","",IF(AND('Offset Inputs'!$B$5&gt;='Mortgage Inputs'!$B$5,'Mortgage Inputs'!$B$5&gt;0),C93,MIN(C93,MAX(0,'Mortgage Inputs'!$B$17-E93))))</f>
        <v>1657.6338122059442</v>
      </c>
      <c r="G93" s="2">
        <f t="shared" si="3"/>
        <v>542778.90245096944</v>
      </c>
      <c r="H93" s="2">
        <f>IF(A93="","",IF(AND('Offset Inputs'!$B$5&gt;='Mortgage Inputs'!$B$5,'Mortgage Inputs'!$B$5&gt;0),'Offset Inputs'!$B$5-'Mortgage Inputs'!$B$5,D93+'Offset Inputs'!$B$6))</f>
        <v>93500</v>
      </c>
    </row>
    <row r="94" spans="1:8" ht="22" customHeight="1">
      <c r="A94" s="1">
        <f>IF(AND('Mortgage Inputs'!$B$12,88&lt;=IF('Mortgage Inputs'!$B$12,'Mortgage Inputs'!$B$7,0)*12+600,ISNUMBER(G93),G93&gt;0.005),88,"")</f>
        <v>88</v>
      </c>
      <c r="B94" s="4">
        <f>IF(A94="","",DATE(YEAR('Mortgage Inputs'!$B$8),MONTH('Mortgage Inputs'!$B$8)+A94,DAY('Mortgage Inputs'!$B$8)))</f>
        <v>49004</v>
      </c>
      <c r="C94" s="2">
        <f t="shared" si="4"/>
        <v>542778.90245096944</v>
      </c>
      <c r="D94" s="2">
        <f t="shared" si="5"/>
        <v>93500</v>
      </c>
      <c r="E94" s="2">
        <f>IF(A94="","",MAX(0,(C94-MIN(D94,C94))*'Mortgage Inputs'!$B$15))</f>
        <v>2392.4101555514121</v>
      </c>
      <c r="F94" s="2">
        <f>IF(A94="","",IF(AND('Offset Inputs'!$B$5&gt;='Mortgage Inputs'!$B$5,'Mortgage Inputs'!$B$5&gt;0),C94,MIN(C94,MAX(0,'Mortgage Inputs'!$B$17-E94))))</f>
        <v>1669.1232122559413</v>
      </c>
      <c r="G94" s="2">
        <f t="shared" si="3"/>
        <v>541109.77923871356</v>
      </c>
      <c r="H94" s="2">
        <f>IF(A94="","",IF(AND('Offset Inputs'!$B$5&gt;='Mortgage Inputs'!$B$5,'Mortgage Inputs'!$B$5&gt;0),'Offset Inputs'!$B$5-'Mortgage Inputs'!$B$5,D94+'Offset Inputs'!$B$6))</f>
        <v>94000</v>
      </c>
    </row>
    <row r="95" spans="1:8" ht="22" customHeight="1">
      <c r="A95" s="1">
        <f>IF(AND('Mortgage Inputs'!$B$12,89&lt;=IF('Mortgage Inputs'!$B$12,'Mortgage Inputs'!$B$7,0)*12+600,ISNUMBER(G94),G94&gt;0.005),89,"")</f>
        <v>89</v>
      </c>
      <c r="B95" s="4">
        <f>IF(A95="","",DATE(YEAR('Mortgage Inputs'!$B$8),MONTH('Mortgage Inputs'!$B$8)+A95,DAY('Mortgage Inputs'!$B$8)))</f>
        <v>49035</v>
      </c>
      <c r="C95" s="2">
        <f t="shared" si="4"/>
        <v>541109.77923871356</v>
      </c>
      <c r="D95" s="2">
        <f t="shared" si="5"/>
        <v>94000</v>
      </c>
      <c r="E95" s="2">
        <f>IF(A95="","",MAX(0,(C95-MIN(D95,C95))*'Mortgage Inputs'!$B$15))</f>
        <v>2380.8595744461495</v>
      </c>
      <c r="F95" s="2">
        <f>IF(A95="","",IF(AND('Offset Inputs'!$B$5&gt;='Mortgage Inputs'!$B$5,'Mortgage Inputs'!$B$5&gt;0),C95,MIN(C95,MAX(0,'Mortgage Inputs'!$B$17-E95))))</f>
        <v>1680.6737933612039</v>
      </c>
      <c r="G95" s="2">
        <f t="shared" si="3"/>
        <v>539429.10544535238</v>
      </c>
      <c r="H95" s="2">
        <f>IF(A95="","",IF(AND('Offset Inputs'!$B$5&gt;='Mortgage Inputs'!$B$5,'Mortgage Inputs'!$B$5&gt;0),'Offset Inputs'!$B$5-'Mortgage Inputs'!$B$5,D95+'Offset Inputs'!$B$6))</f>
        <v>94500</v>
      </c>
    </row>
    <row r="96" spans="1:8" ht="22" customHeight="1">
      <c r="A96" s="1">
        <f>IF(AND('Mortgage Inputs'!$B$12,90&lt;=IF('Mortgage Inputs'!$B$12,'Mortgage Inputs'!$B$7,0)*12+600,ISNUMBER(G95),G95&gt;0.005),90,"")</f>
        <v>90</v>
      </c>
      <c r="B96" s="4">
        <f>IF(A96="","",DATE(YEAR('Mortgage Inputs'!$B$8),MONTH('Mortgage Inputs'!$B$8)+A96,DAY('Mortgage Inputs'!$B$8)))</f>
        <v>49065</v>
      </c>
      <c r="C96" s="2">
        <f t="shared" si="4"/>
        <v>539429.10544535238</v>
      </c>
      <c r="D96" s="2">
        <f t="shared" si="5"/>
        <v>94500</v>
      </c>
      <c r="E96" s="2">
        <f>IF(A96="","",MAX(0,(C96-MIN(D96,C96))*'Mortgage Inputs'!$B$15))</f>
        <v>2369.2474864965016</v>
      </c>
      <c r="F96" s="2">
        <f>IF(A96="","",IF(AND('Offset Inputs'!$B$5&gt;='Mortgage Inputs'!$B$5,'Mortgage Inputs'!$B$5&gt;0),C96,MIN(C96,MAX(0,'Mortgage Inputs'!$B$17-E96))))</f>
        <v>1692.2858813108519</v>
      </c>
      <c r="G96" s="2">
        <f t="shared" si="3"/>
        <v>537736.81956404157</v>
      </c>
      <c r="H96" s="2">
        <f>IF(A96="","",IF(AND('Offset Inputs'!$B$5&gt;='Mortgage Inputs'!$B$5,'Mortgage Inputs'!$B$5&gt;0),'Offset Inputs'!$B$5-'Mortgage Inputs'!$B$5,D96+'Offset Inputs'!$B$6))</f>
        <v>95000</v>
      </c>
    </row>
    <row r="97" spans="1:8" ht="22" customHeight="1">
      <c r="A97" s="1">
        <f>IF(AND('Mortgage Inputs'!$B$12,91&lt;=IF('Mortgage Inputs'!$B$12,'Mortgage Inputs'!$B$7,0)*12+600,ISNUMBER(G96),G96&gt;0.005),91,"")</f>
        <v>91</v>
      </c>
      <c r="B97" s="4">
        <f>IF(A97="","",DATE(YEAR('Mortgage Inputs'!$B$8),MONTH('Mortgage Inputs'!$B$8)+A97,DAY('Mortgage Inputs'!$B$8)))</f>
        <v>49096</v>
      </c>
      <c r="C97" s="2">
        <f t="shared" si="4"/>
        <v>537736.81956404157</v>
      </c>
      <c r="D97" s="2">
        <f t="shared" si="5"/>
        <v>95000</v>
      </c>
      <c r="E97" s="2">
        <f>IF(A97="","",MAX(0,(C97-MIN(D97,C97))*'Mortgage Inputs'!$B$15))</f>
        <v>2357.5735641785213</v>
      </c>
      <c r="F97" s="2">
        <f>IF(A97="","",IF(AND('Offset Inputs'!$B$5&gt;='Mortgage Inputs'!$B$5,'Mortgage Inputs'!$B$5&gt;0),C97,MIN(C97,MAX(0,'Mortgage Inputs'!$B$17-E97))))</f>
        <v>1703.9598036288321</v>
      </c>
      <c r="G97" s="2">
        <f t="shared" si="3"/>
        <v>536032.85976041271</v>
      </c>
      <c r="H97" s="2">
        <f>IF(A97="","",IF(AND('Offset Inputs'!$B$5&gt;='Mortgage Inputs'!$B$5,'Mortgage Inputs'!$B$5&gt;0),'Offset Inputs'!$B$5-'Mortgage Inputs'!$B$5,D97+'Offset Inputs'!$B$6))</f>
        <v>95500</v>
      </c>
    </row>
    <row r="98" spans="1:8" ht="22" customHeight="1">
      <c r="A98" s="1">
        <f>IF(AND('Mortgage Inputs'!$B$12,92&lt;=IF('Mortgage Inputs'!$B$12,'Mortgage Inputs'!$B$7,0)*12+600,ISNUMBER(G97),G97&gt;0.005),92,"")</f>
        <v>92</v>
      </c>
      <c r="B98" s="4">
        <f>IF(A98="","",DATE(YEAR('Mortgage Inputs'!$B$8),MONTH('Mortgage Inputs'!$B$8)+A98,DAY('Mortgage Inputs'!$B$8)))</f>
        <v>49126</v>
      </c>
      <c r="C98" s="2">
        <f t="shared" si="4"/>
        <v>536032.85976041271</v>
      </c>
      <c r="D98" s="2">
        <f t="shared" si="5"/>
        <v>95500</v>
      </c>
      <c r="E98" s="2">
        <f>IF(A98="","",MAX(0,(C98-MIN(D98,C98))*'Mortgage Inputs'!$B$15))</f>
        <v>2345.8374782241976</v>
      </c>
      <c r="F98" s="2">
        <f>IF(A98="","",IF(AND('Offset Inputs'!$B$5&gt;='Mortgage Inputs'!$B$5,'Mortgage Inputs'!$B$5&gt;0),C98,MIN(C98,MAX(0,'Mortgage Inputs'!$B$17-E98))))</f>
        <v>1715.6958895831558</v>
      </c>
      <c r="G98" s="2">
        <f t="shared" si="3"/>
        <v>534317.16387082951</v>
      </c>
      <c r="H98" s="2">
        <f>IF(A98="","",IF(AND('Offset Inputs'!$B$5&gt;='Mortgage Inputs'!$B$5,'Mortgage Inputs'!$B$5&gt;0),'Offset Inputs'!$B$5-'Mortgage Inputs'!$B$5,D98+'Offset Inputs'!$B$6))</f>
        <v>96000</v>
      </c>
    </row>
    <row r="99" spans="1:8" ht="22" customHeight="1">
      <c r="A99" s="1">
        <f>IF(AND('Mortgage Inputs'!$B$12,93&lt;=IF('Mortgage Inputs'!$B$12,'Mortgage Inputs'!$B$7,0)*12+600,ISNUMBER(G98),G98&gt;0.005),93,"")</f>
        <v>93</v>
      </c>
      <c r="B99" s="4">
        <f>IF(A99="","",DATE(YEAR('Mortgage Inputs'!$B$8),MONTH('Mortgage Inputs'!$B$8)+A99,DAY('Mortgage Inputs'!$B$8)))</f>
        <v>49157</v>
      </c>
      <c r="C99" s="2">
        <f t="shared" si="4"/>
        <v>534317.16387082951</v>
      </c>
      <c r="D99" s="2">
        <f t="shared" si="5"/>
        <v>96000</v>
      </c>
      <c r="E99" s="2">
        <f>IF(A99="","",MAX(0,(C99-MIN(D99,C99))*'Mortgage Inputs'!$B$15))</f>
        <v>2334.0388976121671</v>
      </c>
      <c r="F99" s="2">
        <f>IF(A99="","",IF(AND('Offset Inputs'!$B$5&gt;='Mortgage Inputs'!$B$5,'Mortgage Inputs'!$B$5&gt;0),C99,MIN(C99,MAX(0,'Mortgage Inputs'!$B$17-E99))))</f>
        <v>1727.4944701951863</v>
      </c>
      <c r="G99" s="2">
        <f t="shared" si="3"/>
        <v>532589.66940063436</v>
      </c>
      <c r="H99" s="2">
        <f>IF(A99="","",IF(AND('Offset Inputs'!$B$5&gt;='Mortgage Inputs'!$B$5,'Mortgage Inputs'!$B$5&gt;0),'Offset Inputs'!$B$5-'Mortgage Inputs'!$B$5,D99+'Offset Inputs'!$B$6))</f>
        <v>96500</v>
      </c>
    </row>
    <row r="100" spans="1:8" ht="22" customHeight="1">
      <c r="A100" s="1">
        <f>IF(AND('Mortgage Inputs'!$B$12,94&lt;=IF('Mortgage Inputs'!$B$12,'Mortgage Inputs'!$B$7,0)*12+600,ISNUMBER(G99),G99&gt;0.005),94,"")</f>
        <v>94</v>
      </c>
      <c r="B100" s="4">
        <f>IF(A100="","",DATE(YEAR('Mortgage Inputs'!$B$8),MONTH('Mortgage Inputs'!$B$8)+A100,DAY('Mortgage Inputs'!$B$8)))</f>
        <v>49188</v>
      </c>
      <c r="C100" s="2">
        <f t="shared" si="4"/>
        <v>532589.66940063436</v>
      </c>
      <c r="D100" s="2">
        <f t="shared" si="5"/>
        <v>96500</v>
      </c>
      <c r="E100" s="2">
        <f>IF(A100="","",MAX(0,(C100-MIN(D100,C100))*'Mortgage Inputs'!$B$15))</f>
        <v>2322.1774895583781</v>
      </c>
      <c r="F100" s="2">
        <f>IF(A100="","",IF(AND('Offset Inputs'!$B$5&gt;='Mortgage Inputs'!$B$5,'Mortgage Inputs'!$B$5&gt;0),C100,MIN(C100,MAX(0,'Mortgage Inputs'!$B$17-E100))))</f>
        <v>1739.3558782489754</v>
      </c>
      <c r="G100" s="2">
        <f t="shared" si="3"/>
        <v>530850.31352238543</v>
      </c>
      <c r="H100" s="2">
        <f>IF(A100="","",IF(AND('Offset Inputs'!$B$5&gt;='Mortgage Inputs'!$B$5,'Mortgage Inputs'!$B$5&gt;0),'Offset Inputs'!$B$5-'Mortgage Inputs'!$B$5,D100+'Offset Inputs'!$B$6))</f>
        <v>97000</v>
      </c>
    </row>
    <row r="101" spans="1:8" ht="22" customHeight="1">
      <c r="A101" s="1">
        <f>IF(AND('Mortgage Inputs'!$B$12,95&lt;=IF('Mortgage Inputs'!$B$12,'Mortgage Inputs'!$B$7,0)*12+600,ISNUMBER(G100),G100&gt;0.005),95,"")</f>
        <v>95</v>
      </c>
      <c r="B101" s="4">
        <f>IF(A101="","",DATE(YEAR('Mortgage Inputs'!$B$8),MONTH('Mortgage Inputs'!$B$8)+A101,DAY('Mortgage Inputs'!$B$8)))</f>
        <v>49218</v>
      </c>
      <c r="C101" s="2">
        <f t="shared" si="4"/>
        <v>530850.31352238543</v>
      </c>
      <c r="D101" s="2">
        <f t="shared" si="5"/>
        <v>97000</v>
      </c>
      <c r="E101" s="2">
        <f>IF(A101="","",MAX(0,(C101-MIN(D101,C101))*'Mortgage Inputs'!$B$15))</f>
        <v>2310.2529195067023</v>
      </c>
      <c r="F101" s="2">
        <f>IF(A101="","",IF(AND('Offset Inputs'!$B$5&gt;='Mortgage Inputs'!$B$5,'Mortgage Inputs'!$B$5&gt;0),C101,MIN(C101,MAX(0,'Mortgage Inputs'!$B$17-E101))))</f>
        <v>1751.2804483006512</v>
      </c>
      <c r="G101" s="2">
        <f t="shared" si="3"/>
        <v>529099.03307408479</v>
      </c>
      <c r="H101" s="2">
        <f>IF(A101="","",IF(AND('Offset Inputs'!$B$5&gt;='Mortgage Inputs'!$B$5,'Mortgage Inputs'!$B$5&gt;0),'Offset Inputs'!$B$5-'Mortgage Inputs'!$B$5,D101+'Offset Inputs'!$B$6))</f>
        <v>97500</v>
      </c>
    </row>
    <row r="102" spans="1:8" ht="22" customHeight="1">
      <c r="A102" s="1">
        <f>IF(AND('Mortgage Inputs'!$B$12,96&lt;=IF('Mortgage Inputs'!$B$12,'Mortgage Inputs'!$B$7,0)*12+600,ISNUMBER(G101),G101&gt;0.005),96,"")</f>
        <v>96</v>
      </c>
      <c r="B102" s="4">
        <f>IF(A102="","",DATE(YEAR('Mortgage Inputs'!$B$8),MONTH('Mortgage Inputs'!$B$8)+A102,DAY('Mortgage Inputs'!$B$8)))</f>
        <v>49249</v>
      </c>
      <c r="C102" s="2">
        <f t="shared" si="4"/>
        <v>529099.03307408479</v>
      </c>
      <c r="D102" s="2">
        <f t="shared" si="5"/>
        <v>97500</v>
      </c>
      <c r="E102" s="2">
        <f>IF(A102="","",MAX(0,(C102-MIN(D102,C102))*'Mortgage Inputs'!$B$15))</f>
        <v>2298.2648511195016</v>
      </c>
      <c r="F102" s="2">
        <f>IF(A102="","",IF(AND('Offset Inputs'!$B$5&gt;='Mortgage Inputs'!$B$5,'Mortgage Inputs'!$B$5&gt;0),C102,MIN(C102,MAX(0,'Mortgage Inputs'!$B$17-E102))))</f>
        <v>1763.2685166878518</v>
      </c>
      <c r="G102" s="2">
        <f t="shared" si="3"/>
        <v>527335.76455739688</v>
      </c>
      <c r="H102" s="2">
        <f>IF(A102="","",IF(AND('Offset Inputs'!$B$5&gt;='Mortgage Inputs'!$B$5,'Mortgage Inputs'!$B$5&gt;0),'Offset Inputs'!$B$5-'Mortgage Inputs'!$B$5,D102+'Offset Inputs'!$B$6))</f>
        <v>98000</v>
      </c>
    </row>
    <row r="103" spans="1:8" ht="22" customHeight="1">
      <c r="A103" s="1">
        <f>IF(AND('Mortgage Inputs'!$B$12,97&lt;=IF('Mortgage Inputs'!$B$12,'Mortgage Inputs'!$B$7,0)*12+600,ISNUMBER(G102),G102&gt;0.005),97,"")</f>
        <v>97</v>
      </c>
      <c r="B103" s="4">
        <f>IF(A103="","",DATE(YEAR('Mortgage Inputs'!$B$8),MONTH('Mortgage Inputs'!$B$8)+A103,DAY('Mortgage Inputs'!$B$8)))</f>
        <v>49279</v>
      </c>
      <c r="C103" s="2">
        <f t="shared" si="4"/>
        <v>527335.76455739688</v>
      </c>
      <c r="D103" s="2">
        <f t="shared" si="5"/>
        <v>98000</v>
      </c>
      <c r="E103" s="2">
        <f>IF(A103="","",MAX(0,(C103-MIN(D103,C103))*'Mortgage Inputs'!$B$15))</f>
        <v>2286.2129462681382</v>
      </c>
      <c r="F103" s="2">
        <f>IF(A103="","",IF(AND('Offset Inputs'!$B$5&gt;='Mortgage Inputs'!$B$5,'Mortgage Inputs'!$B$5&gt;0),C103,MIN(C103,MAX(0,'Mortgage Inputs'!$B$17-E103))))</f>
        <v>1775.3204215392152</v>
      </c>
      <c r="G103" s="2">
        <f t="shared" si="3"/>
        <v>525560.44413585763</v>
      </c>
      <c r="H103" s="2">
        <f>IF(A103="","",IF(AND('Offset Inputs'!$B$5&gt;='Mortgage Inputs'!$B$5,'Mortgage Inputs'!$B$5&gt;0),'Offset Inputs'!$B$5-'Mortgage Inputs'!$B$5,D103+'Offset Inputs'!$B$6))</f>
        <v>98500</v>
      </c>
    </row>
    <row r="104" spans="1:8" ht="22" customHeight="1">
      <c r="A104" s="1">
        <f>IF(AND('Mortgage Inputs'!$B$12,98&lt;=IF('Mortgage Inputs'!$B$12,'Mortgage Inputs'!$B$7,0)*12+600,ISNUMBER(G103),G103&gt;0.005),98,"")</f>
        <v>98</v>
      </c>
      <c r="B104" s="4">
        <f>IF(A104="","",DATE(YEAR('Mortgage Inputs'!$B$8),MONTH('Mortgage Inputs'!$B$8)+A104,DAY('Mortgage Inputs'!$B$8)))</f>
        <v>49310</v>
      </c>
      <c r="C104" s="2">
        <f t="shared" si="4"/>
        <v>525560.44413585763</v>
      </c>
      <c r="D104" s="2">
        <f t="shared" si="5"/>
        <v>98500</v>
      </c>
      <c r="E104" s="2">
        <f>IF(A104="","",MAX(0,(C104-MIN(D104,C104))*'Mortgage Inputs'!$B$15))</f>
        <v>2274.0968650234418</v>
      </c>
      <c r="F104" s="2">
        <f>IF(A104="","",IF(AND('Offset Inputs'!$B$5&gt;='Mortgage Inputs'!$B$5,'Mortgage Inputs'!$B$5&gt;0),C104,MIN(C104,MAX(0,'Mortgage Inputs'!$B$17-E104))))</f>
        <v>1787.4365027839117</v>
      </c>
      <c r="G104" s="2">
        <f t="shared" si="3"/>
        <v>523773.00763307372</v>
      </c>
      <c r="H104" s="2">
        <f>IF(A104="","",IF(AND('Offset Inputs'!$B$5&gt;='Mortgage Inputs'!$B$5,'Mortgage Inputs'!$B$5&gt;0),'Offset Inputs'!$B$5-'Mortgage Inputs'!$B$5,D104+'Offset Inputs'!$B$6))</f>
        <v>99000</v>
      </c>
    </row>
    <row r="105" spans="1:8" ht="22" customHeight="1">
      <c r="A105" s="1">
        <f>IF(AND('Mortgage Inputs'!$B$12,99&lt;=IF('Mortgage Inputs'!$B$12,'Mortgage Inputs'!$B$7,0)*12+600,ISNUMBER(G104),G104&gt;0.005),99,"")</f>
        <v>99</v>
      </c>
      <c r="B105" s="4">
        <f>IF(A105="","",DATE(YEAR('Mortgage Inputs'!$B$8),MONTH('Mortgage Inputs'!$B$8)+A105,DAY('Mortgage Inputs'!$B$8)))</f>
        <v>49341</v>
      </c>
      <c r="C105" s="2">
        <f t="shared" si="4"/>
        <v>523773.00763307372</v>
      </c>
      <c r="D105" s="2">
        <f t="shared" si="5"/>
        <v>99000</v>
      </c>
      <c r="E105" s="2">
        <f>IF(A105="","",MAX(0,(C105-MIN(D105,C105))*'Mortgage Inputs'!$B$15))</f>
        <v>2261.9162656461176</v>
      </c>
      <c r="F105" s="2">
        <f>IF(A105="","",IF(AND('Offset Inputs'!$B$5&gt;='Mortgage Inputs'!$B$5,'Mortgage Inputs'!$B$5&gt;0),C105,MIN(C105,MAX(0,'Mortgage Inputs'!$B$17-E105))))</f>
        <v>1799.6171021612358</v>
      </c>
      <c r="G105" s="2">
        <f t="shared" si="3"/>
        <v>521973.3905309125</v>
      </c>
      <c r="H105" s="2">
        <f>IF(A105="","",IF(AND('Offset Inputs'!$B$5&gt;='Mortgage Inputs'!$B$5,'Mortgage Inputs'!$B$5&gt;0),'Offset Inputs'!$B$5-'Mortgage Inputs'!$B$5,D105+'Offset Inputs'!$B$6))</f>
        <v>99500</v>
      </c>
    </row>
    <row r="106" spans="1:8" ht="22" customHeight="1">
      <c r="A106" s="1">
        <f>IF(AND('Mortgage Inputs'!$B$12,100&lt;=IF('Mortgage Inputs'!$B$12,'Mortgage Inputs'!$B$7,0)*12+600,ISNUMBER(G105),G105&gt;0.005),100,"")</f>
        <v>100</v>
      </c>
      <c r="B106" s="4">
        <f>IF(A106="","",DATE(YEAR('Mortgage Inputs'!$B$8),MONTH('Mortgage Inputs'!$B$8)+A106,DAY('Mortgage Inputs'!$B$8)))</f>
        <v>49369</v>
      </c>
      <c r="C106" s="2">
        <f t="shared" si="4"/>
        <v>521973.3905309125</v>
      </c>
      <c r="D106" s="2">
        <f t="shared" si="5"/>
        <v>99500</v>
      </c>
      <c r="E106" s="2">
        <f>IF(A106="","",MAX(0,(C106-MIN(D106,C106))*'Mortgage Inputs'!$B$15))</f>
        <v>2249.6708045771088</v>
      </c>
      <c r="F106" s="2">
        <f>IF(A106="","",IF(AND('Offset Inputs'!$B$5&gt;='Mortgage Inputs'!$B$5,'Mortgage Inputs'!$B$5&gt;0),C106,MIN(C106,MAX(0,'Mortgage Inputs'!$B$17-E106))))</f>
        <v>1811.8625632302446</v>
      </c>
      <c r="G106" s="2">
        <f t="shared" si="3"/>
        <v>520161.52796768222</v>
      </c>
      <c r="H106" s="2">
        <f>IF(A106="","",IF(AND('Offset Inputs'!$B$5&gt;='Mortgage Inputs'!$B$5,'Mortgage Inputs'!$B$5&gt;0),'Offset Inputs'!$B$5-'Mortgage Inputs'!$B$5,D106+'Offset Inputs'!$B$6))</f>
        <v>100000</v>
      </c>
    </row>
    <row r="107" spans="1:8" ht="22" customHeight="1">
      <c r="A107" s="1">
        <f>IF(AND('Mortgage Inputs'!$B$12,101&lt;=IF('Mortgage Inputs'!$B$12,'Mortgage Inputs'!$B$7,0)*12+600,ISNUMBER(G106),G106&gt;0.005),101,"")</f>
        <v>101</v>
      </c>
      <c r="B107" s="4">
        <f>IF(A107="","",DATE(YEAR('Mortgage Inputs'!$B$8),MONTH('Mortgage Inputs'!$B$8)+A107,DAY('Mortgage Inputs'!$B$8)))</f>
        <v>49400</v>
      </c>
      <c r="C107" s="2">
        <f t="shared" si="4"/>
        <v>520161.52796768222</v>
      </c>
      <c r="D107" s="2">
        <f t="shared" si="5"/>
        <v>100000</v>
      </c>
      <c r="E107" s="2">
        <f>IF(A107="","",MAX(0,(C107-MIN(D107,C107))*'Mortgage Inputs'!$B$15))</f>
        <v>2237.3601364279079</v>
      </c>
      <c r="F107" s="2">
        <f>IF(A107="","",IF(AND('Offset Inputs'!$B$5&gt;='Mortgage Inputs'!$B$5,'Mortgage Inputs'!$B$5&gt;0),C107,MIN(C107,MAX(0,'Mortgage Inputs'!$B$17-E107))))</f>
        <v>1824.1732313794455</v>
      </c>
      <c r="G107" s="2">
        <f t="shared" si="3"/>
        <v>518337.3547363028</v>
      </c>
      <c r="H107" s="2">
        <f>IF(A107="","",IF(AND('Offset Inputs'!$B$5&gt;='Mortgage Inputs'!$B$5,'Mortgage Inputs'!$B$5&gt;0),'Offset Inputs'!$B$5-'Mortgage Inputs'!$B$5,D107+'Offset Inputs'!$B$6))</f>
        <v>100500</v>
      </c>
    </row>
    <row r="108" spans="1:8" ht="22" customHeight="1">
      <c r="A108" s="1">
        <f>IF(AND('Mortgage Inputs'!$B$12,102&lt;=IF('Mortgage Inputs'!$B$12,'Mortgage Inputs'!$B$7,0)*12+600,ISNUMBER(G107),G107&gt;0.005),102,"")</f>
        <v>102</v>
      </c>
      <c r="B108" s="4">
        <f>IF(A108="","",DATE(YEAR('Mortgage Inputs'!$B$8),MONTH('Mortgage Inputs'!$B$8)+A108,DAY('Mortgage Inputs'!$B$8)))</f>
        <v>49430</v>
      </c>
      <c r="C108" s="2">
        <f t="shared" si="4"/>
        <v>518337.3547363028</v>
      </c>
      <c r="D108" s="2">
        <f t="shared" si="5"/>
        <v>100500</v>
      </c>
      <c r="E108" s="2">
        <f>IF(A108="","",MAX(0,(C108-MIN(D108,C108))*'Mortgage Inputs'!$B$15))</f>
        <v>2224.9839139708124</v>
      </c>
      <c r="F108" s="2">
        <f>IF(A108="","",IF(AND('Offset Inputs'!$B$5&gt;='Mortgage Inputs'!$B$5,'Mortgage Inputs'!$B$5&gt;0),C108,MIN(C108,MAX(0,'Mortgage Inputs'!$B$17-E108))))</f>
        <v>1836.549453836541</v>
      </c>
      <c r="G108" s="2">
        <f t="shared" si="3"/>
        <v>516500.80528246629</v>
      </c>
      <c r="H108" s="2">
        <f>IF(A108="","",IF(AND('Offset Inputs'!$B$5&gt;='Mortgage Inputs'!$B$5,'Mortgage Inputs'!$B$5&gt;0),'Offset Inputs'!$B$5-'Mortgage Inputs'!$B$5,D108+'Offset Inputs'!$B$6))</f>
        <v>101000</v>
      </c>
    </row>
    <row r="109" spans="1:8" ht="22" customHeight="1">
      <c r="A109" s="1">
        <f>IF(AND('Mortgage Inputs'!$B$12,103&lt;=IF('Mortgage Inputs'!$B$12,'Mortgage Inputs'!$B$7,0)*12+600,ISNUMBER(G108),G108&gt;0.005),103,"")</f>
        <v>103</v>
      </c>
      <c r="B109" s="4">
        <f>IF(A109="","",DATE(YEAR('Mortgage Inputs'!$B$8),MONTH('Mortgage Inputs'!$B$8)+A109,DAY('Mortgage Inputs'!$B$8)))</f>
        <v>49461</v>
      </c>
      <c r="C109" s="2">
        <f t="shared" si="4"/>
        <v>516500.80528246629</v>
      </c>
      <c r="D109" s="2">
        <f t="shared" si="5"/>
        <v>101000</v>
      </c>
      <c r="E109" s="2">
        <f>IF(A109="","",MAX(0,(C109-MIN(D109,C109))*'Mortgage Inputs'!$B$15))</f>
        <v>2212.5417881291328</v>
      </c>
      <c r="F109" s="2">
        <f>IF(A109="","",IF(AND('Offset Inputs'!$B$5&gt;='Mortgage Inputs'!$B$5,'Mortgage Inputs'!$B$5&gt;0),C109,MIN(C109,MAX(0,'Mortgage Inputs'!$B$17-E109))))</f>
        <v>1848.9915796782207</v>
      </c>
      <c r="G109" s="2">
        <f t="shared" si="3"/>
        <v>514651.81370278809</v>
      </c>
      <c r="H109" s="2">
        <f>IF(A109="","",IF(AND('Offset Inputs'!$B$5&gt;='Mortgage Inputs'!$B$5,'Mortgage Inputs'!$B$5&gt;0),'Offset Inputs'!$B$5-'Mortgage Inputs'!$B$5,D109+'Offset Inputs'!$B$6))</f>
        <v>101500</v>
      </c>
    </row>
    <row r="110" spans="1:8" ht="22" customHeight="1">
      <c r="A110" s="1">
        <f>IF(AND('Mortgage Inputs'!$B$12,104&lt;=IF('Mortgage Inputs'!$B$12,'Mortgage Inputs'!$B$7,0)*12+600,ISNUMBER(G109),G109&gt;0.005),104,"")</f>
        <v>104</v>
      </c>
      <c r="B110" s="4">
        <f>IF(A110="","",DATE(YEAR('Mortgage Inputs'!$B$8),MONTH('Mortgage Inputs'!$B$8)+A110,DAY('Mortgage Inputs'!$B$8)))</f>
        <v>49491</v>
      </c>
      <c r="C110" s="2">
        <f t="shared" si="4"/>
        <v>514651.81370278809</v>
      </c>
      <c r="D110" s="2">
        <f t="shared" si="5"/>
        <v>101500</v>
      </c>
      <c r="E110" s="2">
        <f>IF(A110="","",MAX(0,(C110-MIN(D110,C110))*'Mortgage Inputs'!$B$15))</f>
        <v>2200.0334079673466</v>
      </c>
      <c r="F110" s="2">
        <f>IF(A110="","",IF(AND('Offset Inputs'!$B$5&gt;='Mortgage Inputs'!$B$5,'Mortgage Inputs'!$B$5&gt;0),C110,MIN(C110,MAX(0,'Mortgage Inputs'!$B$17-E110))))</f>
        <v>1861.4999598400068</v>
      </c>
      <c r="G110" s="2">
        <f t="shared" si="3"/>
        <v>512790.31374294806</v>
      </c>
      <c r="H110" s="2">
        <f>IF(A110="","",IF(AND('Offset Inputs'!$B$5&gt;='Mortgage Inputs'!$B$5,'Mortgage Inputs'!$B$5&gt;0),'Offset Inputs'!$B$5-'Mortgage Inputs'!$B$5,D110+'Offset Inputs'!$B$6))</f>
        <v>102000</v>
      </c>
    </row>
    <row r="111" spans="1:8" ht="22" customHeight="1">
      <c r="A111" s="1">
        <f>IF(AND('Mortgage Inputs'!$B$12,105&lt;=IF('Mortgage Inputs'!$B$12,'Mortgage Inputs'!$B$7,0)*12+600,ISNUMBER(G110),G110&gt;0.005),105,"")</f>
        <v>105</v>
      </c>
      <c r="B111" s="4">
        <f>IF(A111="","",DATE(YEAR('Mortgage Inputs'!$B$8),MONTH('Mortgage Inputs'!$B$8)+A111,DAY('Mortgage Inputs'!$B$8)))</f>
        <v>49522</v>
      </c>
      <c r="C111" s="2">
        <f t="shared" si="4"/>
        <v>512790.31374294806</v>
      </c>
      <c r="D111" s="2">
        <f t="shared" si="5"/>
        <v>102000</v>
      </c>
      <c r="E111" s="2">
        <f>IF(A111="","",MAX(0,(C111-MIN(D111,C111))*'Mortgage Inputs'!$B$15))</f>
        <v>2187.4584206811983</v>
      </c>
      <c r="F111" s="2">
        <f>IF(A111="","",IF(AND('Offset Inputs'!$B$5&gt;='Mortgage Inputs'!$B$5,'Mortgage Inputs'!$B$5&gt;0),C111,MIN(C111,MAX(0,'Mortgage Inputs'!$B$17-E111))))</f>
        <v>1874.0749471261552</v>
      </c>
      <c r="G111" s="2">
        <f t="shared" si="3"/>
        <v>510916.2387958219</v>
      </c>
      <c r="H111" s="2">
        <f>IF(A111="","",IF(AND('Offset Inputs'!$B$5&gt;='Mortgage Inputs'!$B$5,'Mortgage Inputs'!$B$5&gt;0),'Offset Inputs'!$B$5-'Mortgage Inputs'!$B$5,D111+'Offset Inputs'!$B$6))</f>
        <v>102500</v>
      </c>
    </row>
    <row r="112" spans="1:8" ht="22" customHeight="1">
      <c r="A112" s="1">
        <f>IF(AND('Mortgage Inputs'!$B$12,106&lt;=IF('Mortgage Inputs'!$B$12,'Mortgage Inputs'!$B$7,0)*12+600,ISNUMBER(G111),G111&gt;0.005),106,"")</f>
        <v>106</v>
      </c>
      <c r="B112" s="4">
        <f>IF(A112="","",DATE(YEAR('Mortgage Inputs'!$B$8),MONTH('Mortgage Inputs'!$B$8)+A112,DAY('Mortgage Inputs'!$B$8)))</f>
        <v>49553</v>
      </c>
      <c r="C112" s="2">
        <f t="shared" si="4"/>
        <v>510916.2387958219</v>
      </c>
      <c r="D112" s="2">
        <f t="shared" si="5"/>
        <v>102500</v>
      </c>
      <c r="E112" s="2">
        <f>IF(A112="","",MAX(0,(C112-MIN(D112,C112))*'Mortgage Inputs'!$B$15))</f>
        <v>2174.8164715877515</v>
      </c>
      <c r="F112" s="2">
        <f>IF(A112="","",IF(AND('Offset Inputs'!$B$5&gt;='Mortgage Inputs'!$B$5,'Mortgage Inputs'!$B$5&gt;0),C112,MIN(C112,MAX(0,'Mortgage Inputs'!$B$17-E112))))</f>
        <v>1886.7168962196019</v>
      </c>
      <c r="G112" s="2">
        <f t="shared" si="3"/>
        <v>509029.52189960232</v>
      </c>
      <c r="H112" s="2">
        <f>IF(A112="","",IF(AND('Offset Inputs'!$B$5&gt;='Mortgage Inputs'!$B$5,'Mortgage Inputs'!$B$5&gt;0),'Offset Inputs'!$B$5-'Mortgage Inputs'!$B$5,D112+'Offset Inputs'!$B$6))</f>
        <v>103000</v>
      </c>
    </row>
    <row r="113" spans="1:8" ht="22" customHeight="1">
      <c r="A113" s="1">
        <f>IF(AND('Mortgage Inputs'!$B$12,107&lt;=IF('Mortgage Inputs'!$B$12,'Mortgage Inputs'!$B$7,0)*12+600,ISNUMBER(G112),G112&gt;0.005),107,"")</f>
        <v>107</v>
      </c>
      <c r="B113" s="4">
        <f>IF(A113="","",DATE(YEAR('Mortgage Inputs'!$B$8),MONTH('Mortgage Inputs'!$B$8)+A113,DAY('Mortgage Inputs'!$B$8)))</f>
        <v>49583</v>
      </c>
      <c r="C113" s="2">
        <f t="shared" si="4"/>
        <v>509029.52189960232</v>
      </c>
      <c r="D113" s="2">
        <f t="shared" si="5"/>
        <v>103000</v>
      </c>
      <c r="E113" s="2">
        <f>IF(A113="","",MAX(0,(C113-MIN(D113,C113))*'Mortgage Inputs'!$B$15))</f>
        <v>2162.1072041153825</v>
      </c>
      <c r="F113" s="2">
        <f>IF(A113="","",IF(AND('Offset Inputs'!$B$5&gt;='Mortgage Inputs'!$B$5,'Mortgage Inputs'!$B$5&gt;0),C113,MIN(C113,MAX(0,'Mortgage Inputs'!$B$17-E113))))</f>
        <v>1899.4261636919709</v>
      </c>
      <c r="G113" s="2">
        <f t="shared" si="3"/>
        <v>507130.09573591035</v>
      </c>
      <c r="H113" s="2">
        <f>IF(A113="","",IF(AND('Offset Inputs'!$B$5&gt;='Mortgage Inputs'!$B$5,'Mortgage Inputs'!$B$5&gt;0),'Offset Inputs'!$B$5-'Mortgage Inputs'!$B$5,D113+'Offset Inputs'!$B$6))</f>
        <v>103500</v>
      </c>
    </row>
    <row r="114" spans="1:8" ht="22" customHeight="1">
      <c r="A114" s="1">
        <f>IF(AND('Mortgage Inputs'!$B$12,108&lt;=IF('Mortgage Inputs'!$B$12,'Mortgage Inputs'!$B$7,0)*12+600,ISNUMBER(G113),G113&gt;0.005),108,"")</f>
        <v>108</v>
      </c>
      <c r="B114" s="4">
        <f>IF(A114="","",DATE(YEAR('Mortgage Inputs'!$B$8),MONTH('Mortgage Inputs'!$B$8)+A114,DAY('Mortgage Inputs'!$B$8)))</f>
        <v>49614</v>
      </c>
      <c r="C114" s="2">
        <f t="shared" si="4"/>
        <v>507130.09573591035</v>
      </c>
      <c r="D114" s="2">
        <f t="shared" si="5"/>
        <v>103500</v>
      </c>
      <c r="E114" s="2">
        <f>IF(A114="","",MAX(0,(C114-MIN(D114,C114))*'Mortgage Inputs'!$B$15))</f>
        <v>2149.3302597937227</v>
      </c>
      <c r="F114" s="2">
        <f>IF(A114="","",IF(AND('Offset Inputs'!$B$5&gt;='Mortgage Inputs'!$B$5,'Mortgage Inputs'!$B$5&gt;0),C114,MIN(C114,MAX(0,'Mortgage Inputs'!$B$17-E114))))</f>
        <v>1912.2031080136308</v>
      </c>
      <c r="G114" s="2">
        <f t="shared" si="3"/>
        <v>505217.89262789674</v>
      </c>
      <c r="H114" s="2">
        <f>IF(A114="","",IF(AND('Offset Inputs'!$B$5&gt;='Mortgage Inputs'!$B$5,'Mortgage Inputs'!$B$5&gt;0),'Offset Inputs'!$B$5-'Mortgage Inputs'!$B$5,D114+'Offset Inputs'!$B$6))</f>
        <v>104000</v>
      </c>
    </row>
    <row r="115" spans="1:8" ht="22" customHeight="1">
      <c r="A115" s="1">
        <f>IF(AND('Mortgage Inputs'!$B$12,109&lt;=IF('Mortgage Inputs'!$B$12,'Mortgage Inputs'!$B$7,0)*12+600,ISNUMBER(G114),G114&gt;0.005),109,"")</f>
        <v>109</v>
      </c>
      <c r="B115" s="4">
        <f>IF(A115="","",DATE(YEAR('Mortgage Inputs'!$B$8),MONTH('Mortgage Inputs'!$B$8)+A115,DAY('Mortgage Inputs'!$B$8)))</f>
        <v>49644</v>
      </c>
      <c r="C115" s="2">
        <f t="shared" si="4"/>
        <v>505217.89262789674</v>
      </c>
      <c r="D115" s="2">
        <f t="shared" si="5"/>
        <v>104000</v>
      </c>
      <c r="E115" s="2">
        <f>IF(A115="","",MAX(0,(C115-MIN(D115,C115))*'Mortgage Inputs'!$B$15))</f>
        <v>2136.4852782435501</v>
      </c>
      <c r="F115" s="2">
        <f>IF(A115="","",IF(AND('Offset Inputs'!$B$5&gt;='Mortgage Inputs'!$B$5,'Mortgage Inputs'!$B$5&gt;0),C115,MIN(C115,MAX(0,'Mortgage Inputs'!$B$17-E115))))</f>
        <v>1925.0480895638034</v>
      </c>
      <c r="G115" s="2">
        <f t="shared" si="3"/>
        <v>503292.84453833295</v>
      </c>
      <c r="H115" s="2">
        <f>IF(A115="","",IF(AND('Offset Inputs'!$B$5&gt;='Mortgage Inputs'!$B$5,'Mortgage Inputs'!$B$5&gt;0),'Offset Inputs'!$B$5-'Mortgage Inputs'!$B$5,D115+'Offset Inputs'!$B$6))</f>
        <v>104500</v>
      </c>
    </row>
    <row r="116" spans="1:8" ht="22" customHeight="1">
      <c r="A116" s="1">
        <f>IF(AND('Mortgage Inputs'!$B$12,110&lt;=IF('Mortgage Inputs'!$B$12,'Mortgage Inputs'!$B$7,0)*12+600,ISNUMBER(G115),G115&gt;0.005),110,"")</f>
        <v>110</v>
      </c>
      <c r="B116" s="4">
        <f>IF(A116="","",DATE(YEAR('Mortgage Inputs'!$B$8),MONTH('Mortgage Inputs'!$B$8)+A116,DAY('Mortgage Inputs'!$B$8)))</f>
        <v>49675</v>
      </c>
      <c r="C116" s="2">
        <f t="shared" si="4"/>
        <v>503292.84453833295</v>
      </c>
      <c r="D116" s="2">
        <f t="shared" si="5"/>
        <v>104500</v>
      </c>
      <c r="E116" s="2">
        <f>IF(A116="","",MAX(0,(C116-MIN(D116,C116))*'Mortgage Inputs'!$B$15))</f>
        <v>2123.5718971666229</v>
      </c>
      <c r="F116" s="2">
        <f>IF(A116="","",IF(AND('Offset Inputs'!$B$5&gt;='Mortgage Inputs'!$B$5,'Mortgage Inputs'!$B$5&gt;0),C116,MIN(C116,MAX(0,'Mortgage Inputs'!$B$17-E116))))</f>
        <v>1937.9614706407306</v>
      </c>
      <c r="G116" s="2">
        <f t="shared" si="3"/>
        <v>501354.88306769222</v>
      </c>
      <c r="H116" s="2">
        <f>IF(A116="","",IF(AND('Offset Inputs'!$B$5&gt;='Mortgage Inputs'!$B$5,'Mortgage Inputs'!$B$5&gt;0),'Offset Inputs'!$B$5-'Mortgage Inputs'!$B$5,D116+'Offset Inputs'!$B$6))</f>
        <v>105000</v>
      </c>
    </row>
    <row r="117" spans="1:8" ht="22" customHeight="1">
      <c r="A117" s="1">
        <f>IF(AND('Mortgage Inputs'!$B$12,111&lt;=IF('Mortgage Inputs'!$B$12,'Mortgage Inputs'!$B$7,0)*12+600,ISNUMBER(G116),G116&gt;0.005),111,"")</f>
        <v>111</v>
      </c>
      <c r="B117" s="4">
        <f>IF(A117="","",DATE(YEAR('Mortgage Inputs'!$B$8),MONTH('Mortgage Inputs'!$B$8)+A117,DAY('Mortgage Inputs'!$B$8)))</f>
        <v>49706</v>
      </c>
      <c r="C117" s="2">
        <f t="shared" si="4"/>
        <v>501354.88306769222</v>
      </c>
      <c r="D117" s="2">
        <f t="shared" si="5"/>
        <v>105000</v>
      </c>
      <c r="E117" s="2">
        <f>IF(A117="","",MAX(0,(C117-MIN(D117,C117))*'Mortgage Inputs'!$B$15))</f>
        <v>2110.5897523354611</v>
      </c>
      <c r="F117" s="2">
        <f>IF(A117="","",IF(AND('Offset Inputs'!$B$5&gt;='Mortgage Inputs'!$B$5,'Mortgage Inputs'!$B$5&gt;0),C117,MIN(C117,MAX(0,'Mortgage Inputs'!$B$17-E117))))</f>
        <v>1950.9436154718924</v>
      </c>
      <c r="G117" s="2">
        <f t="shared" si="3"/>
        <v>499403.93945222034</v>
      </c>
      <c r="H117" s="2">
        <f>IF(A117="","",IF(AND('Offset Inputs'!$B$5&gt;='Mortgage Inputs'!$B$5,'Mortgage Inputs'!$B$5&gt;0),'Offset Inputs'!$B$5-'Mortgage Inputs'!$B$5,D117+'Offset Inputs'!$B$6))</f>
        <v>105500</v>
      </c>
    </row>
    <row r="118" spans="1:8" ht="22" customHeight="1">
      <c r="A118" s="1">
        <f>IF(AND('Mortgage Inputs'!$B$12,112&lt;=IF('Mortgage Inputs'!$B$12,'Mortgage Inputs'!$B$7,0)*12+600,ISNUMBER(G117),G117&gt;0.005),112,"")</f>
        <v>112</v>
      </c>
      <c r="B118" s="4">
        <f>IF(A118="","",DATE(YEAR('Mortgage Inputs'!$B$8),MONTH('Mortgage Inputs'!$B$8)+A118,DAY('Mortgage Inputs'!$B$8)))</f>
        <v>49735</v>
      </c>
      <c r="C118" s="2">
        <f t="shared" si="4"/>
        <v>499403.93945222034</v>
      </c>
      <c r="D118" s="2">
        <f t="shared" si="5"/>
        <v>105500</v>
      </c>
      <c r="E118" s="2">
        <f>IF(A118="","",MAX(0,(C118-MIN(D118,C118))*'Mortgage Inputs'!$B$15))</f>
        <v>2097.538477583073</v>
      </c>
      <c r="F118" s="2">
        <f>IF(A118="","",IF(AND('Offset Inputs'!$B$5&gt;='Mortgage Inputs'!$B$5,'Mortgage Inputs'!$B$5&gt;0),C118,MIN(C118,MAX(0,'Mortgage Inputs'!$B$17-E118))))</f>
        <v>1963.9948902242804</v>
      </c>
      <c r="G118" s="2">
        <f t="shared" si="3"/>
        <v>497439.94456199603</v>
      </c>
      <c r="H118" s="2">
        <f>IF(A118="","",IF(AND('Offset Inputs'!$B$5&gt;='Mortgage Inputs'!$B$5,'Mortgage Inputs'!$B$5&gt;0),'Offset Inputs'!$B$5-'Mortgage Inputs'!$B$5,D118+'Offset Inputs'!$B$6))</f>
        <v>106000</v>
      </c>
    </row>
    <row r="119" spans="1:8" ht="22" customHeight="1">
      <c r="A119" s="1">
        <f>IF(AND('Mortgage Inputs'!$B$12,113&lt;=IF('Mortgage Inputs'!$B$12,'Mortgage Inputs'!$B$7,0)*12+600,ISNUMBER(G118),G118&gt;0.005),113,"")</f>
        <v>113</v>
      </c>
      <c r="B119" s="4">
        <f>IF(A119="","",DATE(YEAR('Mortgage Inputs'!$B$8),MONTH('Mortgage Inputs'!$B$8)+A119,DAY('Mortgage Inputs'!$B$8)))</f>
        <v>49766</v>
      </c>
      <c r="C119" s="2">
        <f t="shared" si="4"/>
        <v>497439.94456199603</v>
      </c>
      <c r="D119" s="2">
        <f t="shared" si="5"/>
        <v>106000</v>
      </c>
      <c r="E119" s="2">
        <f>IF(A119="","",MAX(0,(C119-MIN(D119,C119))*'Mortgage Inputs'!$B$15))</f>
        <v>2084.4177047926287</v>
      </c>
      <c r="F119" s="2">
        <f>IF(A119="","",IF(AND('Offset Inputs'!$B$5&gt;='Mortgage Inputs'!$B$5,'Mortgage Inputs'!$B$5&gt;0),C119,MIN(C119,MAX(0,'Mortgage Inputs'!$B$17-E119))))</f>
        <v>1977.1156630147248</v>
      </c>
      <c r="G119" s="2">
        <f t="shared" si="3"/>
        <v>495462.82889898133</v>
      </c>
      <c r="H119" s="2">
        <f>IF(A119="","",IF(AND('Offset Inputs'!$B$5&gt;='Mortgage Inputs'!$B$5,'Mortgage Inputs'!$B$5&gt;0),'Offset Inputs'!$B$5-'Mortgage Inputs'!$B$5,D119+'Offset Inputs'!$B$6))</f>
        <v>106500</v>
      </c>
    </row>
    <row r="120" spans="1:8" ht="22" customHeight="1">
      <c r="A120" s="1">
        <f>IF(AND('Mortgage Inputs'!$B$12,114&lt;=IF('Mortgage Inputs'!$B$12,'Mortgage Inputs'!$B$7,0)*12+600,ISNUMBER(G119),G119&gt;0.005),114,"")</f>
        <v>114</v>
      </c>
      <c r="B120" s="4">
        <f>IF(A120="","",DATE(YEAR('Mortgage Inputs'!$B$8),MONTH('Mortgage Inputs'!$B$8)+A120,DAY('Mortgage Inputs'!$B$8)))</f>
        <v>49796</v>
      </c>
      <c r="C120" s="2">
        <f t="shared" si="4"/>
        <v>495462.82889898133</v>
      </c>
      <c r="D120" s="2">
        <f t="shared" si="5"/>
        <v>106500</v>
      </c>
      <c r="E120" s="2">
        <f>IF(A120="","",MAX(0,(C120-MIN(D120,C120))*'Mortgage Inputs'!$B$15))</f>
        <v>2071.2270638870755</v>
      </c>
      <c r="F120" s="2">
        <f>IF(A120="","",IF(AND('Offset Inputs'!$B$5&gt;='Mortgage Inputs'!$B$5,'Mortgage Inputs'!$B$5&gt;0),C120,MIN(C120,MAX(0,'Mortgage Inputs'!$B$17-E120))))</f>
        <v>1990.306303920278</v>
      </c>
      <c r="G120" s="2">
        <f t="shared" si="3"/>
        <v>493472.52259506105</v>
      </c>
      <c r="H120" s="2">
        <f>IF(A120="","",IF(AND('Offset Inputs'!$B$5&gt;='Mortgage Inputs'!$B$5,'Mortgage Inputs'!$B$5&gt;0),'Offset Inputs'!$B$5-'Mortgage Inputs'!$B$5,D120+'Offset Inputs'!$B$6))</f>
        <v>107000</v>
      </c>
    </row>
    <row r="121" spans="1:8" ht="22" customHeight="1">
      <c r="A121" s="1">
        <f>IF(AND('Mortgage Inputs'!$B$12,115&lt;=IF('Mortgage Inputs'!$B$12,'Mortgage Inputs'!$B$7,0)*12+600,ISNUMBER(G120),G120&gt;0.005),115,"")</f>
        <v>115</v>
      </c>
      <c r="B121" s="4">
        <f>IF(A121="","",DATE(YEAR('Mortgage Inputs'!$B$8),MONTH('Mortgage Inputs'!$B$8)+A121,DAY('Mortgage Inputs'!$B$8)))</f>
        <v>49827</v>
      </c>
      <c r="C121" s="2">
        <f t="shared" si="4"/>
        <v>493472.52259506105</v>
      </c>
      <c r="D121" s="2">
        <f t="shared" si="5"/>
        <v>107000</v>
      </c>
      <c r="E121" s="2">
        <f>IF(A121="","",MAX(0,(C121-MIN(D121,C121))*'Mortgage Inputs'!$B$15))</f>
        <v>2057.9661828187</v>
      </c>
      <c r="F121" s="2">
        <f>IF(A121="","",IF(AND('Offset Inputs'!$B$5&gt;='Mortgage Inputs'!$B$5,'Mortgage Inputs'!$B$5&gt;0),C121,MIN(C121,MAX(0,'Mortgage Inputs'!$B$17-E121))))</f>
        <v>2003.5671849886535</v>
      </c>
      <c r="G121" s="2">
        <f t="shared" si="3"/>
        <v>491468.95541007241</v>
      </c>
      <c r="H121" s="2">
        <f>IF(A121="","",IF(AND('Offset Inputs'!$B$5&gt;='Mortgage Inputs'!$B$5,'Mortgage Inputs'!$B$5&gt;0),'Offset Inputs'!$B$5-'Mortgage Inputs'!$B$5,D121+'Offset Inputs'!$B$6))</f>
        <v>107500</v>
      </c>
    </row>
    <row r="122" spans="1:8" ht="22" customHeight="1">
      <c r="A122" s="1">
        <f>IF(AND('Mortgage Inputs'!$B$12,116&lt;=IF('Mortgage Inputs'!$B$12,'Mortgage Inputs'!$B$7,0)*12+600,ISNUMBER(G121),G121&gt;0.005),116,"")</f>
        <v>116</v>
      </c>
      <c r="B122" s="4">
        <f>IF(A122="","",DATE(YEAR('Mortgage Inputs'!$B$8),MONTH('Mortgage Inputs'!$B$8)+A122,DAY('Mortgage Inputs'!$B$8)))</f>
        <v>49857</v>
      </c>
      <c r="C122" s="2">
        <f t="shared" si="4"/>
        <v>491468.95541007241</v>
      </c>
      <c r="D122" s="2">
        <f t="shared" si="5"/>
        <v>107500</v>
      </c>
      <c r="E122" s="2">
        <f>IF(A122="","",MAX(0,(C122-MIN(D122,C122))*'Mortgage Inputs'!$B$15))</f>
        <v>2044.6346875586355</v>
      </c>
      <c r="F122" s="2">
        <f>IF(A122="","",IF(AND('Offset Inputs'!$B$5&gt;='Mortgage Inputs'!$B$5,'Mortgage Inputs'!$B$5&gt;0),C122,MIN(C122,MAX(0,'Mortgage Inputs'!$B$17-E122))))</f>
        <v>2016.8986802487179</v>
      </c>
      <c r="G122" s="2">
        <f t="shared" si="3"/>
        <v>489452.0567298237</v>
      </c>
      <c r="H122" s="2">
        <f>IF(A122="","",IF(AND('Offset Inputs'!$B$5&gt;='Mortgage Inputs'!$B$5,'Mortgage Inputs'!$B$5&gt;0),'Offset Inputs'!$B$5-'Mortgage Inputs'!$B$5,D122+'Offset Inputs'!$B$6))</f>
        <v>108000</v>
      </c>
    </row>
    <row r="123" spans="1:8" ht="22" customHeight="1">
      <c r="A123" s="1">
        <f>IF(AND('Mortgage Inputs'!$B$12,117&lt;=IF('Mortgage Inputs'!$B$12,'Mortgage Inputs'!$B$7,0)*12+600,ISNUMBER(G122),G122&gt;0.005),117,"")</f>
        <v>117</v>
      </c>
      <c r="B123" s="4">
        <f>IF(A123="","",DATE(YEAR('Mortgage Inputs'!$B$8),MONTH('Mortgage Inputs'!$B$8)+A123,DAY('Mortgage Inputs'!$B$8)))</f>
        <v>49888</v>
      </c>
      <c r="C123" s="2">
        <f t="shared" si="4"/>
        <v>489452.0567298237</v>
      </c>
      <c r="D123" s="2">
        <f t="shared" si="5"/>
        <v>108000</v>
      </c>
      <c r="E123" s="2">
        <f>IF(A123="","",MAX(0,(C123-MIN(D123,C123))*'Mortgage Inputs'!$B$15))</f>
        <v>2031.2322020863112</v>
      </c>
      <c r="F123" s="2">
        <f>IF(A123="","",IF(AND('Offset Inputs'!$B$5&gt;='Mortgage Inputs'!$B$5,'Mortgage Inputs'!$B$5&gt;0),C123,MIN(C123,MAX(0,'Mortgage Inputs'!$B$17-E123))))</f>
        <v>2030.3011657210423</v>
      </c>
      <c r="G123" s="2">
        <f t="shared" si="3"/>
        <v>487421.75556410267</v>
      </c>
      <c r="H123" s="2">
        <f>IF(A123="","",IF(AND('Offset Inputs'!$B$5&gt;='Mortgage Inputs'!$B$5,'Mortgage Inputs'!$B$5&gt;0),'Offset Inputs'!$B$5-'Mortgage Inputs'!$B$5,D123+'Offset Inputs'!$B$6))</f>
        <v>108500</v>
      </c>
    </row>
    <row r="124" spans="1:8" ht="22" customHeight="1">
      <c r="A124" s="1">
        <f>IF(AND('Mortgage Inputs'!$B$12,118&lt;=IF('Mortgage Inputs'!$B$12,'Mortgage Inputs'!$B$7,0)*12+600,ISNUMBER(G123),G123&gt;0.005),118,"")</f>
        <v>118</v>
      </c>
      <c r="B124" s="4">
        <f>IF(A124="","",DATE(YEAR('Mortgage Inputs'!$B$8),MONTH('Mortgage Inputs'!$B$8)+A124,DAY('Mortgage Inputs'!$B$8)))</f>
        <v>49919</v>
      </c>
      <c r="C124" s="2">
        <f t="shared" si="4"/>
        <v>487421.75556410267</v>
      </c>
      <c r="D124" s="2">
        <f t="shared" si="5"/>
        <v>108500</v>
      </c>
      <c r="E124" s="2">
        <f>IF(A124="","",MAX(0,(C124-MIN(D124,C124))*'Mortgage Inputs'!$B$15))</f>
        <v>2017.7583483788467</v>
      </c>
      <c r="F124" s="2">
        <f>IF(A124="","",IF(AND('Offset Inputs'!$B$5&gt;='Mortgage Inputs'!$B$5,'Mortgage Inputs'!$B$5&gt;0),C124,MIN(C124,MAX(0,'Mortgage Inputs'!$B$17-E124))))</f>
        <v>2043.7750194285068</v>
      </c>
      <c r="G124" s="2">
        <f t="shared" si="3"/>
        <v>485377.98054467415</v>
      </c>
      <c r="H124" s="2">
        <f>IF(A124="","",IF(AND('Offset Inputs'!$B$5&gt;='Mortgage Inputs'!$B$5,'Mortgage Inputs'!$B$5&gt;0),'Offset Inputs'!$B$5-'Mortgage Inputs'!$B$5,D124+'Offset Inputs'!$B$6))</f>
        <v>109000</v>
      </c>
    </row>
    <row r="125" spans="1:8" ht="22" customHeight="1">
      <c r="A125" s="1">
        <f>IF(AND('Mortgage Inputs'!$B$12,119&lt;=IF('Mortgage Inputs'!$B$12,'Mortgage Inputs'!$B$7,0)*12+600,ISNUMBER(G124),G124&gt;0.005),119,"")</f>
        <v>119</v>
      </c>
      <c r="B125" s="4">
        <f>IF(A125="","",DATE(YEAR('Mortgage Inputs'!$B$8),MONTH('Mortgage Inputs'!$B$8)+A125,DAY('Mortgage Inputs'!$B$8)))</f>
        <v>49949</v>
      </c>
      <c r="C125" s="2">
        <f t="shared" si="4"/>
        <v>485377.98054467415</v>
      </c>
      <c r="D125" s="2">
        <f t="shared" si="5"/>
        <v>109000</v>
      </c>
      <c r="E125" s="2">
        <f>IF(A125="","",MAX(0,(C125-MIN(D125,C125))*'Mortgage Inputs'!$B$15))</f>
        <v>2004.2127464003897</v>
      </c>
      <c r="F125" s="2">
        <f>IF(A125="","",IF(AND('Offset Inputs'!$B$5&gt;='Mortgage Inputs'!$B$5,'Mortgage Inputs'!$B$5&gt;0),C125,MIN(C125,MAX(0,'Mortgage Inputs'!$B$17-E125))))</f>
        <v>2057.3206214069637</v>
      </c>
      <c r="G125" s="2">
        <f t="shared" si="3"/>
        <v>483320.6599232672</v>
      </c>
      <c r="H125" s="2">
        <f>IF(A125="","",IF(AND('Offset Inputs'!$B$5&gt;='Mortgage Inputs'!$B$5,'Mortgage Inputs'!$B$5&gt;0),'Offset Inputs'!$B$5-'Mortgage Inputs'!$B$5,D125+'Offset Inputs'!$B$6))</f>
        <v>109500</v>
      </c>
    </row>
    <row r="126" spans="1:8" ht="22" customHeight="1">
      <c r="A126" s="1">
        <f>IF(AND('Mortgage Inputs'!$B$12,120&lt;=IF('Mortgage Inputs'!$B$12,'Mortgage Inputs'!$B$7,0)*12+600,ISNUMBER(G125),G125&gt;0.005),120,"")</f>
        <v>120</v>
      </c>
      <c r="B126" s="4">
        <f>IF(A126="","",DATE(YEAR('Mortgage Inputs'!$B$8),MONTH('Mortgage Inputs'!$B$8)+A126,DAY('Mortgage Inputs'!$B$8)))</f>
        <v>49980</v>
      </c>
      <c r="C126" s="2">
        <f t="shared" si="4"/>
        <v>483320.6599232672</v>
      </c>
      <c r="D126" s="2">
        <f t="shared" si="5"/>
        <v>109500</v>
      </c>
      <c r="E126" s="2">
        <f>IF(A126="","",MAX(0,(C126-MIN(D126,C126))*'Mortgage Inputs'!$B$15))</f>
        <v>1990.5950140913978</v>
      </c>
      <c r="F126" s="2">
        <f>IF(A126="","",IF(AND('Offset Inputs'!$B$5&gt;='Mortgage Inputs'!$B$5,'Mortgage Inputs'!$B$5&gt;0),C126,MIN(C126,MAX(0,'Mortgage Inputs'!$B$17-E126))))</f>
        <v>2070.9383537159556</v>
      </c>
      <c r="G126" s="2">
        <f t="shared" si="3"/>
        <v>481249.72156955127</v>
      </c>
      <c r="H126" s="2">
        <f>IF(A126="","",IF(AND('Offset Inputs'!$B$5&gt;='Mortgage Inputs'!$B$5,'Mortgage Inputs'!$B$5&gt;0),'Offset Inputs'!$B$5-'Mortgage Inputs'!$B$5,D126+'Offset Inputs'!$B$6))</f>
        <v>110000</v>
      </c>
    </row>
    <row r="127" spans="1:8" ht="22" customHeight="1">
      <c r="A127" s="1">
        <f>IF(AND('Mortgage Inputs'!$B$12,121&lt;=IF('Mortgage Inputs'!$B$12,'Mortgage Inputs'!$B$7,0)*12+600,ISNUMBER(G126),G126&gt;0.005),121,"")</f>
        <v>121</v>
      </c>
      <c r="B127" s="4">
        <f>IF(A127="","",DATE(YEAR('Mortgage Inputs'!$B$8),MONTH('Mortgage Inputs'!$B$8)+A127,DAY('Mortgage Inputs'!$B$8)))</f>
        <v>50010</v>
      </c>
      <c r="C127" s="2">
        <f t="shared" si="4"/>
        <v>481249.72156955127</v>
      </c>
      <c r="D127" s="2">
        <f t="shared" si="5"/>
        <v>110000</v>
      </c>
      <c r="E127" s="2">
        <f>IF(A127="","",MAX(0,(C127-MIN(D127,C127))*'Mortgage Inputs'!$B$15))</f>
        <v>1976.9047673578605</v>
      </c>
      <c r="F127" s="2">
        <f>IF(A127="","",IF(AND('Offset Inputs'!$B$5&gt;='Mortgage Inputs'!$B$5,'Mortgage Inputs'!$B$5&gt;0),C127,MIN(C127,MAX(0,'Mortgage Inputs'!$B$17-E127))))</f>
        <v>2084.6286004494932</v>
      </c>
      <c r="G127" s="2">
        <f t="shared" si="3"/>
        <v>479165.0929691018</v>
      </c>
      <c r="H127" s="2">
        <f>IF(A127="","",IF(AND('Offset Inputs'!$B$5&gt;='Mortgage Inputs'!$B$5,'Mortgage Inputs'!$B$5&gt;0),'Offset Inputs'!$B$5-'Mortgage Inputs'!$B$5,D127+'Offset Inputs'!$B$6))</f>
        <v>110500</v>
      </c>
    </row>
    <row r="128" spans="1:8" ht="22" customHeight="1">
      <c r="A128" s="1">
        <f>IF(AND('Mortgage Inputs'!$B$12,122&lt;=IF('Mortgage Inputs'!$B$12,'Mortgage Inputs'!$B$7,0)*12+600,ISNUMBER(G127),G127&gt;0.005),122,"")</f>
        <v>122</v>
      </c>
      <c r="B128" s="4">
        <f>IF(A128="","",DATE(YEAR('Mortgage Inputs'!$B$8),MONTH('Mortgage Inputs'!$B$8)+A128,DAY('Mortgage Inputs'!$B$8)))</f>
        <v>50041</v>
      </c>
      <c r="C128" s="2">
        <f t="shared" si="4"/>
        <v>479165.0929691018</v>
      </c>
      <c r="D128" s="2">
        <f t="shared" si="5"/>
        <v>110500</v>
      </c>
      <c r="E128" s="2">
        <f>IF(A128="","",MAX(0,(C128-MIN(D128,C128))*'Mortgage Inputs'!$B$15))</f>
        <v>1963.1416200604669</v>
      </c>
      <c r="F128" s="2">
        <f>IF(A128="","",IF(AND('Offset Inputs'!$B$5&gt;='Mortgage Inputs'!$B$5,'Mortgage Inputs'!$B$5&gt;0),C128,MIN(C128,MAX(0,'Mortgage Inputs'!$B$17-E128))))</f>
        <v>2098.3917477468867</v>
      </c>
      <c r="G128" s="2">
        <f t="shared" si="3"/>
        <v>477066.70122135489</v>
      </c>
      <c r="H128" s="2">
        <f>IF(A128="","",IF(AND('Offset Inputs'!$B$5&gt;='Mortgage Inputs'!$B$5,'Mortgage Inputs'!$B$5&gt;0),'Offset Inputs'!$B$5-'Mortgage Inputs'!$B$5,D128+'Offset Inputs'!$B$6))</f>
        <v>111000</v>
      </c>
    </row>
    <row r="129" spans="1:8" ht="22" customHeight="1">
      <c r="A129" s="1">
        <f>IF(AND('Mortgage Inputs'!$B$12,123&lt;=IF('Mortgage Inputs'!$B$12,'Mortgage Inputs'!$B$7,0)*12+600,ISNUMBER(G128),G128&gt;0.005),123,"")</f>
        <v>123</v>
      </c>
      <c r="B129" s="4">
        <f>IF(A129="","",DATE(YEAR('Mortgage Inputs'!$B$8),MONTH('Mortgage Inputs'!$B$8)+A129,DAY('Mortgage Inputs'!$B$8)))</f>
        <v>50072</v>
      </c>
      <c r="C129" s="2">
        <f t="shared" si="4"/>
        <v>477066.70122135489</v>
      </c>
      <c r="D129" s="2">
        <f t="shared" si="5"/>
        <v>111000</v>
      </c>
      <c r="E129" s="2">
        <f>IF(A129="","",MAX(0,(C129-MIN(D129,C129))*'Mortgage Inputs'!$B$15))</f>
        <v>1949.3051840037147</v>
      </c>
      <c r="F129" s="2">
        <f>IF(A129="","",IF(AND('Offset Inputs'!$B$5&gt;='Mortgage Inputs'!$B$5,'Mortgage Inputs'!$B$5&gt;0),C129,MIN(C129,MAX(0,'Mortgage Inputs'!$B$17-E129))))</f>
        <v>2112.2281838036388</v>
      </c>
      <c r="G129" s="2">
        <f t="shared" si="3"/>
        <v>474954.47303755127</v>
      </c>
      <c r="H129" s="2">
        <f>IF(A129="","",IF(AND('Offset Inputs'!$B$5&gt;='Mortgage Inputs'!$B$5,'Mortgage Inputs'!$B$5&gt;0),'Offset Inputs'!$B$5-'Mortgage Inputs'!$B$5,D129+'Offset Inputs'!$B$6))</f>
        <v>111500</v>
      </c>
    </row>
    <row r="130" spans="1:8" ht="22" customHeight="1">
      <c r="A130" s="1">
        <f>IF(AND('Mortgage Inputs'!$B$12,124&lt;=IF('Mortgage Inputs'!$B$12,'Mortgage Inputs'!$B$7,0)*12+600,ISNUMBER(G129),G129&gt;0.005),124,"")</f>
        <v>124</v>
      </c>
      <c r="B130" s="4">
        <f>IF(A130="","",DATE(YEAR('Mortgage Inputs'!$B$8),MONTH('Mortgage Inputs'!$B$8)+A130,DAY('Mortgage Inputs'!$B$8)))</f>
        <v>50100</v>
      </c>
      <c r="C130" s="2">
        <f t="shared" si="4"/>
        <v>474954.47303755127</v>
      </c>
      <c r="D130" s="2">
        <f t="shared" si="5"/>
        <v>111500</v>
      </c>
      <c r="E130" s="2">
        <f>IF(A130="","",MAX(0,(C130-MIN(D130,C130))*'Mortgage Inputs'!$B$15))</f>
        <v>1935.3950689249605</v>
      </c>
      <c r="F130" s="2">
        <f>IF(A130="","",IF(AND('Offset Inputs'!$B$5&gt;='Mortgage Inputs'!$B$5,'Mortgage Inputs'!$B$5&gt;0),C130,MIN(C130,MAX(0,'Mortgage Inputs'!$B$17-E130))))</f>
        <v>2126.138298882393</v>
      </c>
      <c r="G130" s="2">
        <f t="shared" si="3"/>
        <v>472828.33473866887</v>
      </c>
      <c r="H130" s="2">
        <f>IF(A130="","",IF(AND('Offset Inputs'!$B$5&gt;='Mortgage Inputs'!$B$5,'Mortgage Inputs'!$B$5&gt;0),'Offset Inputs'!$B$5-'Mortgage Inputs'!$B$5,D130+'Offset Inputs'!$B$6))</f>
        <v>112000</v>
      </c>
    </row>
    <row r="131" spans="1:8" ht="22" customHeight="1">
      <c r="A131" s="1">
        <f>IF(AND('Mortgage Inputs'!$B$12,125&lt;=IF('Mortgage Inputs'!$B$12,'Mortgage Inputs'!$B$7,0)*12+600,ISNUMBER(G130),G130&gt;0.005),125,"")</f>
        <v>125</v>
      </c>
      <c r="B131" s="4">
        <f>IF(A131="","",DATE(YEAR('Mortgage Inputs'!$B$8),MONTH('Mortgage Inputs'!$B$8)+A131,DAY('Mortgage Inputs'!$B$8)))</f>
        <v>50131</v>
      </c>
      <c r="C131" s="2">
        <f t="shared" si="4"/>
        <v>472828.33473866887</v>
      </c>
      <c r="D131" s="2">
        <f t="shared" si="5"/>
        <v>112000</v>
      </c>
      <c r="E131" s="2">
        <f>IF(A131="","",MAX(0,(C131-MIN(D131,C131))*'Mortgage Inputs'!$B$15))</f>
        <v>1921.4108824834116</v>
      </c>
      <c r="F131" s="2">
        <f>IF(A131="","",IF(AND('Offset Inputs'!$B$5&gt;='Mortgage Inputs'!$B$5,'Mortgage Inputs'!$B$5&gt;0),C131,MIN(C131,MAX(0,'Mortgage Inputs'!$B$17-E131))))</f>
        <v>2140.1224853239419</v>
      </c>
      <c r="G131" s="2">
        <f t="shared" si="3"/>
        <v>470688.21225334494</v>
      </c>
      <c r="H131" s="2">
        <f>IF(A131="","",IF(AND('Offset Inputs'!$B$5&gt;='Mortgage Inputs'!$B$5,'Mortgage Inputs'!$B$5&gt;0),'Offset Inputs'!$B$5-'Mortgage Inputs'!$B$5,D131+'Offset Inputs'!$B$6))</f>
        <v>112500</v>
      </c>
    </row>
    <row r="132" spans="1:8" ht="22" customHeight="1">
      <c r="A132" s="1">
        <f>IF(AND('Mortgage Inputs'!$B$12,126&lt;=IF('Mortgage Inputs'!$B$12,'Mortgage Inputs'!$B$7,0)*12+600,ISNUMBER(G131),G131&gt;0.005),126,"")</f>
        <v>126</v>
      </c>
      <c r="B132" s="4">
        <f>IF(A132="","",DATE(YEAR('Mortgage Inputs'!$B$8),MONTH('Mortgage Inputs'!$B$8)+A132,DAY('Mortgage Inputs'!$B$8)))</f>
        <v>50161</v>
      </c>
      <c r="C132" s="2">
        <f t="shared" si="4"/>
        <v>470688.21225334494</v>
      </c>
      <c r="D132" s="2">
        <f t="shared" si="5"/>
        <v>112500</v>
      </c>
      <c r="E132" s="2">
        <f>IF(A132="","",MAX(0,(C132-MIN(D132,C132))*'Mortgage Inputs'!$B$15))</f>
        <v>1907.3522302490617</v>
      </c>
      <c r="F132" s="2">
        <f>IF(A132="","",IF(AND('Offset Inputs'!$B$5&gt;='Mortgage Inputs'!$B$5,'Mortgage Inputs'!$B$5&gt;0),C132,MIN(C132,MAX(0,'Mortgage Inputs'!$B$17-E132))))</f>
        <v>2154.181137558292</v>
      </c>
      <c r="G132" s="2">
        <f t="shared" si="3"/>
        <v>468534.03111578664</v>
      </c>
      <c r="H132" s="2">
        <f>IF(A132="","",IF(AND('Offset Inputs'!$B$5&gt;='Mortgage Inputs'!$B$5,'Mortgage Inputs'!$B$5&gt;0),'Offset Inputs'!$B$5-'Mortgage Inputs'!$B$5,D132+'Offset Inputs'!$B$6))</f>
        <v>113000</v>
      </c>
    </row>
    <row r="133" spans="1:8" ht="22" customHeight="1">
      <c r="A133" s="1">
        <f>IF(AND('Mortgage Inputs'!$B$12,127&lt;=IF('Mortgage Inputs'!$B$12,'Mortgage Inputs'!$B$7,0)*12+600,ISNUMBER(G132),G132&gt;0.005),127,"")</f>
        <v>127</v>
      </c>
      <c r="B133" s="4">
        <f>IF(A133="","",DATE(YEAR('Mortgage Inputs'!$B$8),MONTH('Mortgage Inputs'!$B$8)+A133,DAY('Mortgage Inputs'!$B$8)))</f>
        <v>50192</v>
      </c>
      <c r="C133" s="2">
        <f t="shared" si="4"/>
        <v>468534.03111578664</v>
      </c>
      <c r="D133" s="2">
        <f t="shared" si="5"/>
        <v>113000</v>
      </c>
      <c r="E133" s="2">
        <f>IF(A133="","",MAX(0,(C133-MIN(D133,C133))*'Mortgage Inputs'!$B$15))</f>
        <v>1893.2187156915638</v>
      </c>
      <c r="F133" s="2">
        <f>IF(A133="","",IF(AND('Offset Inputs'!$B$5&gt;='Mortgage Inputs'!$B$5,'Mortgage Inputs'!$B$5&gt;0),C133,MIN(C133,MAX(0,'Mortgage Inputs'!$B$17-E133))))</f>
        <v>2168.3146521157896</v>
      </c>
      <c r="G133" s="2">
        <f t="shared" si="3"/>
        <v>466365.71646367083</v>
      </c>
      <c r="H133" s="2">
        <f>IF(A133="","",IF(AND('Offset Inputs'!$B$5&gt;='Mortgage Inputs'!$B$5,'Mortgage Inputs'!$B$5&gt;0),'Offset Inputs'!$B$5-'Mortgage Inputs'!$B$5,D133+'Offset Inputs'!$B$6))</f>
        <v>113500</v>
      </c>
    </row>
    <row r="134" spans="1:8" ht="22" customHeight="1">
      <c r="A134" s="1">
        <f>IF(AND('Mortgage Inputs'!$B$12,128&lt;=IF('Mortgage Inputs'!$B$12,'Mortgage Inputs'!$B$7,0)*12+600,ISNUMBER(G133),G133&gt;0.005),128,"")</f>
        <v>128</v>
      </c>
      <c r="B134" s="4">
        <f>IF(A134="","",DATE(YEAR('Mortgage Inputs'!$B$8),MONTH('Mortgage Inputs'!$B$8)+A134,DAY('Mortgage Inputs'!$B$8)))</f>
        <v>50222</v>
      </c>
      <c r="C134" s="2">
        <f t="shared" si="4"/>
        <v>466365.71646367083</v>
      </c>
      <c r="D134" s="2">
        <f t="shared" si="5"/>
        <v>113500</v>
      </c>
      <c r="E134" s="2">
        <f>IF(A134="","",MAX(0,(C134-MIN(D134,C134))*'Mortgage Inputs'!$B$15))</f>
        <v>1879.0099401690472</v>
      </c>
      <c r="F134" s="2">
        <f>IF(A134="","",IF(AND('Offset Inputs'!$B$5&gt;='Mortgage Inputs'!$B$5,'Mortgage Inputs'!$B$5&gt;0),C134,MIN(C134,MAX(0,'Mortgage Inputs'!$B$17-E134))))</f>
        <v>2182.5234276383062</v>
      </c>
      <c r="G134" s="2">
        <f t="shared" si="3"/>
        <v>464183.19303603255</v>
      </c>
      <c r="H134" s="2">
        <f>IF(A134="","",IF(AND('Offset Inputs'!$B$5&gt;='Mortgage Inputs'!$B$5,'Mortgage Inputs'!$B$5&gt;0),'Offset Inputs'!$B$5-'Mortgage Inputs'!$B$5,D134+'Offset Inputs'!$B$6))</f>
        <v>114000</v>
      </c>
    </row>
    <row r="135" spans="1:8" ht="22" customHeight="1">
      <c r="A135" s="1">
        <f>IF(AND('Mortgage Inputs'!$B$12,129&lt;=IF('Mortgage Inputs'!$B$12,'Mortgage Inputs'!$B$7,0)*12+600,ISNUMBER(G134),G134&gt;0.005),129,"")</f>
        <v>129</v>
      </c>
      <c r="B135" s="4">
        <f>IF(A135="","",DATE(YEAR('Mortgage Inputs'!$B$8),MONTH('Mortgage Inputs'!$B$8)+A135,DAY('Mortgage Inputs'!$B$8)))</f>
        <v>50253</v>
      </c>
      <c r="C135" s="2">
        <f t="shared" si="4"/>
        <v>464183.19303603255</v>
      </c>
      <c r="D135" s="2">
        <f t="shared" si="5"/>
        <v>114000</v>
      </c>
      <c r="E135" s="2">
        <f>IF(A135="","",MAX(0,(C135-MIN(D135,C135))*'Mortgage Inputs'!$B$15))</f>
        <v>1864.7255029168732</v>
      </c>
      <c r="F135" s="2">
        <f>IF(A135="","",IF(AND('Offset Inputs'!$B$5&gt;='Mortgage Inputs'!$B$5,'Mortgage Inputs'!$B$5&gt;0),C135,MIN(C135,MAX(0,'Mortgage Inputs'!$B$17-E135))))</f>
        <v>2196.8078648904802</v>
      </c>
      <c r="G135" s="2">
        <f t="shared" ref="G135:G198" si="6">IF(A135="","",MAX(0,C135-F135))</f>
        <v>461986.38517114206</v>
      </c>
      <c r="H135" s="2">
        <f>IF(A135="","",IF(AND('Offset Inputs'!$B$5&gt;='Mortgage Inputs'!$B$5,'Mortgage Inputs'!$B$5&gt;0),'Offset Inputs'!$B$5-'Mortgage Inputs'!$B$5,D135+'Offset Inputs'!$B$6))</f>
        <v>114500</v>
      </c>
    </row>
    <row r="136" spans="1:8" ht="22" customHeight="1">
      <c r="A136" s="1">
        <f>IF(AND('Mortgage Inputs'!$B$12,130&lt;=IF('Mortgage Inputs'!$B$12,'Mortgage Inputs'!$B$7,0)*12+600,ISNUMBER(G135),G135&gt;0.005),130,"")</f>
        <v>130</v>
      </c>
      <c r="B136" s="4">
        <f>IF(A136="","",DATE(YEAR('Mortgage Inputs'!$B$8),MONTH('Mortgage Inputs'!$B$8)+A136,DAY('Mortgage Inputs'!$B$8)))</f>
        <v>50284</v>
      </c>
      <c r="C136" s="2">
        <f t="shared" ref="C136:C199" si="7">IF(A136="","",G135)</f>
        <v>461986.38517114206</v>
      </c>
      <c r="D136" s="2">
        <f t="shared" ref="D136:D199" si="8">IF(A136="","",H135)</f>
        <v>114500</v>
      </c>
      <c r="E136" s="2">
        <f>IF(A136="","",MAX(0,(C136-MIN(D136,C136))*'Mortgage Inputs'!$B$15))</f>
        <v>1850.3650010363315</v>
      </c>
      <c r="F136" s="2">
        <f>IF(A136="","",IF(AND('Offset Inputs'!$B$5&gt;='Mortgage Inputs'!$B$5,'Mortgage Inputs'!$B$5&gt;0),C136,MIN(C136,MAX(0,'Mortgage Inputs'!$B$17-E136))))</f>
        <v>2211.1683667710222</v>
      </c>
      <c r="G136" s="2">
        <f t="shared" si="6"/>
        <v>459775.21680437104</v>
      </c>
      <c r="H136" s="2">
        <f>IF(A136="","",IF(AND('Offset Inputs'!$B$5&gt;='Mortgage Inputs'!$B$5,'Mortgage Inputs'!$B$5&gt;0),'Offset Inputs'!$B$5-'Mortgage Inputs'!$B$5,D136+'Offset Inputs'!$B$6))</f>
        <v>115000</v>
      </c>
    </row>
    <row r="137" spans="1:8" ht="22" customHeight="1">
      <c r="A137" s="1">
        <f>IF(AND('Mortgage Inputs'!$B$12,131&lt;=IF('Mortgage Inputs'!$B$12,'Mortgage Inputs'!$B$7,0)*12+600,ISNUMBER(G136),G136&gt;0.005),131,"")</f>
        <v>131</v>
      </c>
      <c r="B137" s="4">
        <f>IF(A137="","",DATE(YEAR('Mortgage Inputs'!$B$8),MONTH('Mortgage Inputs'!$B$8)+A137,DAY('Mortgage Inputs'!$B$8)))</f>
        <v>50314</v>
      </c>
      <c r="C137" s="2">
        <f t="shared" si="7"/>
        <v>459775.21680437104</v>
      </c>
      <c r="D137" s="2">
        <f t="shared" si="8"/>
        <v>115000</v>
      </c>
      <c r="E137" s="2">
        <f>IF(A137="","",MAX(0,(C137-MIN(D137,C137))*'Mortgage Inputs'!$B$15))</f>
        <v>1835.9280294832758</v>
      </c>
      <c r="F137" s="2">
        <f>IF(A137="","",IF(AND('Offset Inputs'!$B$5&gt;='Mortgage Inputs'!$B$5,'Mortgage Inputs'!$B$5&gt;0),C137,MIN(C137,MAX(0,'Mortgage Inputs'!$B$17-E137))))</f>
        <v>2225.6053383240778</v>
      </c>
      <c r="G137" s="2">
        <f t="shared" si="6"/>
        <v>457549.61146604695</v>
      </c>
      <c r="H137" s="2">
        <f>IF(A137="","",IF(AND('Offset Inputs'!$B$5&gt;='Mortgage Inputs'!$B$5,'Mortgage Inputs'!$B$5&gt;0),'Offset Inputs'!$B$5-'Mortgage Inputs'!$B$5,D137+'Offset Inputs'!$B$6))</f>
        <v>115500</v>
      </c>
    </row>
    <row r="138" spans="1:8" ht="22" customHeight="1">
      <c r="A138" s="1">
        <f>IF(AND('Mortgage Inputs'!$B$12,132&lt;=IF('Mortgage Inputs'!$B$12,'Mortgage Inputs'!$B$7,0)*12+600,ISNUMBER(G137),G137&gt;0.005),132,"")</f>
        <v>132</v>
      </c>
      <c r="B138" s="4">
        <f>IF(A138="","",DATE(YEAR('Mortgage Inputs'!$B$8),MONTH('Mortgage Inputs'!$B$8)+A138,DAY('Mortgage Inputs'!$B$8)))</f>
        <v>50345</v>
      </c>
      <c r="C138" s="2">
        <f t="shared" si="7"/>
        <v>457549.61146604695</v>
      </c>
      <c r="D138" s="2">
        <f t="shared" si="8"/>
        <v>115500</v>
      </c>
      <c r="E138" s="2">
        <f>IF(A138="","",MAX(0,(C138-MIN(D138,C138))*'Mortgage Inputs'!$B$15))</f>
        <v>1821.4141810567</v>
      </c>
      <c r="F138" s="2">
        <f>IF(A138="","",IF(AND('Offset Inputs'!$B$5&gt;='Mortgage Inputs'!$B$5,'Mortgage Inputs'!$B$5&gt;0),C138,MIN(C138,MAX(0,'Mortgage Inputs'!$B$17-E138))))</f>
        <v>2240.1191867506532</v>
      </c>
      <c r="G138" s="2">
        <f t="shared" si="6"/>
        <v>455309.49227929628</v>
      </c>
      <c r="H138" s="2">
        <f>IF(A138="","",IF(AND('Offset Inputs'!$B$5&gt;='Mortgage Inputs'!$B$5,'Mortgage Inputs'!$B$5&gt;0),'Offset Inputs'!$B$5-'Mortgage Inputs'!$B$5,D138+'Offset Inputs'!$B$6))</f>
        <v>116000</v>
      </c>
    </row>
    <row r="139" spans="1:8" ht="22" customHeight="1">
      <c r="A139" s="1">
        <f>IF(AND('Mortgage Inputs'!$B$12,133&lt;=IF('Mortgage Inputs'!$B$12,'Mortgage Inputs'!$B$7,0)*12+600,ISNUMBER(G138),G138&gt;0.005),133,"")</f>
        <v>133</v>
      </c>
      <c r="B139" s="4">
        <f>IF(A139="","",DATE(YEAR('Mortgage Inputs'!$B$8),MONTH('Mortgage Inputs'!$B$8)+A139,DAY('Mortgage Inputs'!$B$8)))</f>
        <v>50375</v>
      </c>
      <c r="C139" s="2">
        <f t="shared" si="7"/>
        <v>455309.49227929628</v>
      </c>
      <c r="D139" s="2">
        <f t="shared" si="8"/>
        <v>116000</v>
      </c>
      <c r="E139" s="2">
        <f>IF(A139="","",MAX(0,(C139-MIN(D139,C139))*'Mortgage Inputs'!$B$15))</f>
        <v>1806.8230463872526</v>
      </c>
      <c r="F139" s="2">
        <f>IF(A139="","",IF(AND('Offset Inputs'!$B$5&gt;='Mortgage Inputs'!$B$5,'Mortgage Inputs'!$B$5&gt;0),C139,MIN(C139,MAX(0,'Mortgage Inputs'!$B$17-E139))))</f>
        <v>2254.7103214201006</v>
      </c>
      <c r="G139" s="2">
        <f t="shared" si="6"/>
        <v>453054.78195787617</v>
      </c>
      <c r="H139" s="2">
        <f>IF(A139="","",IF(AND('Offset Inputs'!$B$5&gt;='Mortgage Inputs'!$B$5,'Mortgage Inputs'!$B$5&gt;0),'Offset Inputs'!$B$5-'Mortgage Inputs'!$B$5,D139+'Offset Inputs'!$B$6))</f>
        <v>116500</v>
      </c>
    </row>
    <row r="140" spans="1:8" ht="22" customHeight="1">
      <c r="A140" s="1">
        <f>IF(AND('Mortgage Inputs'!$B$12,134&lt;=IF('Mortgage Inputs'!$B$12,'Mortgage Inputs'!$B$7,0)*12+600,ISNUMBER(G139),G139&gt;0.005),134,"")</f>
        <v>134</v>
      </c>
      <c r="B140" s="4">
        <f>IF(A140="","",DATE(YEAR('Mortgage Inputs'!$B$8),MONTH('Mortgage Inputs'!$B$8)+A140,DAY('Mortgage Inputs'!$B$8)))</f>
        <v>50406</v>
      </c>
      <c r="C140" s="2">
        <f t="shared" si="7"/>
        <v>453054.78195787617</v>
      </c>
      <c r="D140" s="2">
        <f t="shared" si="8"/>
        <v>116500</v>
      </c>
      <c r="E140" s="2">
        <f>IF(A140="","",MAX(0,(C140-MIN(D140,C140))*'Mortgage Inputs'!$B$15))</f>
        <v>1792.1542139256906</v>
      </c>
      <c r="F140" s="2">
        <f>IF(A140="","",IF(AND('Offset Inputs'!$B$5&gt;='Mortgage Inputs'!$B$5,'Mortgage Inputs'!$B$5&gt;0),C140,MIN(C140,MAX(0,'Mortgage Inputs'!$B$17-E140))))</f>
        <v>2269.3791538816631</v>
      </c>
      <c r="G140" s="2">
        <f t="shared" si="6"/>
        <v>450785.40280399448</v>
      </c>
      <c r="H140" s="2">
        <f>IF(A140="","",IF(AND('Offset Inputs'!$B$5&gt;='Mortgage Inputs'!$B$5,'Mortgage Inputs'!$B$5&gt;0),'Offset Inputs'!$B$5-'Mortgage Inputs'!$B$5,D140+'Offset Inputs'!$B$6))</f>
        <v>117000</v>
      </c>
    </row>
    <row r="141" spans="1:8" ht="22" customHeight="1">
      <c r="A141" s="1">
        <f>IF(AND('Mortgage Inputs'!$B$12,135&lt;=IF('Mortgage Inputs'!$B$12,'Mortgage Inputs'!$B$7,0)*12+600,ISNUMBER(G140),G140&gt;0.005),135,"")</f>
        <v>135</v>
      </c>
      <c r="B141" s="4">
        <f>IF(A141="","",DATE(YEAR('Mortgage Inputs'!$B$8),MONTH('Mortgage Inputs'!$B$8)+A141,DAY('Mortgage Inputs'!$B$8)))</f>
        <v>50437</v>
      </c>
      <c r="C141" s="2">
        <f t="shared" si="7"/>
        <v>450785.40280399448</v>
      </c>
      <c r="D141" s="2">
        <f t="shared" si="8"/>
        <v>117000</v>
      </c>
      <c r="E141" s="2">
        <f>IF(A141="","",MAX(0,(C141-MIN(D141,C141))*'Mortgage Inputs'!$B$15))</f>
        <v>1777.4072699312705</v>
      </c>
      <c r="F141" s="2">
        <f>IF(A141="","",IF(AND('Offset Inputs'!$B$5&gt;='Mortgage Inputs'!$B$5,'Mortgage Inputs'!$B$5&gt;0),C141,MIN(C141,MAX(0,'Mortgage Inputs'!$B$17-E141))))</f>
        <v>2284.1260978760829</v>
      </c>
      <c r="G141" s="2">
        <f t="shared" si="6"/>
        <v>448501.27670611843</v>
      </c>
      <c r="H141" s="2">
        <f>IF(A141="","",IF(AND('Offset Inputs'!$B$5&gt;='Mortgage Inputs'!$B$5,'Mortgage Inputs'!$B$5&gt;0),'Offset Inputs'!$B$5-'Mortgage Inputs'!$B$5,D141+'Offset Inputs'!$B$6))</f>
        <v>117500</v>
      </c>
    </row>
    <row r="142" spans="1:8" ht="22" customHeight="1">
      <c r="A142" s="1">
        <f>IF(AND('Mortgage Inputs'!$B$12,136&lt;=IF('Mortgage Inputs'!$B$12,'Mortgage Inputs'!$B$7,0)*12+600,ISNUMBER(G141),G141&gt;0.005),136,"")</f>
        <v>136</v>
      </c>
      <c r="B142" s="4">
        <f>IF(A142="","",DATE(YEAR('Mortgage Inputs'!$B$8),MONTH('Mortgage Inputs'!$B$8)+A142,DAY('Mortgage Inputs'!$B$8)))</f>
        <v>50465</v>
      </c>
      <c r="C142" s="2">
        <f t="shared" si="7"/>
        <v>448501.27670611843</v>
      </c>
      <c r="D142" s="2">
        <f t="shared" si="8"/>
        <v>117500</v>
      </c>
      <c r="E142" s="2">
        <f>IF(A142="","",MAX(0,(C142-MIN(D142,C142))*'Mortgage Inputs'!$B$15))</f>
        <v>1762.5817984600806</v>
      </c>
      <c r="F142" s="2">
        <f>IF(A142="","",IF(AND('Offset Inputs'!$B$5&gt;='Mortgage Inputs'!$B$5,'Mortgage Inputs'!$B$5&gt;0),C142,MIN(C142,MAX(0,'Mortgage Inputs'!$B$17-E142))))</f>
        <v>2298.9515693472731</v>
      </c>
      <c r="G142" s="2">
        <f t="shared" si="6"/>
        <v>446202.32513677113</v>
      </c>
      <c r="H142" s="2">
        <f>IF(A142="","",IF(AND('Offset Inputs'!$B$5&gt;='Mortgage Inputs'!$B$5,'Mortgage Inputs'!$B$5&gt;0),'Offset Inputs'!$B$5-'Mortgage Inputs'!$B$5,D142+'Offset Inputs'!$B$6))</f>
        <v>118000</v>
      </c>
    </row>
    <row r="143" spans="1:8" ht="22" customHeight="1">
      <c r="A143" s="1">
        <f>IF(AND('Mortgage Inputs'!$B$12,137&lt;=IF('Mortgage Inputs'!$B$12,'Mortgage Inputs'!$B$7,0)*12+600,ISNUMBER(G142),G142&gt;0.005),137,"")</f>
        <v>137</v>
      </c>
      <c r="B143" s="4">
        <f>IF(A143="","",DATE(YEAR('Mortgage Inputs'!$B$8),MONTH('Mortgage Inputs'!$B$8)+A143,DAY('Mortgage Inputs'!$B$8)))</f>
        <v>50496</v>
      </c>
      <c r="C143" s="2">
        <f t="shared" si="7"/>
        <v>446202.32513677113</v>
      </c>
      <c r="D143" s="2">
        <f t="shared" si="8"/>
        <v>118000</v>
      </c>
      <c r="E143" s="2">
        <f>IF(A143="","",MAX(0,(C143-MIN(D143,C143))*'Mortgage Inputs'!$B$15))</f>
        <v>1747.6773813533061</v>
      </c>
      <c r="F143" s="2">
        <f>IF(A143="","",IF(AND('Offset Inputs'!$B$5&gt;='Mortgage Inputs'!$B$5,'Mortgage Inputs'!$B$5&gt;0),C143,MIN(C143,MAX(0,'Mortgage Inputs'!$B$17-E143))))</f>
        <v>2313.8559864540475</v>
      </c>
      <c r="G143" s="2">
        <f t="shared" si="6"/>
        <v>443888.46915031708</v>
      </c>
      <c r="H143" s="2">
        <f>IF(A143="","",IF(AND('Offset Inputs'!$B$5&gt;='Mortgage Inputs'!$B$5,'Mortgage Inputs'!$B$5&gt;0),'Offset Inputs'!$B$5-'Mortgage Inputs'!$B$5,D143+'Offset Inputs'!$B$6))</f>
        <v>118500</v>
      </c>
    </row>
    <row r="144" spans="1:8" ht="22" customHeight="1">
      <c r="A144" s="1">
        <f>IF(AND('Mortgage Inputs'!$B$12,138&lt;=IF('Mortgage Inputs'!$B$12,'Mortgage Inputs'!$B$7,0)*12+600,ISNUMBER(G143),G143&gt;0.005),138,"")</f>
        <v>138</v>
      </c>
      <c r="B144" s="4">
        <f>IF(A144="","",DATE(YEAR('Mortgage Inputs'!$B$8),MONTH('Mortgage Inputs'!$B$8)+A144,DAY('Mortgage Inputs'!$B$8)))</f>
        <v>50526</v>
      </c>
      <c r="C144" s="2">
        <f t="shared" si="7"/>
        <v>443888.46915031708</v>
      </c>
      <c r="D144" s="2">
        <f t="shared" si="8"/>
        <v>118500</v>
      </c>
      <c r="E144" s="2">
        <f>IF(A144="","",MAX(0,(C144-MIN(D144,C144))*'Mortgage Inputs'!$B$15))</f>
        <v>1732.6935982254383</v>
      </c>
      <c r="F144" s="2">
        <f>IF(A144="","",IF(AND('Offset Inputs'!$B$5&gt;='Mortgage Inputs'!$B$5,'Mortgage Inputs'!$B$5&gt;0),C144,MIN(C144,MAX(0,'Mortgage Inputs'!$B$17-E144))))</f>
        <v>2328.8397695819149</v>
      </c>
      <c r="G144" s="2">
        <f t="shared" si="6"/>
        <v>441559.62938073516</v>
      </c>
      <c r="H144" s="2">
        <f>IF(A144="","",IF(AND('Offset Inputs'!$B$5&gt;='Mortgage Inputs'!$B$5,'Mortgage Inputs'!$B$5&gt;0),'Offset Inputs'!$B$5-'Mortgage Inputs'!$B$5,D144+'Offset Inputs'!$B$6))</f>
        <v>119000</v>
      </c>
    </row>
    <row r="145" spans="1:8" ht="22" customHeight="1">
      <c r="A145" s="1">
        <f>IF(AND('Mortgage Inputs'!$B$12,139&lt;=IF('Mortgage Inputs'!$B$12,'Mortgage Inputs'!$B$7,0)*12+600,ISNUMBER(G144),G144&gt;0.005),139,"")</f>
        <v>139</v>
      </c>
      <c r="B145" s="4">
        <f>IF(A145="","",DATE(YEAR('Mortgage Inputs'!$B$8),MONTH('Mortgage Inputs'!$B$8)+A145,DAY('Mortgage Inputs'!$B$8)))</f>
        <v>50557</v>
      </c>
      <c r="C145" s="2">
        <f t="shared" si="7"/>
        <v>441559.62938073516</v>
      </c>
      <c r="D145" s="2">
        <f t="shared" si="8"/>
        <v>119000</v>
      </c>
      <c r="E145" s="2">
        <f>IF(A145="","",MAX(0,(C145-MIN(D145,C145))*'Mortgage Inputs'!$B$15))</f>
        <v>1717.6300264524148</v>
      </c>
      <c r="F145" s="2">
        <f>IF(A145="","",IF(AND('Offset Inputs'!$B$5&gt;='Mortgage Inputs'!$B$5,'Mortgage Inputs'!$B$5&gt;0),C145,MIN(C145,MAX(0,'Mortgage Inputs'!$B$17-E145))))</f>
        <v>2343.9033413549387</v>
      </c>
      <c r="G145" s="2">
        <f t="shared" si="6"/>
        <v>439215.72603938024</v>
      </c>
      <c r="H145" s="2">
        <f>IF(A145="","",IF(AND('Offset Inputs'!$B$5&gt;='Mortgage Inputs'!$B$5,'Mortgage Inputs'!$B$5&gt;0),'Offset Inputs'!$B$5-'Mortgage Inputs'!$B$5,D145+'Offset Inputs'!$B$6))</f>
        <v>119500</v>
      </c>
    </row>
    <row r="146" spans="1:8" ht="22" customHeight="1">
      <c r="A146" s="1">
        <f>IF(AND('Mortgage Inputs'!$B$12,140&lt;=IF('Mortgage Inputs'!$B$12,'Mortgage Inputs'!$B$7,0)*12+600,ISNUMBER(G145),G145&gt;0.005),140,"")</f>
        <v>140</v>
      </c>
      <c r="B146" s="4">
        <f>IF(A146="","",DATE(YEAR('Mortgage Inputs'!$B$8),MONTH('Mortgage Inputs'!$B$8)+A146,DAY('Mortgage Inputs'!$B$8)))</f>
        <v>50587</v>
      </c>
      <c r="C146" s="2">
        <f t="shared" si="7"/>
        <v>439215.72603938024</v>
      </c>
      <c r="D146" s="2">
        <f t="shared" si="8"/>
        <v>119500</v>
      </c>
      <c r="E146" s="2">
        <f>IF(A146="","",MAX(0,(C146-MIN(D146,C146))*'Mortgage Inputs'!$B$15))</f>
        <v>1702.4862411596998</v>
      </c>
      <c r="F146" s="2">
        <f>IF(A146="","",IF(AND('Offset Inputs'!$B$5&gt;='Mortgage Inputs'!$B$5,'Mortgage Inputs'!$B$5&gt;0),C146,MIN(C146,MAX(0,'Mortgage Inputs'!$B$17-E146))))</f>
        <v>2359.0471266476534</v>
      </c>
      <c r="G146" s="2">
        <f t="shared" si="6"/>
        <v>436856.67891273258</v>
      </c>
      <c r="H146" s="2">
        <f>IF(A146="","",IF(AND('Offset Inputs'!$B$5&gt;='Mortgage Inputs'!$B$5,'Mortgage Inputs'!$B$5&gt;0),'Offset Inputs'!$B$5-'Mortgage Inputs'!$B$5,D146+'Offset Inputs'!$B$6))</f>
        <v>120000</v>
      </c>
    </row>
    <row r="147" spans="1:8" ht="22" customHeight="1">
      <c r="A147" s="1">
        <f>IF(AND('Mortgage Inputs'!$B$12,141&lt;=IF('Mortgage Inputs'!$B$12,'Mortgage Inputs'!$B$7,0)*12+600,ISNUMBER(G146),G146&gt;0.005),141,"")</f>
        <v>141</v>
      </c>
      <c r="B147" s="4">
        <f>IF(A147="","",DATE(YEAR('Mortgage Inputs'!$B$8),MONTH('Mortgage Inputs'!$B$8)+A147,DAY('Mortgage Inputs'!$B$8)))</f>
        <v>50618</v>
      </c>
      <c r="C147" s="2">
        <f t="shared" si="7"/>
        <v>436856.67891273258</v>
      </c>
      <c r="D147" s="2">
        <f t="shared" si="8"/>
        <v>120000</v>
      </c>
      <c r="E147" s="2">
        <f>IF(A147="","",MAX(0,(C147-MIN(D147,C147))*'Mortgage Inputs'!$B$15))</f>
        <v>1687.2618152103009</v>
      </c>
      <c r="F147" s="2">
        <f>IF(A147="","",IF(AND('Offset Inputs'!$B$5&gt;='Mortgage Inputs'!$B$5,'Mortgage Inputs'!$B$5&gt;0),C147,MIN(C147,MAX(0,'Mortgage Inputs'!$B$17-E147))))</f>
        <v>2374.2715525970525</v>
      </c>
      <c r="G147" s="2">
        <f t="shared" si="6"/>
        <v>434482.40736013552</v>
      </c>
      <c r="H147" s="2">
        <f>IF(A147="","",IF(AND('Offset Inputs'!$B$5&gt;='Mortgage Inputs'!$B$5,'Mortgage Inputs'!$B$5&gt;0),'Offset Inputs'!$B$5-'Mortgage Inputs'!$B$5,D147+'Offset Inputs'!$B$6))</f>
        <v>120500</v>
      </c>
    </row>
    <row r="148" spans="1:8" ht="22" customHeight="1">
      <c r="A148" s="1">
        <f>IF(AND('Mortgage Inputs'!$B$12,142&lt;=IF('Mortgage Inputs'!$B$12,'Mortgage Inputs'!$B$7,0)*12+600,ISNUMBER(G147),G147&gt;0.005),142,"")</f>
        <v>142</v>
      </c>
      <c r="B148" s="4">
        <f>IF(A148="","",DATE(YEAR('Mortgage Inputs'!$B$8),MONTH('Mortgage Inputs'!$B$8)+A148,DAY('Mortgage Inputs'!$B$8)))</f>
        <v>50649</v>
      </c>
      <c r="C148" s="2">
        <f t="shared" si="7"/>
        <v>434482.40736013552</v>
      </c>
      <c r="D148" s="2">
        <f t="shared" si="8"/>
        <v>120500</v>
      </c>
      <c r="E148" s="2">
        <f>IF(A148="","",MAX(0,(C148-MIN(D148,C148))*'Mortgage Inputs'!$B$15))</f>
        <v>1671.9563191927216</v>
      </c>
      <c r="F148" s="2">
        <f>IF(A148="","",IF(AND('Offset Inputs'!$B$5&gt;='Mortgage Inputs'!$B$5,'Mortgage Inputs'!$B$5&gt;0),C148,MIN(C148,MAX(0,'Mortgage Inputs'!$B$17-E148))))</f>
        <v>2389.5770486146321</v>
      </c>
      <c r="G148" s="2">
        <f t="shared" si="6"/>
        <v>432092.8303115209</v>
      </c>
      <c r="H148" s="2">
        <f>IF(A148="","",IF(AND('Offset Inputs'!$B$5&gt;='Mortgage Inputs'!$B$5,'Mortgage Inputs'!$B$5&gt;0),'Offset Inputs'!$B$5-'Mortgage Inputs'!$B$5,D148+'Offset Inputs'!$B$6))</f>
        <v>121000</v>
      </c>
    </row>
    <row r="149" spans="1:8" ht="22" customHeight="1">
      <c r="A149" s="1">
        <f>IF(AND('Mortgage Inputs'!$B$12,143&lt;=IF('Mortgage Inputs'!$B$12,'Mortgage Inputs'!$B$7,0)*12+600,ISNUMBER(G148),G148&gt;0.005),143,"")</f>
        <v>143</v>
      </c>
      <c r="B149" s="4">
        <f>IF(A149="","",DATE(YEAR('Mortgage Inputs'!$B$8),MONTH('Mortgage Inputs'!$B$8)+A149,DAY('Mortgage Inputs'!$B$8)))</f>
        <v>50679</v>
      </c>
      <c r="C149" s="2">
        <f t="shared" si="7"/>
        <v>432092.8303115209</v>
      </c>
      <c r="D149" s="2">
        <f t="shared" si="8"/>
        <v>121000</v>
      </c>
      <c r="E149" s="2">
        <f>IF(A149="","",MAX(0,(C149-MIN(D149,C149))*'Mortgage Inputs'!$B$15))</f>
        <v>1656.5693214088487</v>
      </c>
      <c r="F149" s="2">
        <f>IF(A149="","",IF(AND('Offset Inputs'!$B$5&gt;='Mortgage Inputs'!$B$5,'Mortgage Inputs'!$B$5&gt;0),C149,MIN(C149,MAX(0,'Mortgage Inputs'!$B$17-E149))))</f>
        <v>2404.9640463985047</v>
      </c>
      <c r="G149" s="2">
        <f t="shared" si="6"/>
        <v>429687.86626512237</v>
      </c>
      <c r="H149" s="2">
        <f>IF(A149="","",IF(AND('Offset Inputs'!$B$5&gt;='Mortgage Inputs'!$B$5,'Mortgage Inputs'!$B$5&gt;0),'Offset Inputs'!$B$5-'Mortgage Inputs'!$B$5,D149+'Offset Inputs'!$B$6))</f>
        <v>121500</v>
      </c>
    </row>
    <row r="150" spans="1:8" ht="22" customHeight="1">
      <c r="A150" s="1">
        <f>IF(AND('Mortgage Inputs'!$B$12,144&lt;=IF('Mortgage Inputs'!$B$12,'Mortgage Inputs'!$B$7,0)*12+600,ISNUMBER(G149),G149&gt;0.005),144,"")</f>
        <v>144</v>
      </c>
      <c r="B150" s="4">
        <f>IF(A150="","",DATE(YEAR('Mortgage Inputs'!$B$8),MONTH('Mortgage Inputs'!$B$8)+A150,DAY('Mortgage Inputs'!$B$8)))</f>
        <v>50710</v>
      </c>
      <c r="C150" s="2">
        <f t="shared" si="7"/>
        <v>429687.86626512237</v>
      </c>
      <c r="D150" s="2">
        <f t="shared" si="8"/>
        <v>121500</v>
      </c>
      <c r="E150" s="2">
        <f>IF(A150="","",MAX(0,(C150-MIN(D150,C150))*'Mortgage Inputs'!$B$15))</f>
        <v>1641.1003878617767</v>
      </c>
      <c r="F150" s="2">
        <f>IF(A150="","",IF(AND('Offset Inputs'!$B$5&gt;='Mortgage Inputs'!$B$5,'Mortgage Inputs'!$B$5&gt;0),C150,MIN(C150,MAX(0,'Mortgage Inputs'!$B$17-E150))))</f>
        <v>2420.4329799455768</v>
      </c>
      <c r="G150" s="2">
        <f t="shared" si="6"/>
        <v>427267.43328517681</v>
      </c>
      <c r="H150" s="2">
        <f>IF(A150="","",IF(AND('Offset Inputs'!$B$5&gt;='Mortgage Inputs'!$B$5,'Mortgage Inputs'!$B$5&gt;0),'Offset Inputs'!$B$5-'Mortgage Inputs'!$B$5,D150+'Offset Inputs'!$B$6))</f>
        <v>122000</v>
      </c>
    </row>
    <row r="151" spans="1:8" ht="22" customHeight="1">
      <c r="A151" s="1">
        <f>IF(AND('Mortgage Inputs'!$B$12,145&lt;=IF('Mortgage Inputs'!$B$12,'Mortgage Inputs'!$B$7,0)*12+600,ISNUMBER(G150),G150&gt;0.005),145,"")</f>
        <v>145</v>
      </c>
      <c r="B151" s="4">
        <f>IF(A151="","",DATE(YEAR('Mortgage Inputs'!$B$8),MONTH('Mortgage Inputs'!$B$8)+A151,DAY('Mortgage Inputs'!$B$8)))</f>
        <v>50740</v>
      </c>
      <c r="C151" s="2">
        <f t="shared" si="7"/>
        <v>427267.43328517681</v>
      </c>
      <c r="D151" s="2">
        <f t="shared" si="8"/>
        <v>122000</v>
      </c>
      <c r="E151" s="2">
        <f>IF(A151="","",MAX(0,(C151-MIN(D151,C151))*'Mortgage Inputs'!$B$15))</f>
        <v>1625.5490822435665</v>
      </c>
      <c r="F151" s="2">
        <f>IF(A151="","",IF(AND('Offset Inputs'!$B$5&gt;='Mortgage Inputs'!$B$5,'Mortgage Inputs'!$B$5&gt;0),C151,MIN(C151,MAX(0,'Mortgage Inputs'!$B$17-E151))))</f>
        <v>2435.9842855637871</v>
      </c>
      <c r="G151" s="2">
        <f t="shared" si="6"/>
        <v>424831.448999613</v>
      </c>
      <c r="H151" s="2">
        <f>IF(A151="","",IF(AND('Offset Inputs'!$B$5&gt;='Mortgage Inputs'!$B$5,'Mortgage Inputs'!$B$5&gt;0),'Offset Inputs'!$B$5-'Mortgage Inputs'!$B$5,D151+'Offset Inputs'!$B$6))</f>
        <v>122500</v>
      </c>
    </row>
    <row r="152" spans="1:8" ht="22" customHeight="1">
      <c r="A152" s="1">
        <f>IF(AND('Mortgage Inputs'!$B$12,146&lt;=IF('Mortgage Inputs'!$B$12,'Mortgage Inputs'!$B$7,0)*12+600,ISNUMBER(G151),G151&gt;0.005),146,"")</f>
        <v>146</v>
      </c>
      <c r="B152" s="4">
        <f>IF(A152="","",DATE(YEAR('Mortgage Inputs'!$B$8),MONTH('Mortgage Inputs'!$B$8)+A152,DAY('Mortgage Inputs'!$B$8)))</f>
        <v>50771</v>
      </c>
      <c r="C152" s="2">
        <f t="shared" si="7"/>
        <v>424831.448999613</v>
      </c>
      <c r="D152" s="2">
        <f t="shared" si="8"/>
        <v>122500</v>
      </c>
      <c r="E152" s="2">
        <f>IF(A152="","",MAX(0,(C152-MIN(D152,C152))*'Mortgage Inputs'!$B$15))</f>
        <v>1609.9149659229392</v>
      </c>
      <c r="F152" s="2">
        <f>IF(A152="","",IF(AND('Offset Inputs'!$B$5&gt;='Mortgage Inputs'!$B$5,'Mortgage Inputs'!$B$5&gt;0),C152,MIN(C152,MAX(0,'Mortgage Inputs'!$B$17-E152))))</f>
        <v>2451.6184018844142</v>
      </c>
      <c r="G152" s="2">
        <f t="shared" si="6"/>
        <v>422379.83059772861</v>
      </c>
      <c r="H152" s="2">
        <f>IF(A152="","",IF(AND('Offset Inputs'!$B$5&gt;='Mortgage Inputs'!$B$5,'Mortgage Inputs'!$B$5&gt;0),'Offset Inputs'!$B$5-'Mortgage Inputs'!$B$5,D152+'Offset Inputs'!$B$6))</f>
        <v>123000</v>
      </c>
    </row>
    <row r="153" spans="1:8" ht="22" customHeight="1">
      <c r="A153" s="1">
        <f>IF(AND('Mortgage Inputs'!$B$12,147&lt;=IF('Mortgage Inputs'!$B$12,'Mortgage Inputs'!$B$7,0)*12+600,ISNUMBER(G152),G152&gt;0.005),147,"")</f>
        <v>147</v>
      </c>
      <c r="B153" s="4">
        <f>IF(A153="","",DATE(YEAR('Mortgage Inputs'!$B$8),MONTH('Mortgage Inputs'!$B$8)+A153,DAY('Mortgage Inputs'!$B$8)))</f>
        <v>50802</v>
      </c>
      <c r="C153" s="2">
        <f t="shared" si="7"/>
        <v>422379.83059772861</v>
      </c>
      <c r="D153" s="2">
        <f t="shared" si="8"/>
        <v>123000</v>
      </c>
      <c r="E153" s="2">
        <f>IF(A153="","",MAX(0,(C153-MIN(D153,C153))*'Mortgage Inputs'!$B$15))</f>
        <v>1594.1975979329047</v>
      </c>
      <c r="F153" s="2">
        <f>IF(A153="","",IF(AND('Offset Inputs'!$B$5&gt;='Mortgage Inputs'!$B$5,'Mortgage Inputs'!$B$5&gt;0),C153,MIN(C153,MAX(0,'Mortgage Inputs'!$B$17-E153))))</f>
        <v>2467.3357698744485</v>
      </c>
      <c r="G153" s="2">
        <f t="shared" si="6"/>
        <v>419912.49482785416</v>
      </c>
      <c r="H153" s="2">
        <f>IF(A153="","",IF(AND('Offset Inputs'!$B$5&gt;='Mortgage Inputs'!$B$5,'Mortgage Inputs'!$B$5&gt;0),'Offset Inputs'!$B$5-'Mortgage Inputs'!$B$5,D153+'Offset Inputs'!$B$6))</f>
        <v>123500</v>
      </c>
    </row>
    <row r="154" spans="1:8" ht="22" customHeight="1">
      <c r="A154" s="1">
        <f>IF(AND('Mortgage Inputs'!$B$12,148&lt;=IF('Mortgage Inputs'!$B$12,'Mortgage Inputs'!$B$7,0)*12+600,ISNUMBER(G153),G153&gt;0.005),148,"")</f>
        <v>148</v>
      </c>
      <c r="B154" s="4">
        <f>IF(A154="","",DATE(YEAR('Mortgage Inputs'!$B$8),MONTH('Mortgage Inputs'!$B$8)+A154,DAY('Mortgage Inputs'!$B$8)))</f>
        <v>50830</v>
      </c>
      <c r="C154" s="2">
        <f t="shared" si="7"/>
        <v>419912.49482785416</v>
      </c>
      <c r="D154" s="2">
        <f t="shared" si="8"/>
        <v>123500</v>
      </c>
      <c r="E154" s="2">
        <f>IF(A154="","",MAX(0,(C154-MIN(D154,C154))*'Mortgage Inputs'!$B$15))</f>
        <v>1578.3965349583234</v>
      </c>
      <c r="F154" s="2">
        <f>IF(A154="","",IF(AND('Offset Inputs'!$B$5&gt;='Mortgage Inputs'!$B$5,'Mortgage Inputs'!$B$5&gt;0),C154,MIN(C154,MAX(0,'Mortgage Inputs'!$B$17-E154))))</f>
        <v>2483.1368328490298</v>
      </c>
      <c r="G154" s="2">
        <f t="shared" si="6"/>
        <v>417429.35799500515</v>
      </c>
      <c r="H154" s="2">
        <f>IF(A154="","",IF(AND('Offset Inputs'!$B$5&gt;='Mortgage Inputs'!$B$5,'Mortgage Inputs'!$B$5&gt;0),'Offset Inputs'!$B$5-'Mortgage Inputs'!$B$5,D154+'Offset Inputs'!$B$6))</f>
        <v>124000</v>
      </c>
    </row>
    <row r="155" spans="1:8" ht="22" customHeight="1">
      <c r="A155" s="1">
        <f>IF(AND('Mortgage Inputs'!$B$12,149&lt;=IF('Mortgage Inputs'!$B$12,'Mortgage Inputs'!$B$7,0)*12+600,ISNUMBER(G154),G154&gt;0.005),149,"")</f>
        <v>149</v>
      </c>
      <c r="B155" s="4">
        <f>IF(A155="","",DATE(YEAR('Mortgage Inputs'!$B$8),MONTH('Mortgage Inputs'!$B$8)+A155,DAY('Mortgage Inputs'!$B$8)))</f>
        <v>50861</v>
      </c>
      <c r="C155" s="2">
        <f t="shared" si="7"/>
        <v>417429.35799500515</v>
      </c>
      <c r="D155" s="2">
        <f t="shared" si="8"/>
        <v>124000</v>
      </c>
      <c r="E155" s="2">
        <f>IF(A155="","",MAX(0,(C155-MIN(D155,C155))*'Mortgage Inputs'!$B$15))</f>
        <v>1562.5113313234024</v>
      </c>
      <c r="F155" s="2">
        <f>IF(A155="","",IF(AND('Offset Inputs'!$B$5&gt;='Mortgage Inputs'!$B$5,'Mortgage Inputs'!$B$5&gt;0),C155,MIN(C155,MAX(0,'Mortgage Inputs'!$B$17-E155))))</f>
        <v>2499.0220364839511</v>
      </c>
      <c r="G155" s="2">
        <f t="shared" si="6"/>
        <v>414930.33595852117</v>
      </c>
      <c r="H155" s="2">
        <f>IF(A155="","",IF(AND('Offset Inputs'!$B$5&gt;='Mortgage Inputs'!$B$5,'Mortgage Inputs'!$B$5&gt;0),'Offset Inputs'!$B$5-'Mortgage Inputs'!$B$5,D155+'Offset Inputs'!$B$6))</f>
        <v>124500</v>
      </c>
    </row>
    <row r="156" spans="1:8" ht="22" customHeight="1">
      <c r="A156" s="1">
        <f>IF(AND('Mortgage Inputs'!$B$12,150&lt;=IF('Mortgage Inputs'!$B$12,'Mortgage Inputs'!$B$7,0)*12+600,ISNUMBER(G155),G155&gt;0.005),150,"")</f>
        <v>150</v>
      </c>
      <c r="B156" s="4">
        <f>IF(A156="","",DATE(YEAR('Mortgage Inputs'!$B$8),MONTH('Mortgage Inputs'!$B$8)+A156,DAY('Mortgage Inputs'!$B$8)))</f>
        <v>50891</v>
      </c>
      <c r="C156" s="2">
        <f t="shared" si="7"/>
        <v>414930.33595852117</v>
      </c>
      <c r="D156" s="2">
        <f t="shared" si="8"/>
        <v>124500</v>
      </c>
      <c r="E156" s="2">
        <f>IF(A156="","",MAX(0,(C156-MIN(D156,C156))*'Mortgage Inputs'!$B$15))</f>
        <v>1546.5415389791251</v>
      </c>
      <c r="F156" s="2">
        <f>IF(A156="","",IF(AND('Offset Inputs'!$B$5&gt;='Mortgage Inputs'!$B$5,'Mortgage Inputs'!$B$5&gt;0),C156,MIN(C156,MAX(0,'Mortgage Inputs'!$B$17-E156))))</f>
        <v>2514.9918288282283</v>
      </c>
      <c r="G156" s="2">
        <f t="shared" si="6"/>
        <v>412415.34412969294</v>
      </c>
      <c r="H156" s="2">
        <f>IF(A156="","",IF(AND('Offset Inputs'!$B$5&gt;='Mortgage Inputs'!$B$5,'Mortgage Inputs'!$B$5&gt;0),'Offset Inputs'!$B$5-'Mortgage Inputs'!$B$5,D156+'Offset Inputs'!$B$6))</f>
        <v>125000</v>
      </c>
    </row>
    <row r="157" spans="1:8" ht="22" customHeight="1">
      <c r="A157" s="1">
        <f>IF(AND('Mortgage Inputs'!$B$12,151&lt;=IF('Mortgage Inputs'!$B$12,'Mortgage Inputs'!$B$7,0)*12+600,ISNUMBER(G156),G156&gt;0.005),151,"")</f>
        <v>151</v>
      </c>
      <c r="B157" s="4">
        <f>IF(A157="","",DATE(YEAR('Mortgage Inputs'!$B$8),MONTH('Mortgage Inputs'!$B$8)+A157,DAY('Mortgage Inputs'!$B$8)))</f>
        <v>50922</v>
      </c>
      <c r="C157" s="2">
        <f t="shared" si="7"/>
        <v>412415.34412969294</v>
      </c>
      <c r="D157" s="2">
        <f t="shared" si="8"/>
        <v>125000</v>
      </c>
      <c r="E157" s="2">
        <f>IF(A157="","",MAX(0,(C157-MIN(D157,C157))*'Mortgage Inputs'!$B$15))</f>
        <v>1530.4867074906149</v>
      </c>
      <c r="F157" s="2">
        <f>IF(A157="","",IF(AND('Offset Inputs'!$B$5&gt;='Mortgage Inputs'!$B$5,'Mortgage Inputs'!$B$5&gt;0),C157,MIN(C157,MAX(0,'Mortgage Inputs'!$B$17-E157))))</f>
        <v>2531.0466603167388</v>
      </c>
      <c r="G157" s="2">
        <f t="shared" si="6"/>
        <v>409884.29746937618</v>
      </c>
      <c r="H157" s="2">
        <f>IF(A157="","",IF(AND('Offset Inputs'!$B$5&gt;='Mortgage Inputs'!$B$5,'Mortgage Inputs'!$B$5&gt;0),'Offset Inputs'!$B$5-'Mortgage Inputs'!$B$5,D157+'Offset Inputs'!$B$6))</f>
        <v>125500</v>
      </c>
    </row>
    <row r="158" spans="1:8" ht="22" customHeight="1">
      <c r="A158" s="1">
        <f>IF(AND('Mortgage Inputs'!$B$12,152&lt;=IF('Mortgage Inputs'!$B$12,'Mortgage Inputs'!$B$7,0)*12+600,ISNUMBER(G157),G157&gt;0.005),152,"")</f>
        <v>152</v>
      </c>
      <c r="B158" s="4">
        <f>IF(A158="","",DATE(YEAR('Mortgage Inputs'!$B$8),MONTH('Mortgage Inputs'!$B$8)+A158,DAY('Mortgage Inputs'!$B$8)))</f>
        <v>50952</v>
      </c>
      <c r="C158" s="2">
        <f t="shared" si="7"/>
        <v>409884.29746937618</v>
      </c>
      <c r="D158" s="2">
        <f t="shared" si="8"/>
        <v>125500</v>
      </c>
      <c r="E158" s="2">
        <f>IF(A158="","",MAX(0,(C158-MIN(D158,C158))*'Mortgage Inputs'!$B$15))</f>
        <v>1514.3463840244281</v>
      </c>
      <c r="F158" s="2">
        <f>IF(A158="","",IF(AND('Offset Inputs'!$B$5&gt;='Mortgage Inputs'!$B$5,'Mortgage Inputs'!$B$5&gt;0),C158,MIN(C158,MAX(0,'Mortgage Inputs'!$B$17-E158))))</f>
        <v>2547.1869837829254</v>
      </c>
      <c r="G158" s="2">
        <f t="shared" si="6"/>
        <v>407337.11048559326</v>
      </c>
      <c r="H158" s="2">
        <f>IF(A158="","",IF(AND('Offset Inputs'!$B$5&gt;='Mortgage Inputs'!$B$5,'Mortgage Inputs'!$B$5&gt;0),'Offset Inputs'!$B$5-'Mortgage Inputs'!$B$5,D158+'Offset Inputs'!$B$6))</f>
        <v>126000</v>
      </c>
    </row>
    <row r="159" spans="1:8" ht="22" customHeight="1">
      <c r="A159" s="1">
        <f>IF(AND('Mortgage Inputs'!$B$12,153&lt;=IF('Mortgage Inputs'!$B$12,'Mortgage Inputs'!$B$7,0)*12+600,ISNUMBER(G158),G158&gt;0.005),153,"")</f>
        <v>153</v>
      </c>
      <c r="B159" s="4">
        <f>IF(A159="","",DATE(YEAR('Mortgage Inputs'!$B$8),MONTH('Mortgage Inputs'!$B$8)+A159,DAY('Mortgage Inputs'!$B$8)))</f>
        <v>50983</v>
      </c>
      <c r="C159" s="2">
        <f t="shared" si="7"/>
        <v>407337.11048559326</v>
      </c>
      <c r="D159" s="2">
        <f t="shared" si="8"/>
        <v>126000</v>
      </c>
      <c r="E159" s="2">
        <f>IF(A159="","",MAX(0,(C159-MIN(D159,C159))*'Mortgage Inputs'!$B$15))</f>
        <v>1498.120113335784</v>
      </c>
      <c r="F159" s="2">
        <f>IF(A159="","",IF(AND('Offset Inputs'!$B$5&gt;='Mortgage Inputs'!$B$5,'Mortgage Inputs'!$B$5&gt;0),C159,MIN(C159,MAX(0,'Mortgage Inputs'!$B$17-E159))))</f>
        <v>2563.4132544715694</v>
      </c>
      <c r="G159" s="2">
        <f t="shared" si="6"/>
        <v>404773.69723112171</v>
      </c>
      <c r="H159" s="2">
        <f>IF(A159="","",IF(AND('Offset Inputs'!$B$5&gt;='Mortgage Inputs'!$B$5,'Mortgage Inputs'!$B$5&gt;0),'Offset Inputs'!$B$5-'Mortgage Inputs'!$B$5,D159+'Offset Inputs'!$B$6))</f>
        <v>126500</v>
      </c>
    </row>
    <row r="160" spans="1:8" ht="22" customHeight="1">
      <c r="A160" s="1">
        <f>IF(AND('Mortgage Inputs'!$B$12,154&lt;=IF('Mortgage Inputs'!$B$12,'Mortgage Inputs'!$B$7,0)*12+600,ISNUMBER(G159),G159&gt;0.005),154,"")</f>
        <v>154</v>
      </c>
      <c r="B160" s="4">
        <f>IF(A160="","",DATE(YEAR('Mortgage Inputs'!$B$8),MONTH('Mortgage Inputs'!$B$8)+A160,DAY('Mortgage Inputs'!$B$8)))</f>
        <v>51014</v>
      </c>
      <c r="C160" s="2">
        <f t="shared" si="7"/>
        <v>404773.69723112171</v>
      </c>
      <c r="D160" s="2">
        <f t="shared" si="8"/>
        <v>126500</v>
      </c>
      <c r="E160" s="2">
        <f>IF(A160="","",MAX(0,(C160-MIN(D160,C160))*'Mortgage Inputs'!$B$15))</f>
        <v>1481.8074377557232</v>
      </c>
      <c r="F160" s="2">
        <f>IF(A160="","",IF(AND('Offset Inputs'!$B$5&gt;='Mortgage Inputs'!$B$5,'Mortgage Inputs'!$B$5&gt;0),C160,MIN(C160,MAX(0,'Mortgage Inputs'!$B$17-E160))))</f>
        <v>2579.7259300516303</v>
      </c>
      <c r="G160" s="2">
        <f t="shared" si="6"/>
        <v>402193.97130107007</v>
      </c>
      <c r="H160" s="2">
        <f>IF(A160="","",IF(AND('Offset Inputs'!$B$5&gt;='Mortgage Inputs'!$B$5,'Mortgage Inputs'!$B$5&gt;0),'Offset Inputs'!$B$5-'Mortgage Inputs'!$B$5,D160+'Offset Inputs'!$B$6))</f>
        <v>127000</v>
      </c>
    </row>
    <row r="161" spans="1:8" ht="22" customHeight="1">
      <c r="A161" s="1">
        <f>IF(AND('Mortgage Inputs'!$B$12,155&lt;=IF('Mortgage Inputs'!$B$12,'Mortgage Inputs'!$B$7,0)*12+600,ISNUMBER(G160),G160&gt;0.005),155,"")</f>
        <v>155</v>
      </c>
      <c r="B161" s="4">
        <f>IF(A161="","",DATE(YEAR('Mortgage Inputs'!$B$8),MONTH('Mortgage Inputs'!$B$8)+A161,DAY('Mortgage Inputs'!$B$8)))</f>
        <v>51044</v>
      </c>
      <c r="C161" s="2">
        <f t="shared" si="7"/>
        <v>402193.97130107007</v>
      </c>
      <c r="D161" s="2">
        <f t="shared" si="8"/>
        <v>127000</v>
      </c>
      <c r="E161" s="2">
        <f>IF(A161="","",MAX(0,(C161-MIN(D161,C161))*'Mortgage Inputs'!$B$15))</f>
        <v>1465.407897178198</v>
      </c>
      <c r="F161" s="2">
        <f>IF(A161="","",IF(AND('Offset Inputs'!$B$5&gt;='Mortgage Inputs'!$B$5,'Mortgage Inputs'!$B$5&gt;0),C161,MIN(C161,MAX(0,'Mortgage Inputs'!$B$17-E161))))</f>
        <v>2596.1254706291556</v>
      </c>
      <c r="G161" s="2">
        <f t="shared" si="6"/>
        <v>399597.84583044093</v>
      </c>
      <c r="H161" s="2">
        <f>IF(A161="","",IF(AND('Offset Inputs'!$B$5&gt;='Mortgage Inputs'!$B$5,'Mortgage Inputs'!$B$5&gt;0),'Offset Inputs'!$B$5-'Mortgage Inputs'!$B$5,D161+'Offset Inputs'!$B$6))</f>
        <v>127500</v>
      </c>
    </row>
    <row r="162" spans="1:8" ht="22" customHeight="1">
      <c r="A162" s="1">
        <f>IF(AND('Mortgage Inputs'!$B$12,156&lt;=IF('Mortgage Inputs'!$B$12,'Mortgage Inputs'!$B$7,0)*12+600,ISNUMBER(G161),G161&gt;0.005),156,"")</f>
        <v>156</v>
      </c>
      <c r="B162" s="4">
        <f>IF(A162="","",DATE(YEAR('Mortgage Inputs'!$B$8),MONTH('Mortgage Inputs'!$B$8)+A162,DAY('Mortgage Inputs'!$B$8)))</f>
        <v>51075</v>
      </c>
      <c r="C162" s="2">
        <f t="shared" si="7"/>
        <v>399597.84583044093</v>
      </c>
      <c r="D162" s="2">
        <f t="shared" si="8"/>
        <v>127500</v>
      </c>
      <c r="E162" s="2">
        <f>IF(A162="","",MAX(0,(C162-MIN(D162,C162))*'Mortgage Inputs'!$B$15))</f>
        <v>1448.9210290470978</v>
      </c>
      <c r="F162" s="2">
        <f>IF(A162="","",IF(AND('Offset Inputs'!$B$5&gt;='Mortgage Inputs'!$B$5,'Mortgage Inputs'!$B$5&gt;0),C162,MIN(C162,MAX(0,'Mortgage Inputs'!$B$17-E162))))</f>
        <v>2612.6123387602556</v>
      </c>
      <c r="G162" s="2">
        <f t="shared" si="6"/>
        <v>396985.2334916807</v>
      </c>
      <c r="H162" s="2">
        <f>IF(A162="","",IF(AND('Offset Inputs'!$B$5&gt;='Mortgage Inputs'!$B$5,'Mortgage Inputs'!$B$5&gt;0),'Offset Inputs'!$B$5-'Mortgage Inputs'!$B$5,D162+'Offset Inputs'!$B$6))</f>
        <v>128000</v>
      </c>
    </row>
    <row r="163" spans="1:8" ht="22" customHeight="1">
      <c r="A163" s="1">
        <f>IF(AND('Mortgage Inputs'!$B$12,157&lt;=IF('Mortgage Inputs'!$B$12,'Mortgage Inputs'!$B$7,0)*12+600,ISNUMBER(G162),G162&gt;0.005),157,"")</f>
        <v>157</v>
      </c>
      <c r="B163" s="4">
        <f>IF(A163="","",DATE(YEAR('Mortgage Inputs'!$B$8),MONTH('Mortgage Inputs'!$B$8)+A163,DAY('Mortgage Inputs'!$B$8)))</f>
        <v>51105</v>
      </c>
      <c r="C163" s="2">
        <f t="shared" si="7"/>
        <v>396985.2334916807</v>
      </c>
      <c r="D163" s="2">
        <f t="shared" si="8"/>
        <v>128000</v>
      </c>
      <c r="E163" s="2">
        <f>IF(A163="","",MAX(0,(C163-MIN(D163,C163))*'Mortgage Inputs'!$B$15))</f>
        <v>1432.3463683431996</v>
      </c>
      <c r="F163" s="2">
        <f>IF(A163="","",IF(AND('Offset Inputs'!$B$5&gt;='Mortgage Inputs'!$B$5,'Mortgage Inputs'!$B$5&gt;0),C163,MIN(C163,MAX(0,'Mortgage Inputs'!$B$17-E163))))</f>
        <v>2629.1869994641538</v>
      </c>
      <c r="G163" s="2">
        <f t="shared" si="6"/>
        <v>394356.04649221653</v>
      </c>
      <c r="H163" s="2">
        <f>IF(A163="","",IF(AND('Offset Inputs'!$B$5&gt;='Mortgage Inputs'!$B$5,'Mortgage Inputs'!$B$5&gt;0),'Offset Inputs'!$B$5-'Mortgage Inputs'!$B$5,D163+'Offset Inputs'!$B$6))</f>
        <v>128500</v>
      </c>
    </row>
    <row r="164" spans="1:8" ht="22" customHeight="1">
      <c r="A164" s="1">
        <f>IF(AND('Mortgage Inputs'!$B$12,158&lt;=IF('Mortgage Inputs'!$B$12,'Mortgage Inputs'!$B$7,0)*12+600,ISNUMBER(G163),G163&gt;0.005),158,"")</f>
        <v>158</v>
      </c>
      <c r="B164" s="4">
        <f>IF(A164="","",DATE(YEAR('Mortgage Inputs'!$B$8),MONTH('Mortgage Inputs'!$B$8)+A164,DAY('Mortgage Inputs'!$B$8)))</f>
        <v>51136</v>
      </c>
      <c r="C164" s="2">
        <f t="shared" si="7"/>
        <v>394356.04649221653</v>
      </c>
      <c r="D164" s="2">
        <f t="shared" si="8"/>
        <v>128500</v>
      </c>
      <c r="E164" s="2">
        <f>IF(A164="","",MAX(0,(C164-MIN(D164,C164))*'Mortgage Inputs'!$B$15))</f>
        <v>1415.683447571053</v>
      </c>
      <c r="F164" s="2">
        <f>IF(A164="","",IF(AND('Offset Inputs'!$B$5&gt;='Mortgage Inputs'!$B$5,'Mortgage Inputs'!$B$5&gt;0),C164,MIN(C164,MAX(0,'Mortgage Inputs'!$B$17-E164))))</f>
        <v>2645.8499202363005</v>
      </c>
      <c r="G164" s="2">
        <f t="shared" si="6"/>
        <v>391710.19657198025</v>
      </c>
      <c r="H164" s="2">
        <f>IF(A164="","",IF(AND('Offset Inputs'!$B$5&gt;='Mortgage Inputs'!$B$5,'Mortgage Inputs'!$B$5&gt;0),'Offset Inputs'!$B$5-'Mortgage Inputs'!$B$5,D164+'Offset Inputs'!$B$6))</f>
        <v>129000</v>
      </c>
    </row>
    <row r="165" spans="1:8" ht="22" customHeight="1">
      <c r="A165" s="1">
        <f>IF(AND('Mortgage Inputs'!$B$12,159&lt;=IF('Mortgage Inputs'!$B$12,'Mortgage Inputs'!$B$7,0)*12+600,ISNUMBER(G164),G164&gt;0.005),159,"")</f>
        <v>159</v>
      </c>
      <c r="B165" s="4">
        <f>IF(A165="","",DATE(YEAR('Mortgage Inputs'!$B$8),MONTH('Mortgage Inputs'!$B$8)+A165,DAY('Mortgage Inputs'!$B$8)))</f>
        <v>51167</v>
      </c>
      <c r="C165" s="2">
        <f t="shared" si="7"/>
        <v>391710.19657198025</v>
      </c>
      <c r="D165" s="2">
        <f t="shared" si="8"/>
        <v>129000</v>
      </c>
      <c r="E165" s="2">
        <f>IF(A165="","",MAX(0,(C165-MIN(D165,C165))*'Mortgage Inputs'!$B$15))</f>
        <v>1398.9317967457948</v>
      </c>
      <c r="F165" s="2">
        <f>IF(A165="","",IF(AND('Offset Inputs'!$B$5&gt;='Mortgage Inputs'!$B$5,'Mortgage Inputs'!$B$5&gt;0),C165,MIN(C165,MAX(0,'Mortgage Inputs'!$B$17-E165))))</f>
        <v>2662.6015710615584</v>
      </c>
      <c r="G165" s="2">
        <f t="shared" si="6"/>
        <v>389047.59500091872</v>
      </c>
      <c r="H165" s="2">
        <f>IF(A165="","",IF(AND('Offset Inputs'!$B$5&gt;='Mortgage Inputs'!$B$5,'Mortgage Inputs'!$B$5&gt;0),'Offset Inputs'!$B$5-'Mortgage Inputs'!$B$5,D165+'Offset Inputs'!$B$6))</f>
        <v>129500</v>
      </c>
    </row>
    <row r="166" spans="1:8" ht="22" customHeight="1">
      <c r="A166" s="1">
        <f>IF(AND('Mortgage Inputs'!$B$12,160&lt;=IF('Mortgage Inputs'!$B$12,'Mortgage Inputs'!$B$7,0)*12+600,ISNUMBER(G165),G165&gt;0.005),160,"")</f>
        <v>160</v>
      </c>
      <c r="B166" s="4">
        <f>IF(A166="","",DATE(YEAR('Mortgage Inputs'!$B$8),MONTH('Mortgage Inputs'!$B$8)+A166,DAY('Mortgage Inputs'!$B$8)))</f>
        <v>51196</v>
      </c>
      <c r="C166" s="2">
        <f t="shared" si="7"/>
        <v>389047.59500091872</v>
      </c>
      <c r="D166" s="2">
        <f t="shared" si="8"/>
        <v>129500</v>
      </c>
      <c r="E166" s="2">
        <f>IF(A166="","",MAX(0,(C166-MIN(D166,C166))*'Mortgage Inputs'!$B$15))</f>
        <v>1382.0909433798922</v>
      </c>
      <c r="F166" s="2">
        <f>IF(A166="","",IF(AND('Offset Inputs'!$B$5&gt;='Mortgage Inputs'!$B$5,'Mortgage Inputs'!$B$5&gt;0),C166,MIN(C166,MAX(0,'Mortgage Inputs'!$B$17-E166))))</f>
        <v>2679.4424244274614</v>
      </c>
      <c r="G166" s="2">
        <f t="shared" si="6"/>
        <v>386368.15257649124</v>
      </c>
      <c r="H166" s="2">
        <f>IF(A166="","",IF(AND('Offset Inputs'!$B$5&gt;='Mortgage Inputs'!$B$5,'Mortgage Inputs'!$B$5&gt;0),'Offset Inputs'!$B$5-'Mortgage Inputs'!$B$5,D166+'Offset Inputs'!$B$6))</f>
        <v>130000</v>
      </c>
    </row>
    <row r="167" spans="1:8" ht="22" customHeight="1">
      <c r="A167" s="1">
        <f>IF(AND('Mortgage Inputs'!$B$12,161&lt;=IF('Mortgage Inputs'!$B$12,'Mortgage Inputs'!$B$7,0)*12+600,ISNUMBER(G166),G166&gt;0.005),161,"")</f>
        <v>161</v>
      </c>
      <c r="B167" s="4">
        <f>IF(A167="","",DATE(YEAR('Mortgage Inputs'!$B$8),MONTH('Mortgage Inputs'!$B$8)+A167,DAY('Mortgage Inputs'!$B$8)))</f>
        <v>51227</v>
      </c>
      <c r="C167" s="2">
        <f t="shared" si="7"/>
        <v>386368.15257649124</v>
      </c>
      <c r="D167" s="2">
        <f t="shared" si="8"/>
        <v>130000</v>
      </c>
      <c r="E167" s="2">
        <f>IF(A167="","",MAX(0,(C167-MIN(D167,C167))*'Mortgage Inputs'!$B$15))</f>
        <v>1365.1604124698158</v>
      </c>
      <c r="F167" s="2">
        <f>IF(A167="","",IF(AND('Offset Inputs'!$B$5&gt;='Mortgage Inputs'!$B$5,'Mortgage Inputs'!$B$5&gt;0),C167,MIN(C167,MAX(0,'Mortgage Inputs'!$B$17-E167))))</f>
        <v>2696.3729553375379</v>
      </c>
      <c r="G167" s="2">
        <f t="shared" si="6"/>
        <v>383671.77962115372</v>
      </c>
      <c r="H167" s="2">
        <f>IF(A167="","",IF(AND('Offset Inputs'!$B$5&gt;='Mortgage Inputs'!$B$5,'Mortgage Inputs'!$B$5&gt;0),'Offset Inputs'!$B$5-'Mortgage Inputs'!$B$5,D167+'Offset Inputs'!$B$6))</f>
        <v>130500</v>
      </c>
    </row>
    <row r="168" spans="1:8" ht="22" customHeight="1">
      <c r="A168" s="1">
        <f>IF(AND('Mortgage Inputs'!$B$12,162&lt;=IF('Mortgage Inputs'!$B$12,'Mortgage Inputs'!$B$7,0)*12+600,ISNUMBER(G167),G167&gt;0.005),162,"")</f>
        <v>162</v>
      </c>
      <c r="B168" s="4">
        <f>IF(A168="","",DATE(YEAR('Mortgage Inputs'!$B$8),MONTH('Mortgage Inputs'!$B$8)+A168,DAY('Mortgage Inputs'!$B$8)))</f>
        <v>51257</v>
      </c>
      <c r="C168" s="2">
        <f t="shared" si="7"/>
        <v>383671.77962115372</v>
      </c>
      <c r="D168" s="2">
        <f t="shared" si="8"/>
        <v>130500</v>
      </c>
      <c r="E168" s="2">
        <f>IF(A168="","",MAX(0,(C168-MIN(D168,C168))*'Mortgage Inputs'!$B$15))</f>
        <v>1348.1397264826435</v>
      </c>
      <c r="F168" s="2">
        <f>IF(A168="","",IF(AND('Offset Inputs'!$B$5&gt;='Mortgage Inputs'!$B$5,'Mortgage Inputs'!$B$5&gt;0),C168,MIN(C168,MAX(0,'Mortgage Inputs'!$B$17-E168))))</f>
        <v>2713.3936413247102</v>
      </c>
      <c r="G168" s="2">
        <f t="shared" si="6"/>
        <v>380958.38597982901</v>
      </c>
      <c r="H168" s="2">
        <f>IF(A168="","",IF(AND('Offset Inputs'!$B$5&gt;='Mortgage Inputs'!$B$5,'Mortgage Inputs'!$B$5&gt;0),'Offset Inputs'!$B$5-'Mortgage Inputs'!$B$5,D168+'Offset Inputs'!$B$6))</f>
        <v>131000</v>
      </c>
    </row>
    <row r="169" spans="1:8" ht="22" customHeight="1">
      <c r="A169" s="1">
        <f>IF(AND('Mortgage Inputs'!$B$12,163&lt;=IF('Mortgage Inputs'!$B$12,'Mortgage Inputs'!$B$7,0)*12+600,ISNUMBER(G168),G168&gt;0.005),163,"")</f>
        <v>163</v>
      </c>
      <c r="B169" s="4">
        <f>IF(A169="","",DATE(YEAR('Mortgage Inputs'!$B$8),MONTH('Mortgage Inputs'!$B$8)+A169,DAY('Mortgage Inputs'!$B$8)))</f>
        <v>51288</v>
      </c>
      <c r="C169" s="2">
        <f t="shared" si="7"/>
        <v>380958.38597982901</v>
      </c>
      <c r="D169" s="2">
        <f t="shared" si="8"/>
        <v>131000</v>
      </c>
      <c r="E169" s="2">
        <f>IF(A169="","",MAX(0,(C169-MIN(D169,C169))*'Mortgage Inputs'!$B$15))</f>
        <v>1331.0284053425894</v>
      </c>
      <c r="F169" s="2">
        <f>IF(A169="","",IF(AND('Offset Inputs'!$B$5&gt;='Mortgage Inputs'!$B$5,'Mortgage Inputs'!$B$5&gt;0),C169,MIN(C169,MAX(0,'Mortgage Inputs'!$B$17-E169))))</f>
        <v>2730.504962464764</v>
      </c>
      <c r="G169" s="2">
        <f t="shared" si="6"/>
        <v>378227.88101736427</v>
      </c>
      <c r="H169" s="2">
        <f>IF(A169="","",IF(AND('Offset Inputs'!$B$5&gt;='Mortgage Inputs'!$B$5,'Mortgage Inputs'!$B$5&gt;0),'Offset Inputs'!$B$5-'Mortgage Inputs'!$B$5,D169+'Offset Inputs'!$B$6))</f>
        <v>131500</v>
      </c>
    </row>
    <row r="170" spans="1:8" ht="22" customHeight="1">
      <c r="A170" s="1">
        <f>IF(AND('Mortgage Inputs'!$B$12,164&lt;=IF('Mortgage Inputs'!$B$12,'Mortgage Inputs'!$B$7,0)*12+600,ISNUMBER(G169),G169&gt;0.005),164,"")</f>
        <v>164</v>
      </c>
      <c r="B170" s="4">
        <f>IF(A170="","",DATE(YEAR('Mortgage Inputs'!$B$8),MONTH('Mortgage Inputs'!$B$8)+A170,DAY('Mortgage Inputs'!$B$8)))</f>
        <v>51318</v>
      </c>
      <c r="C170" s="2">
        <f t="shared" si="7"/>
        <v>378227.88101736427</v>
      </c>
      <c r="D170" s="2">
        <f t="shared" si="8"/>
        <v>131500</v>
      </c>
      <c r="E170" s="2">
        <f>IF(A170="","",MAX(0,(C170-MIN(D170,C170))*'Mortgage Inputs'!$B$15))</f>
        <v>1313.8259664174648</v>
      </c>
      <c r="F170" s="2">
        <f>IF(A170="","",IF(AND('Offset Inputs'!$B$5&gt;='Mortgage Inputs'!$B$5,'Mortgage Inputs'!$B$5&gt;0),C170,MIN(C170,MAX(0,'Mortgage Inputs'!$B$17-E170))))</f>
        <v>2747.7074013898887</v>
      </c>
      <c r="G170" s="2">
        <f t="shared" si="6"/>
        <v>375480.17361597437</v>
      </c>
      <c r="H170" s="2">
        <f>IF(A170="","",IF(AND('Offset Inputs'!$B$5&gt;='Mortgage Inputs'!$B$5,'Mortgage Inputs'!$B$5&gt;0),'Offset Inputs'!$B$5-'Mortgage Inputs'!$B$5,D170+'Offset Inputs'!$B$6))</f>
        <v>132000</v>
      </c>
    </row>
    <row r="171" spans="1:8" ht="22" customHeight="1">
      <c r="A171" s="1">
        <f>IF(AND('Mortgage Inputs'!$B$12,165&lt;=IF('Mortgage Inputs'!$B$12,'Mortgage Inputs'!$B$7,0)*12+600,ISNUMBER(G170),G170&gt;0.005),165,"")</f>
        <v>165</v>
      </c>
      <c r="B171" s="4">
        <f>IF(A171="","",DATE(YEAR('Mortgage Inputs'!$B$8),MONTH('Mortgage Inputs'!$B$8)+A171,DAY('Mortgage Inputs'!$B$8)))</f>
        <v>51349</v>
      </c>
      <c r="C171" s="2">
        <f t="shared" si="7"/>
        <v>375480.17361597437</v>
      </c>
      <c r="D171" s="2">
        <f t="shared" si="8"/>
        <v>132000</v>
      </c>
      <c r="E171" s="2">
        <f>IF(A171="","",MAX(0,(C171-MIN(D171,C171))*'Mortgage Inputs'!$B$15))</f>
        <v>1296.5319245050634</v>
      </c>
      <c r="F171" s="2">
        <f>IF(A171="","",IF(AND('Offset Inputs'!$B$5&gt;='Mortgage Inputs'!$B$5,'Mortgage Inputs'!$B$5&gt;0),C171,MIN(C171,MAX(0,'Mortgage Inputs'!$B$17-E171))))</f>
        <v>2765.0014433022898</v>
      </c>
      <c r="G171" s="2">
        <f t="shared" si="6"/>
        <v>372715.17217267206</v>
      </c>
      <c r="H171" s="2">
        <f>IF(A171="","",IF(AND('Offset Inputs'!$B$5&gt;='Mortgage Inputs'!$B$5,'Mortgage Inputs'!$B$5&gt;0),'Offset Inputs'!$B$5-'Mortgage Inputs'!$B$5,D171+'Offset Inputs'!$B$6))</f>
        <v>132500</v>
      </c>
    </row>
    <row r="172" spans="1:8" ht="22" customHeight="1">
      <c r="A172" s="1">
        <f>IF(AND('Mortgage Inputs'!$B$12,166&lt;=IF('Mortgage Inputs'!$B$12,'Mortgage Inputs'!$B$7,0)*12+600,ISNUMBER(G171),G171&gt;0.005),166,"")</f>
        <v>166</v>
      </c>
      <c r="B172" s="4">
        <f>IF(A172="","",DATE(YEAR('Mortgage Inputs'!$B$8),MONTH('Mortgage Inputs'!$B$8)+A172,DAY('Mortgage Inputs'!$B$8)))</f>
        <v>51380</v>
      </c>
      <c r="C172" s="2">
        <f t="shared" si="7"/>
        <v>372715.17217267206</v>
      </c>
      <c r="D172" s="2">
        <f t="shared" si="8"/>
        <v>132500</v>
      </c>
      <c r="E172" s="2">
        <f>IF(A172="","",MAX(0,(C172-MIN(D172,C172))*'Mortgage Inputs'!$B$15))</f>
        <v>1279.1457918194787</v>
      </c>
      <c r="F172" s="2">
        <f>IF(A172="","",IF(AND('Offset Inputs'!$B$5&gt;='Mortgage Inputs'!$B$5,'Mortgage Inputs'!$B$5&gt;0),C172,MIN(C172,MAX(0,'Mortgage Inputs'!$B$17-E172))))</f>
        <v>2782.3875759878747</v>
      </c>
      <c r="G172" s="2">
        <f t="shared" si="6"/>
        <v>369932.78459668416</v>
      </c>
      <c r="H172" s="2">
        <f>IF(A172="","",IF(AND('Offset Inputs'!$B$5&gt;='Mortgage Inputs'!$B$5,'Mortgage Inputs'!$B$5&gt;0),'Offset Inputs'!$B$5-'Mortgage Inputs'!$B$5,D172+'Offset Inputs'!$B$6))</f>
        <v>133000</v>
      </c>
    </row>
    <row r="173" spans="1:8" ht="22" customHeight="1">
      <c r="A173" s="1">
        <f>IF(AND('Mortgage Inputs'!$B$12,167&lt;=IF('Mortgage Inputs'!$B$12,'Mortgage Inputs'!$B$7,0)*12+600,ISNUMBER(G172),G172&gt;0.005),167,"")</f>
        <v>167</v>
      </c>
      <c r="B173" s="4">
        <f>IF(A173="","",DATE(YEAR('Mortgage Inputs'!$B$8),MONTH('Mortgage Inputs'!$B$8)+A173,DAY('Mortgage Inputs'!$B$8)))</f>
        <v>51410</v>
      </c>
      <c r="C173" s="2">
        <f t="shared" si="7"/>
        <v>369932.78459668416</v>
      </c>
      <c r="D173" s="2">
        <f t="shared" si="8"/>
        <v>133000</v>
      </c>
      <c r="E173" s="2">
        <f>IF(A173="","",MAX(0,(C173-MIN(D173,C173))*'Mortgage Inputs'!$B$15))</f>
        <v>1261.6670779773431</v>
      </c>
      <c r="F173" s="2">
        <f>IF(A173="","",IF(AND('Offset Inputs'!$B$5&gt;='Mortgage Inputs'!$B$5,'Mortgage Inputs'!$B$5&gt;0),C173,MIN(C173,MAX(0,'Mortgage Inputs'!$B$17-E173))))</f>
        <v>2799.8662898300104</v>
      </c>
      <c r="G173" s="2">
        <f t="shared" si="6"/>
        <v>367132.91830685415</v>
      </c>
      <c r="H173" s="2">
        <f>IF(A173="","",IF(AND('Offset Inputs'!$B$5&gt;='Mortgage Inputs'!$B$5,'Mortgage Inputs'!$B$5&gt;0),'Offset Inputs'!$B$5-'Mortgage Inputs'!$B$5,D173+'Offset Inputs'!$B$6))</f>
        <v>133500</v>
      </c>
    </row>
    <row r="174" spans="1:8" ht="22" customHeight="1">
      <c r="A174" s="1">
        <f>IF(AND('Mortgage Inputs'!$B$12,168&lt;=IF('Mortgage Inputs'!$B$12,'Mortgage Inputs'!$B$7,0)*12+600,ISNUMBER(G173),G173&gt;0.005),168,"")</f>
        <v>168</v>
      </c>
      <c r="B174" s="4">
        <f>IF(A174="","",DATE(YEAR('Mortgage Inputs'!$B$8),MONTH('Mortgage Inputs'!$B$8)+A174,DAY('Mortgage Inputs'!$B$8)))</f>
        <v>51441</v>
      </c>
      <c r="C174" s="2">
        <f t="shared" si="7"/>
        <v>367132.91830685415</v>
      </c>
      <c r="D174" s="2">
        <f t="shared" si="8"/>
        <v>133500</v>
      </c>
      <c r="E174" s="2">
        <f>IF(A174="","",MAX(0,(C174-MIN(D174,C174))*'Mortgage Inputs'!$B$15))</f>
        <v>1244.0952899839983</v>
      </c>
      <c r="F174" s="2">
        <f>IF(A174="","",IF(AND('Offset Inputs'!$B$5&gt;='Mortgage Inputs'!$B$5,'Mortgage Inputs'!$B$5&gt;0),C174,MIN(C174,MAX(0,'Mortgage Inputs'!$B$17-E174))))</f>
        <v>2817.4380778233553</v>
      </c>
      <c r="G174" s="2">
        <f t="shared" si="6"/>
        <v>364315.48022903077</v>
      </c>
      <c r="H174" s="2">
        <f>IF(A174="","",IF(AND('Offset Inputs'!$B$5&gt;='Mortgage Inputs'!$B$5,'Mortgage Inputs'!$B$5&gt;0),'Offset Inputs'!$B$5-'Mortgage Inputs'!$B$5,D174+'Offset Inputs'!$B$6))</f>
        <v>134000</v>
      </c>
    </row>
    <row r="175" spans="1:8" ht="22" customHeight="1">
      <c r="A175" s="1">
        <f>IF(AND('Mortgage Inputs'!$B$12,169&lt;=IF('Mortgage Inputs'!$B$12,'Mortgage Inputs'!$B$7,0)*12+600,ISNUMBER(G174),G174&gt;0.005),169,"")</f>
        <v>169</v>
      </c>
      <c r="B175" s="4">
        <f>IF(A175="","",DATE(YEAR('Mortgage Inputs'!$B$8),MONTH('Mortgage Inputs'!$B$8)+A175,DAY('Mortgage Inputs'!$B$8)))</f>
        <v>51471</v>
      </c>
      <c r="C175" s="2">
        <f t="shared" si="7"/>
        <v>364315.48022903077</v>
      </c>
      <c r="D175" s="2">
        <f t="shared" si="8"/>
        <v>134000</v>
      </c>
      <c r="E175" s="2">
        <f>IF(A175="","",MAX(0,(C175-MIN(D175,C175))*'Mortgage Inputs'!$B$15))</f>
        <v>1226.4299322195889</v>
      </c>
      <c r="F175" s="2">
        <f>IF(A175="","",IF(AND('Offset Inputs'!$B$5&gt;='Mortgage Inputs'!$B$5,'Mortgage Inputs'!$B$5&gt;0),C175,MIN(C175,MAX(0,'Mortgage Inputs'!$B$17-E175))))</f>
        <v>2835.1034355877646</v>
      </c>
      <c r="G175" s="2">
        <f t="shared" si="6"/>
        <v>361480.37679344299</v>
      </c>
      <c r="H175" s="2">
        <f>IF(A175="","",IF(AND('Offset Inputs'!$B$5&gt;='Mortgage Inputs'!$B$5,'Mortgage Inputs'!$B$5&gt;0),'Offset Inputs'!$B$5-'Mortgage Inputs'!$B$5,D175+'Offset Inputs'!$B$6))</f>
        <v>134500</v>
      </c>
    </row>
    <row r="176" spans="1:8" ht="22" customHeight="1">
      <c r="A176" s="1">
        <f>IF(AND('Mortgage Inputs'!$B$12,170&lt;=IF('Mortgage Inputs'!$B$12,'Mortgage Inputs'!$B$7,0)*12+600,ISNUMBER(G175),G175&gt;0.005),170,"")</f>
        <v>170</v>
      </c>
      <c r="B176" s="4">
        <f>IF(A176="","",DATE(YEAR('Mortgage Inputs'!$B$8),MONTH('Mortgage Inputs'!$B$8)+A176,DAY('Mortgage Inputs'!$B$8)))</f>
        <v>51502</v>
      </c>
      <c r="C176" s="2">
        <f t="shared" si="7"/>
        <v>361480.37679344299</v>
      </c>
      <c r="D176" s="2">
        <f t="shared" si="8"/>
        <v>134500</v>
      </c>
      <c r="E176" s="2">
        <f>IF(A176="","",MAX(0,(C176-MIN(D176,C176))*'Mortgage Inputs'!$B$15))</f>
        <v>1208.6705064250839</v>
      </c>
      <c r="F176" s="2">
        <f>IF(A176="","",IF(AND('Offset Inputs'!$B$5&gt;='Mortgage Inputs'!$B$5,'Mortgage Inputs'!$B$5&gt;0),C176,MIN(C176,MAX(0,'Mortgage Inputs'!$B$17-E176))))</f>
        <v>2852.8628613822693</v>
      </c>
      <c r="G176" s="2">
        <f t="shared" si="6"/>
        <v>358627.51393206074</v>
      </c>
      <c r="H176" s="2">
        <f>IF(A176="","",IF(AND('Offset Inputs'!$B$5&gt;='Mortgage Inputs'!$B$5,'Mortgage Inputs'!$B$5&gt;0),'Offset Inputs'!$B$5-'Mortgage Inputs'!$B$5,D176+'Offset Inputs'!$B$6))</f>
        <v>135000</v>
      </c>
    </row>
    <row r="177" spans="1:8" ht="22" customHeight="1">
      <c r="A177" s="1">
        <f>IF(AND('Mortgage Inputs'!$B$12,171&lt;=IF('Mortgage Inputs'!$B$12,'Mortgage Inputs'!$B$7,0)*12+600,ISNUMBER(G176),G176&gt;0.005),171,"")</f>
        <v>171</v>
      </c>
      <c r="B177" s="4">
        <f>IF(A177="","",DATE(YEAR('Mortgage Inputs'!$B$8),MONTH('Mortgage Inputs'!$B$8)+A177,DAY('Mortgage Inputs'!$B$8)))</f>
        <v>51533</v>
      </c>
      <c r="C177" s="2">
        <f t="shared" si="7"/>
        <v>358627.51393206074</v>
      </c>
      <c r="D177" s="2">
        <f t="shared" si="8"/>
        <v>135000</v>
      </c>
      <c r="E177" s="2">
        <f>IF(A177="","",MAX(0,(C177-MIN(D177,C177))*'Mortgage Inputs'!$B$15))</f>
        <v>1190.8165116882235</v>
      </c>
      <c r="F177" s="2">
        <f>IF(A177="","",IF(AND('Offset Inputs'!$B$5&gt;='Mortgage Inputs'!$B$5,'Mortgage Inputs'!$B$5&gt;0),C177,MIN(C177,MAX(0,'Mortgage Inputs'!$B$17-E177))))</f>
        <v>2870.7168561191302</v>
      </c>
      <c r="G177" s="2">
        <f t="shared" si="6"/>
        <v>355756.79707594163</v>
      </c>
      <c r="H177" s="2">
        <f>IF(A177="","",IF(AND('Offset Inputs'!$B$5&gt;='Mortgage Inputs'!$B$5,'Mortgage Inputs'!$B$5&gt;0),'Offset Inputs'!$B$5-'Mortgage Inputs'!$B$5,D177+'Offset Inputs'!$B$6))</f>
        <v>135500</v>
      </c>
    </row>
    <row r="178" spans="1:8" ht="22" customHeight="1">
      <c r="A178" s="1">
        <f>IF(AND('Mortgage Inputs'!$B$12,172&lt;=IF('Mortgage Inputs'!$B$12,'Mortgage Inputs'!$B$7,0)*12+600,ISNUMBER(G177),G177&gt;0.005),172,"")</f>
        <v>172</v>
      </c>
      <c r="B178" s="4">
        <f>IF(A178="","",DATE(YEAR('Mortgage Inputs'!$B$8),MONTH('Mortgage Inputs'!$B$8)+A178,DAY('Mortgage Inputs'!$B$8)))</f>
        <v>51561</v>
      </c>
      <c r="C178" s="2">
        <f t="shared" si="7"/>
        <v>355756.79707594163</v>
      </c>
      <c r="D178" s="2">
        <f t="shared" si="8"/>
        <v>135500</v>
      </c>
      <c r="E178" s="2">
        <f>IF(A178="","",MAX(0,(C178-MIN(D178,C178))*'Mortgage Inputs'!$B$15))</f>
        <v>1172.8674444293893</v>
      </c>
      <c r="F178" s="2">
        <f>IF(A178="","",IF(AND('Offset Inputs'!$B$5&gt;='Mortgage Inputs'!$B$5,'Mortgage Inputs'!$B$5&gt;0),C178,MIN(C178,MAX(0,'Mortgage Inputs'!$B$17-E178))))</f>
        <v>2888.6659233779642</v>
      </c>
      <c r="G178" s="2">
        <f t="shared" si="6"/>
        <v>352868.13115256367</v>
      </c>
      <c r="H178" s="2">
        <f>IF(A178="","",IF(AND('Offset Inputs'!$B$5&gt;='Mortgage Inputs'!$B$5,'Mortgage Inputs'!$B$5&gt;0),'Offset Inputs'!$B$5-'Mortgage Inputs'!$B$5,D178+'Offset Inputs'!$B$6))</f>
        <v>136000</v>
      </c>
    </row>
    <row r="179" spans="1:8" ht="22" customHeight="1">
      <c r="A179" s="1">
        <f>IF(AND('Mortgage Inputs'!$B$12,173&lt;=IF('Mortgage Inputs'!$B$12,'Mortgage Inputs'!$B$7,0)*12+600,ISNUMBER(G178),G178&gt;0.005),173,"")</f>
        <v>173</v>
      </c>
      <c r="B179" s="4">
        <f>IF(A179="","",DATE(YEAR('Mortgage Inputs'!$B$8),MONTH('Mortgage Inputs'!$B$8)+A179,DAY('Mortgage Inputs'!$B$8)))</f>
        <v>51592</v>
      </c>
      <c r="C179" s="2">
        <f t="shared" si="7"/>
        <v>352868.13115256367</v>
      </c>
      <c r="D179" s="2">
        <f t="shared" si="8"/>
        <v>136000</v>
      </c>
      <c r="E179" s="2">
        <f>IF(A179="","",MAX(0,(C179-MIN(D179,C179))*'Mortgage Inputs'!$B$15))</f>
        <v>1154.8227983874015</v>
      </c>
      <c r="F179" s="2">
        <f>IF(A179="","",IF(AND('Offset Inputs'!$B$5&gt;='Mortgage Inputs'!$B$5,'Mortgage Inputs'!$B$5&gt;0),C179,MIN(C179,MAX(0,'Mortgage Inputs'!$B$17-E179))))</f>
        <v>2906.7105694199518</v>
      </c>
      <c r="G179" s="2">
        <f t="shared" si="6"/>
        <v>349961.42058314371</v>
      </c>
      <c r="H179" s="2">
        <f>IF(A179="","",IF(AND('Offset Inputs'!$B$5&gt;='Mortgage Inputs'!$B$5,'Mortgage Inputs'!$B$5&gt;0),'Offset Inputs'!$B$5-'Mortgage Inputs'!$B$5,D179+'Offset Inputs'!$B$6))</f>
        <v>136500</v>
      </c>
    </row>
    <row r="180" spans="1:8" ht="22" customHeight="1">
      <c r="A180" s="1">
        <f>IF(AND('Mortgage Inputs'!$B$12,174&lt;=IF('Mortgage Inputs'!$B$12,'Mortgage Inputs'!$B$7,0)*12+600,ISNUMBER(G179),G179&gt;0.005),174,"")</f>
        <v>174</v>
      </c>
      <c r="B180" s="4">
        <f>IF(A180="","",DATE(YEAR('Mortgage Inputs'!$B$8),MONTH('Mortgage Inputs'!$B$8)+A180,DAY('Mortgage Inputs'!$B$8)))</f>
        <v>51622</v>
      </c>
      <c r="C180" s="2">
        <f t="shared" si="7"/>
        <v>349961.42058314371</v>
      </c>
      <c r="D180" s="2">
        <f t="shared" si="8"/>
        <v>136500</v>
      </c>
      <c r="E180" s="2">
        <f>IF(A180="","",MAX(0,(C180-MIN(D180,C180))*'Mortgage Inputs'!$B$15))</f>
        <v>1136.6820646052402</v>
      </c>
      <c r="F180" s="2">
        <f>IF(A180="","",IF(AND('Offset Inputs'!$B$5&gt;='Mortgage Inputs'!$B$5,'Mortgage Inputs'!$B$5&gt;0),C180,MIN(C180,MAX(0,'Mortgage Inputs'!$B$17-E180))))</f>
        <v>2924.8513032021133</v>
      </c>
      <c r="G180" s="2">
        <f t="shared" si="6"/>
        <v>347036.56927994161</v>
      </c>
      <c r="H180" s="2">
        <f>IF(A180="","",IF(AND('Offset Inputs'!$B$5&gt;='Mortgage Inputs'!$B$5,'Mortgage Inputs'!$B$5&gt;0),'Offset Inputs'!$B$5-'Mortgage Inputs'!$B$5,D180+'Offset Inputs'!$B$6))</f>
        <v>137000</v>
      </c>
    </row>
    <row r="181" spans="1:8" ht="22" customHeight="1">
      <c r="A181" s="1">
        <f>IF(AND('Mortgage Inputs'!$B$12,175&lt;=IF('Mortgage Inputs'!$B$12,'Mortgage Inputs'!$B$7,0)*12+600,ISNUMBER(G180),G180&gt;0.005),175,"")</f>
        <v>175</v>
      </c>
      <c r="B181" s="4">
        <f>IF(A181="","",DATE(YEAR('Mortgage Inputs'!$B$8),MONTH('Mortgage Inputs'!$B$8)+A181,DAY('Mortgage Inputs'!$B$8)))</f>
        <v>51653</v>
      </c>
      <c r="C181" s="2">
        <f t="shared" si="7"/>
        <v>347036.56927994161</v>
      </c>
      <c r="D181" s="2">
        <f t="shared" si="8"/>
        <v>137000</v>
      </c>
      <c r="E181" s="2">
        <f>IF(A181="","",MAX(0,(C181-MIN(D181,C181))*'Mortgage Inputs'!$B$15))</f>
        <v>1118.4447314156891</v>
      </c>
      <c r="F181" s="2">
        <f>IF(A181="","",IF(AND('Offset Inputs'!$B$5&gt;='Mortgage Inputs'!$B$5,'Mortgage Inputs'!$B$5&gt;0),C181,MIN(C181,MAX(0,'Mortgage Inputs'!$B$17-E181))))</f>
        <v>2943.0886363916643</v>
      </c>
      <c r="G181" s="2">
        <f t="shared" si="6"/>
        <v>344093.48064354993</v>
      </c>
      <c r="H181" s="2">
        <f>IF(A181="","",IF(AND('Offset Inputs'!$B$5&gt;='Mortgage Inputs'!$B$5,'Mortgage Inputs'!$B$5&gt;0),'Offset Inputs'!$B$5-'Mortgage Inputs'!$B$5,D181+'Offset Inputs'!$B$6))</f>
        <v>137500</v>
      </c>
    </row>
    <row r="182" spans="1:8" ht="22" customHeight="1">
      <c r="A182" s="1">
        <f>IF(AND('Mortgage Inputs'!$B$12,176&lt;=IF('Mortgage Inputs'!$B$12,'Mortgage Inputs'!$B$7,0)*12+600,ISNUMBER(G181),G181&gt;0.005),176,"")</f>
        <v>176</v>
      </c>
      <c r="B182" s="4">
        <f>IF(A182="","",DATE(YEAR('Mortgage Inputs'!$B$8),MONTH('Mortgage Inputs'!$B$8)+A182,DAY('Mortgage Inputs'!$B$8)))</f>
        <v>51683</v>
      </c>
      <c r="C182" s="2">
        <f t="shared" si="7"/>
        <v>344093.48064354993</v>
      </c>
      <c r="D182" s="2">
        <f t="shared" si="8"/>
        <v>137500</v>
      </c>
      <c r="E182" s="2">
        <f>IF(A182="","",MAX(0,(C182-MIN(D182,C182))*'Mortgage Inputs'!$B$15))</f>
        <v>1100.1102844269033</v>
      </c>
      <c r="F182" s="2">
        <f>IF(A182="","",IF(AND('Offset Inputs'!$B$5&gt;='Mortgage Inputs'!$B$5,'Mortgage Inputs'!$B$5&gt;0),C182,MIN(C182,MAX(0,'Mortgage Inputs'!$B$17-E182))))</f>
        <v>2961.4230833804504</v>
      </c>
      <c r="G182" s="2">
        <f t="shared" si="6"/>
        <v>341132.05756016949</v>
      </c>
      <c r="H182" s="2">
        <f>IF(A182="","",IF(AND('Offset Inputs'!$B$5&gt;='Mortgage Inputs'!$B$5,'Mortgage Inputs'!$B$5&gt;0),'Offset Inputs'!$B$5-'Mortgage Inputs'!$B$5,D182+'Offset Inputs'!$B$6))</f>
        <v>138000</v>
      </c>
    </row>
    <row r="183" spans="1:8" ht="22" customHeight="1">
      <c r="A183" s="1">
        <f>IF(AND('Mortgage Inputs'!$B$12,177&lt;=IF('Mortgage Inputs'!$B$12,'Mortgage Inputs'!$B$7,0)*12+600,ISNUMBER(G182),G182&gt;0.005),177,"")</f>
        <v>177</v>
      </c>
      <c r="B183" s="4">
        <f>IF(A183="","",DATE(YEAR('Mortgage Inputs'!$B$8),MONTH('Mortgage Inputs'!$B$8)+A183,DAY('Mortgage Inputs'!$B$8)))</f>
        <v>51714</v>
      </c>
      <c r="C183" s="2">
        <f t="shared" si="7"/>
        <v>341132.05756016949</v>
      </c>
      <c r="D183" s="2">
        <f t="shared" si="8"/>
        <v>138000</v>
      </c>
      <c r="E183" s="2">
        <f>IF(A183="","",MAX(0,(C183-MIN(D183,C183))*'Mortgage Inputs'!$B$15))</f>
        <v>1081.6782065079026</v>
      </c>
      <c r="F183" s="2">
        <f>IF(A183="","",IF(AND('Offset Inputs'!$B$5&gt;='Mortgage Inputs'!$B$5,'Mortgage Inputs'!$B$5&gt;0),C183,MIN(C183,MAX(0,'Mortgage Inputs'!$B$17-E183))))</f>
        <v>2979.8551612994506</v>
      </c>
      <c r="G183" s="2">
        <f t="shared" si="6"/>
        <v>338152.20239887002</v>
      </c>
      <c r="H183" s="2">
        <f>IF(A183="","",IF(AND('Offset Inputs'!$B$5&gt;='Mortgage Inputs'!$B$5,'Mortgage Inputs'!$B$5&gt;0),'Offset Inputs'!$B$5-'Mortgage Inputs'!$B$5,D183+'Offset Inputs'!$B$6))</f>
        <v>138500</v>
      </c>
    </row>
    <row r="184" spans="1:8" ht="22" customHeight="1">
      <c r="A184" s="1">
        <f>IF(AND('Mortgage Inputs'!$B$12,178&lt;=IF('Mortgage Inputs'!$B$12,'Mortgage Inputs'!$B$7,0)*12+600,ISNUMBER(G183),G183&gt;0.005),178,"")</f>
        <v>178</v>
      </c>
      <c r="B184" s="4">
        <f>IF(A184="","",DATE(YEAR('Mortgage Inputs'!$B$8),MONTH('Mortgage Inputs'!$B$8)+A184,DAY('Mortgage Inputs'!$B$8)))</f>
        <v>51745</v>
      </c>
      <c r="C184" s="2">
        <f t="shared" si="7"/>
        <v>338152.20239887002</v>
      </c>
      <c r="D184" s="2">
        <f t="shared" si="8"/>
        <v>138500</v>
      </c>
      <c r="E184" s="2">
        <f>IF(A184="","",MAX(0,(C184-MIN(D184,C184))*'Mortgage Inputs'!$B$15))</f>
        <v>1063.1479777739828</v>
      </c>
      <c r="F184" s="2">
        <f>IF(A184="","",IF(AND('Offset Inputs'!$B$5&gt;='Mortgage Inputs'!$B$5,'Mortgage Inputs'!$B$5&gt;0),C184,MIN(C184,MAX(0,'Mortgage Inputs'!$B$17-E184))))</f>
        <v>2998.3853900333706</v>
      </c>
      <c r="G184" s="2">
        <f t="shared" si="6"/>
        <v>335153.81700883666</v>
      </c>
      <c r="H184" s="2">
        <f>IF(A184="","",IF(AND('Offset Inputs'!$B$5&gt;='Mortgage Inputs'!$B$5,'Mortgage Inputs'!$B$5&gt;0),'Offset Inputs'!$B$5-'Mortgage Inputs'!$B$5,D184+'Offset Inputs'!$B$6))</f>
        <v>139000</v>
      </c>
    </row>
    <row r="185" spans="1:8" ht="22" customHeight="1">
      <c r="A185" s="1">
        <f>IF(AND('Mortgage Inputs'!$B$12,179&lt;=IF('Mortgage Inputs'!$B$12,'Mortgage Inputs'!$B$7,0)*12+600,ISNUMBER(G184),G184&gt;0.005),179,"")</f>
        <v>179</v>
      </c>
      <c r="B185" s="4">
        <f>IF(A185="","",DATE(YEAR('Mortgage Inputs'!$B$8),MONTH('Mortgage Inputs'!$B$8)+A185,DAY('Mortgage Inputs'!$B$8)))</f>
        <v>51775</v>
      </c>
      <c r="C185" s="2">
        <f t="shared" si="7"/>
        <v>335153.81700883666</v>
      </c>
      <c r="D185" s="2">
        <f t="shared" si="8"/>
        <v>139000</v>
      </c>
      <c r="E185" s="2">
        <f>IF(A185="","",MAX(0,(C185-MIN(D185,C185))*'Mortgage Inputs'!$B$15))</f>
        <v>1044.5190755720553</v>
      </c>
      <c r="F185" s="2">
        <f>IF(A185="","",IF(AND('Offset Inputs'!$B$5&gt;='Mortgage Inputs'!$B$5,'Mortgage Inputs'!$B$5&gt;0),C185,MIN(C185,MAX(0,'Mortgage Inputs'!$B$17-E185))))</f>
        <v>3017.0142922352979</v>
      </c>
      <c r="G185" s="2">
        <f t="shared" si="6"/>
        <v>332136.80271660135</v>
      </c>
      <c r="H185" s="2">
        <f>IF(A185="","",IF(AND('Offset Inputs'!$B$5&gt;='Mortgage Inputs'!$B$5,'Mortgage Inputs'!$B$5&gt;0),'Offset Inputs'!$B$5-'Mortgage Inputs'!$B$5,D185+'Offset Inputs'!$B$6))</f>
        <v>139500</v>
      </c>
    </row>
    <row r="186" spans="1:8" ht="22" customHeight="1">
      <c r="A186" s="1">
        <f>IF(AND('Mortgage Inputs'!$B$12,180&lt;=IF('Mortgage Inputs'!$B$12,'Mortgage Inputs'!$B$7,0)*12+600,ISNUMBER(G185),G185&gt;0.005),180,"")</f>
        <v>180</v>
      </c>
      <c r="B186" s="4">
        <f>IF(A186="","",DATE(YEAR('Mortgage Inputs'!$B$8),MONTH('Mortgage Inputs'!$B$8)+A186,DAY('Mortgage Inputs'!$B$8)))</f>
        <v>51806</v>
      </c>
      <c r="C186" s="2">
        <f t="shared" si="7"/>
        <v>332136.80271660135</v>
      </c>
      <c r="D186" s="2">
        <f t="shared" si="8"/>
        <v>139500</v>
      </c>
      <c r="E186" s="2">
        <f>IF(A186="","",MAX(0,(C186-MIN(D186,C186))*'Mortgage Inputs'!$B$15))</f>
        <v>1025.7909744659021</v>
      </c>
      <c r="F186" s="2">
        <f>IF(A186="","",IF(AND('Offset Inputs'!$B$5&gt;='Mortgage Inputs'!$B$5,'Mortgage Inputs'!$B$5&gt;0),C186,MIN(C186,MAX(0,'Mortgage Inputs'!$B$17-E186))))</f>
        <v>3035.7423933414511</v>
      </c>
      <c r="G186" s="2">
        <f t="shared" si="6"/>
        <v>329101.06032325991</v>
      </c>
      <c r="H186" s="2">
        <f>IF(A186="","",IF(AND('Offset Inputs'!$B$5&gt;='Mortgage Inputs'!$B$5,'Mortgage Inputs'!$B$5&gt;0),'Offset Inputs'!$B$5-'Mortgage Inputs'!$B$5,D186+'Offset Inputs'!$B$6))</f>
        <v>140000</v>
      </c>
    </row>
    <row r="187" spans="1:8" ht="22" customHeight="1">
      <c r="A187" s="1">
        <f>IF(AND('Mortgage Inputs'!$B$12,181&lt;=IF('Mortgage Inputs'!$B$12,'Mortgage Inputs'!$B$7,0)*12+600,ISNUMBER(G186),G186&gt;0.005),181,"")</f>
        <v>181</v>
      </c>
      <c r="B187" s="4">
        <f>IF(A187="","",DATE(YEAR('Mortgage Inputs'!$B$8),MONTH('Mortgage Inputs'!$B$8)+A187,DAY('Mortgage Inputs'!$B$8)))</f>
        <v>51836</v>
      </c>
      <c r="C187" s="2">
        <f t="shared" si="7"/>
        <v>329101.06032325991</v>
      </c>
      <c r="D187" s="2">
        <f t="shared" si="8"/>
        <v>140000</v>
      </c>
      <c r="E187" s="2">
        <f>IF(A187="","",MAX(0,(C187-MIN(D187,C187))*'Mortgage Inputs'!$B$15))</f>
        <v>1006.963146221359</v>
      </c>
      <c r="F187" s="2">
        <f>IF(A187="","",IF(AND('Offset Inputs'!$B$5&gt;='Mortgage Inputs'!$B$5,'Mortgage Inputs'!$B$5&gt;0),C187,MIN(C187,MAX(0,'Mortgage Inputs'!$B$17-E187))))</f>
        <v>3054.5702215859947</v>
      </c>
      <c r="G187" s="2">
        <f t="shared" si="6"/>
        <v>326046.49010167393</v>
      </c>
      <c r="H187" s="2">
        <f>IF(A187="","",IF(AND('Offset Inputs'!$B$5&gt;='Mortgage Inputs'!$B$5,'Mortgage Inputs'!$B$5&gt;0),'Offset Inputs'!$B$5-'Mortgage Inputs'!$B$5,D187+'Offset Inputs'!$B$6))</f>
        <v>140500</v>
      </c>
    </row>
    <row r="188" spans="1:8" ht="22" customHeight="1">
      <c r="A188" s="1">
        <f>IF(AND('Mortgage Inputs'!$B$12,182&lt;=IF('Mortgage Inputs'!$B$12,'Mortgage Inputs'!$B$7,0)*12+600,ISNUMBER(G187),G187&gt;0.005),182,"")</f>
        <v>182</v>
      </c>
      <c r="B188" s="4">
        <f>IF(A188="","",DATE(YEAR('Mortgage Inputs'!$B$8),MONTH('Mortgage Inputs'!$B$8)+A188,DAY('Mortgage Inputs'!$B$8)))</f>
        <v>51867</v>
      </c>
      <c r="C188" s="2">
        <f t="shared" si="7"/>
        <v>326046.49010167393</v>
      </c>
      <c r="D188" s="2">
        <f t="shared" si="8"/>
        <v>140500</v>
      </c>
      <c r="E188" s="2">
        <f>IF(A188="","",MAX(0,(C188-MIN(D188,C188))*'Mortgage Inputs'!$B$15))</f>
        <v>988.03505979141369</v>
      </c>
      <c r="F188" s="2">
        <f>IF(A188="","",IF(AND('Offset Inputs'!$B$5&gt;='Mortgage Inputs'!$B$5,'Mortgage Inputs'!$B$5&gt;0),C188,MIN(C188,MAX(0,'Mortgage Inputs'!$B$17-E188))))</f>
        <v>3073.49830801594</v>
      </c>
      <c r="G188" s="2">
        <f t="shared" si="6"/>
        <v>322972.991793658</v>
      </c>
      <c r="H188" s="2">
        <f>IF(A188="","",IF(AND('Offset Inputs'!$B$5&gt;='Mortgage Inputs'!$B$5,'Mortgage Inputs'!$B$5&gt;0),'Offset Inputs'!$B$5-'Mortgage Inputs'!$B$5,D188+'Offset Inputs'!$B$6))</f>
        <v>141000</v>
      </c>
    </row>
    <row r="189" spans="1:8" ht="22" customHeight="1">
      <c r="A189" s="1">
        <f>IF(AND('Mortgage Inputs'!$B$12,183&lt;=IF('Mortgage Inputs'!$B$12,'Mortgage Inputs'!$B$7,0)*12+600,ISNUMBER(G188),G188&gt;0.005),183,"")</f>
        <v>183</v>
      </c>
      <c r="B189" s="4">
        <f>IF(A189="","",DATE(YEAR('Mortgage Inputs'!$B$8),MONTH('Mortgage Inputs'!$B$8)+A189,DAY('Mortgage Inputs'!$B$8)))</f>
        <v>51898</v>
      </c>
      <c r="C189" s="2">
        <f t="shared" si="7"/>
        <v>322972.991793658</v>
      </c>
      <c r="D189" s="2">
        <f t="shared" si="8"/>
        <v>141000</v>
      </c>
      <c r="E189" s="2">
        <f>IF(A189="","",MAX(0,(C189-MIN(D189,C189))*'Mortgage Inputs'!$B$15))</f>
        <v>969.00618130122882</v>
      </c>
      <c r="F189" s="2">
        <f>IF(A189="","",IF(AND('Offset Inputs'!$B$5&gt;='Mortgage Inputs'!$B$5,'Mortgage Inputs'!$B$5&gt;0),C189,MIN(C189,MAX(0,'Mortgage Inputs'!$B$17-E189))))</f>
        <v>3092.5271865061245</v>
      </c>
      <c r="G189" s="2">
        <f t="shared" si="6"/>
        <v>319880.46460715187</v>
      </c>
      <c r="H189" s="2">
        <f>IF(A189="","",IF(AND('Offset Inputs'!$B$5&gt;='Mortgage Inputs'!$B$5,'Mortgage Inputs'!$B$5&gt;0),'Offset Inputs'!$B$5-'Mortgage Inputs'!$B$5,D189+'Offset Inputs'!$B$6))</f>
        <v>141500</v>
      </c>
    </row>
    <row r="190" spans="1:8" ht="22" customHeight="1">
      <c r="A190" s="1">
        <f>IF(AND('Mortgage Inputs'!$B$12,184&lt;=IF('Mortgage Inputs'!$B$12,'Mortgage Inputs'!$B$7,0)*12+600,ISNUMBER(G189),G189&gt;0.005),184,"")</f>
        <v>184</v>
      </c>
      <c r="B190" s="4">
        <f>IF(A190="","",DATE(YEAR('Mortgage Inputs'!$B$8),MONTH('Mortgage Inputs'!$B$8)+A190,DAY('Mortgage Inputs'!$B$8)))</f>
        <v>51926</v>
      </c>
      <c r="C190" s="2">
        <f t="shared" si="7"/>
        <v>319880.46460715187</v>
      </c>
      <c r="D190" s="2">
        <f t="shared" si="8"/>
        <v>141500</v>
      </c>
      <c r="E190" s="2">
        <f>IF(A190="","",MAX(0,(C190-MIN(D190,C190))*'Mortgage Inputs'!$B$15))</f>
        <v>949.87597403308371</v>
      </c>
      <c r="F190" s="2">
        <f>IF(A190="","",IF(AND('Offset Inputs'!$B$5&gt;='Mortgage Inputs'!$B$5,'Mortgage Inputs'!$B$5&gt;0),C190,MIN(C190,MAX(0,'Mortgage Inputs'!$B$17-E190))))</f>
        <v>3111.6573937742696</v>
      </c>
      <c r="G190" s="2">
        <f t="shared" si="6"/>
        <v>316768.80721337761</v>
      </c>
      <c r="H190" s="2">
        <f>IF(A190="","",IF(AND('Offset Inputs'!$B$5&gt;='Mortgage Inputs'!$B$5,'Mortgage Inputs'!$B$5&gt;0),'Offset Inputs'!$B$5-'Mortgage Inputs'!$B$5,D190+'Offset Inputs'!$B$6))</f>
        <v>142000</v>
      </c>
    </row>
    <row r="191" spans="1:8" ht="22" customHeight="1">
      <c r="A191" s="1">
        <f>IF(AND('Mortgage Inputs'!$B$12,185&lt;=IF('Mortgage Inputs'!$B$12,'Mortgage Inputs'!$B$7,0)*12+600,ISNUMBER(G190),G190&gt;0.005),185,"")</f>
        <v>185</v>
      </c>
      <c r="B191" s="4">
        <f>IF(A191="","",DATE(YEAR('Mortgage Inputs'!$B$8),MONTH('Mortgage Inputs'!$B$8)+A191,DAY('Mortgage Inputs'!$B$8)))</f>
        <v>51957</v>
      </c>
      <c r="C191" s="2">
        <f t="shared" si="7"/>
        <v>316768.80721337761</v>
      </c>
      <c r="D191" s="2">
        <f t="shared" si="8"/>
        <v>142000</v>
      </c>
      <c r="E191" s="2">
        <f>IF(A191="","",MAX(0,(C191-MIN(D191,C191))*'Mortgage Inputs'!$B$15))</f>
        <v>930.6438984112358</v>
      </c>
      <c r="F191" s="2">
        <f>IF(A191="","",IF(AND('Offset Inputs'!$B$5&gt;='Mortgage Inputs'!$B$5,'Mortgage Inputs'!$B$5&gt;0),C191,MIN(C191,MAX(0,'Mortgage Inputs'!$B$17-E191))))</f>
        <v>3130.8894693961174</v>
      </c>
      <c r="G191" s="2">
        <f t="shared" si="6"/>
        <v>313637.91774398152</v>
      </c>
      <c r="H191" s="2">
        <f>IF(A191="","",IF(AND('Offset Inputs'!$B$5&gt;='Mortgage Inputs'!$B$5,'Mortgage Inputs'!$B$5&gt;0),'Offset Inputs'!$B$5-'Mortgage Inputs'!$B$5,D191+'Offset Inputs'!$B$6))</f>
        <v>142500</v>
      </c>
    </row>
    <row r="192" spans="1:8" ht="22" customHeight="1">
      <c r="A192" s="1">
        <f>IF(AND('Mortgage Inputs'!$B$12,186&lt;=IF('Mortgage Inputs'!$B$12,'Mortgage Inputs'!$B$7,0)*12+600,ISNUMBER(G191),G191&gt;0.005),186,"")</f>
        <v>186</v>
      </c>
      <c r="B192" s="4">
        <f>IF(A192="","",DATE(YEAR('Mortgage Inputs'!$B$8),MONTH('Mortgage Inputs'!$B$8)+A192,DAY('Mortgage Inputs'!$B$8)))</f>
        <v>51987</v>
      </c>
      <c r="C192" s="2">
        <f t="shared" si="7"/>
        <v>313637.91774398152</v>
      </c>
      <c r="D192" s="2">
        <f t="shared" si="8"/>
        <v>142500</v>
      </c>
      <c r="E192" s="2">
        <f>IF(A192="","",MAX(0,(C192-MIN(D192,C192))*'Mortgage Inputs'!$B$15))</f>
        <v>911.30941198670155</v>
      </c>
      <c r="F192" s="2">
        <f>IF(A192="","",IF(AND('Offset Inputs'!$B$5&gt;='Mortgage Inputs'!$B$5,'Mortgage Inputs'!$B$5&gt;0),C192,MIN(C192,MAX(0,'Mortgage Inputs'!$B$17-E192))))</f>
        <v>3150.223955820652</v>
      </c>
      <c r="G192" s="2">
        <f t="shared" si="6"/>
        <v>310487.69378816086</v>
      </c>
      <c r="H192" s="2">
        <f>IF(A192="","",IF(AND('Offset Inputs'!$B$5&gt;='Mortgage Inputs'!$B$5,'Mortgage Inputs'!$B$5&gt;0),'Offset Inputs'!$B$5-'Mortgage Inputs'!$B$5,D192+'Offset Inputs'!$B$6))</f>
        <v>143000</v>
      </c>
    </row>
    <row r="193" spans="1:8" ht="22" customHeight="1">
      <c r="A193" s="1">
        <f>IF(AND('Mortgage Inputs'!$B$12,187&lt;=IF('Mortgage Inputs'!$B$12,'Mortgage Inputs'!$B$7,0)*12+600,ISNUMBER(G192),G192&gt;0.005),187,"")</f>
        <v>187</v>
      </c>
      <c r="B193" s="4">
        <f>IF(A193="","",DATE(YEAR('Mortgage Inputs'!$B$8),MONTH('Mortgage Inputs'!$B$8)+A193,DAY('Mortgage Inputs'!$B$8)))</f>
        <v>52018</v>
      </c>
      <c r="C193" s="2">
        <f t="shared" si="7"/>
        <v>310487.69378816086</v>
      </c>
      <c r="D193" s="2">
        <f t="shared" si="8"/>
        <v>143000</v>
      </c>
      <c r="E193" s="2">
        <f>IF(A193="","",MAX(0,(C193-MIN(D193,C193))*'Mortgage Inputs'!$B$15))</f>
        <v>891.87196942195658</v>
      </c>
      <c r="F193" s="2">
        <f>IF(A193="","",IF(AND('Offset Inputs'!$B$5&gt;='Mortgage Inputs'!$B$5,'Mortgage Inputs'!$B$5&gt;0),C193,MIN(C193,MAX(0,'Mortgage Inputs'!$B$17-E193))))</f>
        <v>3169.6613983853968</v>
      </c>
      <c r="G193" s="2">
        <f t="shared" si="6"/>
        <v>307318.03238977544</v>
      </c>
      <c r="H193" s="2">
        <f>IF(A193="","",IF(AND('Offset Inputs'!$B$5&gt;='Mortgage Inputs'!$B$5,'Mortgage Inputs'!$B$5&gt;0),'Offset Inputs'!$B$5-'Mortgage Inputs'!$B$5,D193+'Offset Inputs'!$B$6))</f>
        <v>143500</v>
      </c>
    </row>
    <row r="194" spans="1:8" ht="22" customHeight="1">
      <c r="A194" s="1">
        <f>IF(AND('Mortgage Inputs'!$B$12,188&lt;=IF('Mortgage Inputs'!$B$12,'Mortgage Inputs'!$B$7,0)*12+600,ISNUMBER(G193),G193&gt;0.005),188,"")</f>
        <v>188</v>
      </c>
      <c r="B194" s="4">
        <f>IF(A194="","",DATE(YEAR('Mortgage Inputs'!$B$8),MONTH('Mortgage Inputs'!$B$8)+A194,DAY('Mortgage Inputs'!$B$8)))</f>
        <v>52048</v>
      </c>
      <c r="C194" s="2">
        <f t="shared" si="7"/>
        <v>307318.03238977544</v>
      </c>
      <c r="D194" s="2">
        <f t="shared" si="8"/>
        <v>143500</v>
      </c>
      <c r="E194" s="2">
        <f>IF(A194="","",MAX(0,(C194-MIN(D194,C194))*'Mortgage Inputs'!$B$15))</f>
        <v>872.33102247555416</v>
      </c>
      <c r="F194" s="2">
        <f>IF(A194="","",IF(AND('Offset Inputs'!$B$5&gt;='Mortgage Inputs'!$B$5,'Mortgage Inputs'!$B$5&gt;0),C194,MIN(C194,MAX(0,'Mortgage Inputs'!$B$17-E194))))</f>
        <v>3189.2023453317993</v>
      </c>
      <c r="G194" s="2">
        <f t="shared" si="6"/>
        <v>304128.83004444366</v>
      </c>
      <c r="H194" s="2">
        <f>IF(A194="","",IF(AND('Offset Inputs'!$B$5&gt;='Mortgage Inputs'!$B$5,'Mortgage Inputs'!$B$5&gt;0),'Offset Inputs'!$B$5-'Mortgage Inputs'!$B$5,D194+'Offset Inputs'!$B$6))</f>
        <v>144000</v>
      </c>
    </row>
    <row r="195" spans="1:8" ht="22" customHeight="1">
      <c r="A195" s="1">
        <f>IF(AND('Mortgage Inputs'!$B$12,189&lt;=IF('Mortgage Inputs'!$B$12,'Mortgage Inputs'!$B$7,0)*12+600,ISNUMBER(G194),G194&gt;0.005),189,"")</f>
        <v>189</v>
      </c>
      <c r="B195" s="4">
        <f>IF(A195="","",DATE(YEAR('Mortgage Inputs'!$B$8),MONTH('Mortgage Inputs'!$B$8)+A195,DAY('Mortgage Inputs'!$B$8)))</f>
        <v>52079</v>
      </c>
      <c r="C195" s="2">
        <f t="shared" si="7"/>
        <v>304128.83004444366</v>
      </c>
      <c r="D195" s="2">
        <f t="shared" si="8"/>
        <v>144000</v>
      </c>
      <c r="E195" s="2">
        <f>IF(A195="","",MAX(0,(C195-MIN(D195,C195))*'Mortgage Inputs'!$B$15))</f>
        <v>852.68601998666247</v>
      </c>
      <c r="F195" s="2">
        <f>IF(A195="","",IF(AND('Offset Inputs'!$B$5&gt;='Mortgage Inputs'!$B$5,'Mortgage Inputs'!$B$5&gt;0),C195,MIN(C195,MAX(0,'Mortgage Inputs'!$B$17-E195))))</f>
        <v>3208.8473478206911</v>
      </c>
      <c r="G195" s="2">
        <f t="shared" si="6"/>
        <v>300919.98269662296</v>
      </c>
      <c r="H195" s="2">
        <f>IF(A195="","",IF(AND('Offset Inputs'!$B$5&gt;='Mortgage Inputs'!$B$5,'Mortgage Inputs'!$B$5&gt;0),'Offset Inputs'!$B$5-'Mortgage Inputs'!$B$5,D195+'Offset Inputs'!$B$6))</f>
        <v>144500</v>
      </c>
    </row>
    <row r="196" spans="1:8" ht="22" customHeight="1">
      <c r="A196" s="1">
        <f>IF(AND('Mortgage Inputs'!$B$12,190&lt;=IF('Mortgage Inputs'!$B$12,'Mortgage Inputs'!$B$7,0)*12+600,ISNUMBER(G195),G195&gt;0.005),190,"")</f>
        <v>190</v>
      </c>
      <c r="B196" s="4">
        <f>IF(A196="","",DATE(YEAR('Mortgage Inputs'!$B$8),MONTH('Mortgage Inputs'!$B$8)+A196,DAY('Mortgage Inputs'!$B$8)))</f>
        <v>52110</v>
      </c>
      <c r="C196" s="2">
        <f t="shared" si="7"/>
        <v>300919.98269662296</v>
      </c>
      <c r="D196" s="2">
        <f t="shared" si="8"/>
        <v>144500</v>
      </c>
      <c r="E196" s="2">
        <f>IF(A196="","",MAX(0,(C196-MIN(D196,C196))*'Mortgage Inputs'!$B$15))</f>
        <v>832.9364078595172</v>
      </c>
      <c r="F196" s="2">
        <f>IF(A196="","",IF(AND('Offset Inputs'!$B$5&gt;='Mortgage Inputs'!$B$5,'Mortgage Inputs'!$B$5&gt;0),C196,MIN(C196,MAX(0,'Mortgage Inputs'!$B$17-E196))))</f>
        <v>3228.5969599478362</v>
      </c>
      <c r="G196" s="2">
        <f t="shared" si="6"/>
        <v>297691.38573667512</v>
      </c>
      <c r="H196" s="2">
        <f>IF(A196="","",IF(AND('Offset Inputs'!$B$5&gt;='Mortgage Inputs'!$B$5,'Mortgage Inputs'!$B$5&gt;0),'Offset Inputs'!$B$5-'Mortgage Inputs'!$B$5,D196+'Offset Inputs'!$B$6))</f>
        <v>145000</v>
      </c>
    </row>
    <row r="197" spans="1:8" ht="22" customHeight="1">
      <c r="A197" s="1">
        <f>IF(AND('Mortgage Inputs'!$B$12,191&lt;=IF('Mortgage Inputs'!$B$12,'Mortgage Inputs'!$B$7,0)*12+600,ISNUMBER(G196),G196&gt;0.005),191,"")</f>
        <v>191</v>
      </c>
      <c r="B197" s="4">
        <f>IF(A197="","",DATE(YEAR('Mortgage Inputs'!$B$8),MONTH('Mortgage Inputs'!$B$8)+A197,DAY('Mortgage Inputs'!$B$8)))</f>
        <v>52140</v>
      </c>
      <c r="C197" s="2">
        <f t="shared" si="7"/>
        <v>297691.38573667512</v>
      </c>
      <c r="D197" s="2">
        <f t="shared" si="8"/>
        <v>145000</v>
      </c>
      <c r="E197" s="2">
        <f>IF(A197="","",MAX(0,(C197-MIN(D197,C197))*'Mortgage Inputs'!$B$15))</f>
        <v>813.08162904779499</v>
      </c>
      <c r="F197" s="2">
        <f>IF(A197="","",IF(AND('Offset Inputs'!$B$5&gt;='Mortgage Inputs'!$B$5,'Mortgage Inputs'!$B$5&gt;0),C197,MIN(C197,MAX(0,'Mortgage Inputs'!$B$17-E197))))</f>
        <v>3248.4517387595583</v>
      </c>
      <c r="G197" s="2">
        <f t="shared" si="6"/>
        <v>294442.93399791553</v>
      </c>
      <c r="H197" s="2">
        <f>IF(A197="","",IF(AND('Offset Inputs'!$B$5&gt;='Mortgage Inputs'!$B$5,'Mortgage Inputs'!$B$5&gt;0),'Offset Inputs'!$B$5-'Mortgage Inputs'!$B$5,D197+'Offset Inputs'!$B$6))</f>
        <v>145500</v>
      </c>
    </row>
    <row r="198" spans="1:8" ht="22" customHeight="1">
      <c r="A198" s="1">
        <f>IF(AND('Mortgage Inputs'!$B$12,192&lt;=IF('Mortgage Inputs'!$B$12,'Mortgage Inputs'!$B$7,0)*12+600,ISNUMBER(G197),G197&gt;0.005),192,"")</f>
        <v>192</v>
      </c>
      <c r="B198" s="4">
        <f>IF(A198="","",DATE(YEAR('Mortgage Inputs'!$B$8),MONTH('Mortgage Inputs'!$B$8)+A198,DAY('Mortgage Inputs'!$B$8)))</f>
        <v>52171</v>
      </c>
      <c r="C198" s="2">
        <f t="shared" si="7"/>
        <v>294442.93399791553</v>
      </c>
      <c r="D198" s="2">
        <f t="shared" si="8"/>
        <v>145500</v>
      </c>
      <c r="E198" s="2">
        <f>IF(A198="","",MAX(0,(C198-MIN(D198,C198))*'Mortgage Inputs'!$B$15))</f>
        <v>793.12112353890018</v>
      </c>
      <c r="F198" s="2">
        <f>IF(A198="","",IF(AND('Offset Inputs'!$B$5&gt;='Mortgage Inputs'!$B$5,'Mortgage Inputs'!$B$5&gt;0),C198,MIN(C198,MAX(0,'Mortgage Inputs'!$B$17-E198))))</f>
        <v>3268.4122442684534</v>
      </c>
      <c r="G198" s="2">
        <f t="shared" si="6"/>
        <v>291174.52175364707</v>
      </c>
      <c r="H198" s="2">
        <f>IF(A198="","",IF(AND('Offset Inputs'!$B$5&gt;='Mortgage Inputs'!$B$5,'Mortgage Inputs'!$B$5&gt;0),'Offset Inputs'!$B$5-'Mortgage Inputs'!$B$5,D198+'Offset Inputs'!$B$6))</f>
        <v>146000</v>
      </c>
    </row>
    <row r="199" spans="1:8" ht="22" customHeight="1">
      <c r="A199" s="1">
        <f>IF(AND('Mortgage Inputs'!$B$12,193&lt;=IF('Mortgage Inputs'!$B$12,'Mortgage Inputs'!$B$7,0)*12+600,ISNUMBER(G198),G198&gt;0.005),193,"")</f>
        <v>193</v>
      </c>
      <c r="B199" s="4">
        <f>IF(A199="","",DATE(YEAR('Mortgage Inputs'!$B$8),MONTH('Mortgage Inputs'!$B$8)+A199,DAY('Mortgage Inputs'!$B$8)))</f>
        <v>52201</v>
      </c>
      <c r="C199" s="2">
        <f t="shared" si="7"/>
        <v>291174.52175364707</v>
      </c>
      <c r="D199" s="2">
        <f t="shared" si="8"/>
        <v>146000</v>
      </c>
      <c r="E199" s="2">
        <f>IF(A199="","",MAX(0,(C199-MIN(D199,C199))*'Mortgage Inputs'!$B$15))</f>
        <v>773.05432833817065</v>
      </c>
      <c r="F199" s="2">
        <f>IF(A199="","",IF(AND('Offset Inputs'!$B$5&gt;='Mortgage Inputs'!$B$5,'Mortgage Inputs'!$B$5&gt;0),C199,MIN(C199,MAX(0,'Mortgage Inputs'!$B$17-E199))))</f>
        <v>3288.4790394691827</v>
      </c>
      <c r="G199" s="2">
        <f t="shared" ref="G199:G262" si="9">IF(A199="","",MAX(0,C199-F199))</f>
        <v>287886.04271417786</v>
      </c>
      <c r="H199" s="2">
        <f>IF(A199="","",IF(AND('Offset Inputs'!$B$5&gt;='Mortgage Inputs'!$B$5,'Mortgage Inputs'!$B$5&gt;0),'Offset Inputs'!$B$5-'Mortgage Inputs'!$B$5,D199+'Offset Inputs'!$B$6))</f>
        <v>146500</v>
      </c>
    </row>
    <row r="200" spans="1:8" ht="22" customHeight="1">
      <c r="A200" s="1">
        <f>IF(AND('Mortgage Inputs'!$B$12,194&lt;=IF('Mortgage Inputs'!$B$12,'Mortgage Inputs'!$B$7,0)*12+600,ISNUMBER(G199),G199&gt;0.005),194,"")</f>
        <v>194</v>
      </c>
      <c r="B200" s="4">
        <f>IF(A200="","",DATE(YEAR('Mortgage Inputs'!$B$8),MONTH('Mortgage Inputs'!$B$8)+A200,DAY('Mortgage Inputs'!$B$8)))</f>
        <v>52232</v>
      </c>
      <c r="C200" s="2">
        <f t="shared" ref="C200:C263" si="10">IF(A200="","",G199)</f>
        <v>287886.04271417786</v>
      </c>
      <c r="D200" s="2">
        <f t="shared" ref="D200:D263" si="11">IF(A200="","",H199)</f>
        <v>146500</v>
      </c>
      <c r="E200" s="2">
        <f>IF(A200="","",MAX(0,(C200-MIN(D200,C200))*'Mortgage Inputs'!$B$15))</f>
        <v>752.88067745299713</v>
      </c>
      <c r="F200" s="2">
        <f>IF(A200="","",IF(AND('Offset Inputs'!$B$5&gt;='Mortgage Inputs'!$B$5,'Mortgage Inputs'!$B$5&gt;0),C200,MIN(C200,MAX(0,'Mortgage Inputs'!$B$17-E200))))</f>
        <v>3308.6526903543563</v>
      </c>
      <c r="G200" s="2">
        <f t="shared" si="9"/>
        <v>284577.39002382348</v>
      </c>
      <c r="H200" s="2">
        <f>IF(A200="","",IF(AND('Offset Inputs'!$B$5&gt;='Mortgage Inputs'!$B$5,'Mortgage Inputs'!$B$5&gt;0),'Offset Inputs'!$B$5-'Mortgage Inputs'!$B$5,D200+'Offset Inputs'!$B$6))</f>
        <v>147000</v>
      </c>
    </row>
    <row r="201" spans="1:8" ht="22" customHeight="1">
      <c r="A201" s="1">
        <f>IF(AND('Mortgage Inputs'!$B$12,195&lt;=IF('Mortgage Inputs'!$B$12,'Mortgage Inputs'!$B$7,0)*12+600,ISNUMBER(G200),G200&gt;0.005),195,"")</f>
        <v>195</v>
      </c>
      <c r="B201" s="4">
        <f>IF(A201="","",DATE(YEAR('Mortgage Inputs'!$B$8),MONTH('Mortgage Inputs'!$B$8)+A201,DAY('Mortgage Inputs'!$B$8)))</f>
        <v>52263</v>
      </c>
      <c r="C201" s="2">
        <f t="shared" si="10"/>
        <v>284577.39002382348</v>
      </c>
      <c r="D201" s="2">
        <f t="shared" si="11"/>
        <v>147000</v>
      </c>
      <c r="E201" s="2">
        <f>IF(A201="","",MAX(0,(C201-MIN(D201,C201))*'Mortgage Inputs'!$B$15))</f>
        <v>732.59960187685999</v>
      </c>
      <c r="F201" s="2">
        <f>IF(A201="","",IF(AND('Offset Inputs'!$B$5&gt;='Mortgage Inputs'!$B$5,'Mortgage Inputs'!$B$5&gt;0),C201,MIN(C201,MAX(0,'Mortgage Inputs'!$B$17-E201))))</f>
        <v>3328.9337659304933</v>
      </c>
      <c r="G201" s="2">
        <f t="shared" si="9"/>
        <v>281248.45625789301</v>
      </c>
      <c r="H201" s="2">
        <f>IF(A201="","",IF(AND('Offset Inputs'!$B$5&gt;='Mortgage Inputs'!$B$5,'Mortgage Inputs'!$B$5&gt;0),'Offset Inputs'!$B$5-'Mortgage Inputs'!$B$5,D201+'Offset Inputs'!$B$6))</f>
        <v>147500</v>
      </c>
    </row>
    <row r="202" spans="1:8" ht="22" customHeight="1">
      <c r="A202" s="1">
        <f>IF(AND('Mortgage Inputs'!$B$12,196&lt;=IF('Mortgage Inputs'!$B$12,'Mortgage Inputs'!$B$7,0)*12+600,ISNUMBER(G201),G201&gt;0.005),196,"")</f>
        <v>196</v>
      </c>
      <c r="B202" s="4">
        <f>IF(A202="","",DATE(YEAR('Mortgage Inputs'!$B$8),MONTH('Mortgage Inputs'!$B$8)+A202,DAY('Mortgage Inputs'!$B$8)))</f>
        <v>52291</v>
      </c>
      <c r="C202" s="2">
        <f t="shared" si="10"/>
        <v>281248.45625789301</v>
      </c>
      <c r="D202" s="2">
        <f t="shared" si="11"/>
        <v>147500</v>
      </c>
      <c r="E202" s="2">
        <f>IF(A202="","",MAX(0,(C202-MIN(D202,C202))*'Mortgage Inputs'!$B$15))</f>
        <v>712.21052957328027</v>
      </c>
      <c r="F202" s="2">
        <f>IF(A202="","",IF(AND('Offset Inputs'!$B$5&gt;='Mortgage Inputs'!$B$5,'Mortgage Inputs'!$B$5&gt;0),C202,MIN(C202,MAX(0,'Mortgage Inputs'!$B$17-E202))))</f>
        <v>3349.3228382340731</v>
      </c>
      <c r="G202" s="2">
        <f t="shared" si="9"/>
        <v>277899.13341965893</v>
      </c>
      <c r="H202" s="2">
        <f>IF(A202="","",IF(AND('Offset Inputs'!$B$5&gt;='Mortgage Inputs'!$B$5,'Mortgage Inputs'!$B$5&gt;0),'Offset Inputs'!$B$5-'Mortgage Inputs'!$B$5,D202+'Offset Inputs'!$B$6))</f>
        <v>148000</v>
      </c>
    </row>
    <row r="203" spans="1:8" ht="22" customHeight="1">
      <c r="A203" s="1">
        <f>IF(AND('Mortgage Inputs'!$B$12,197&lt;=IF('Mortgage Inputs'!$B$12,'Mortgage Inputs'!$B$7,0)*12+600,ISNUMBER(G202),G202&gt;0.005),197,"")</f>
        <v>197</v>
      </c>
      <c r="B203" s="4">
        <f>IF(A203="","",DATE(YEAR('Mortgage Inputs'!$B$8),MONTH('Mortgage Inputs'!$B$8)+A203,DAY('Mortgage Inputs'!$B$8)))</f>
        <v>52322</v>
      </c>
      <c r="C203" s="2">
        <f t="shared" si="10"/>
        <v>277899.13341965893</v>
      </c>
      <c r="D203" s="2">
        <f t="shared" si="11"/>
        <v>148000</v>
      </c>
      <c r="E203" s="2">
        <f>IF(A203="","",MAX(0,(C203-MIN(D203,C203))*'Mortgage Inputs'!$B$15))</f>
        <v>691.71288545968378</v>
      </c>
      <c r="F203" s="2">
        <f>IF(A203="","",IF(AND('Offset Inputs'!$B$5&gt;='Mortgage Inputs'!$B$5,'Mortgage Inputs'!$B$5&gt;0),C203,MIN(C203,MAX(0,'Mortgage Inputs'!$B$17-E203))))</f>
        <v>3369.8204823476699</v>
      </c>
      <c r="G203" s="2">
        <f t="shared" si="9"/>
        <v>274529.31293731125</v>
      </c>
      <c r="H203" s="2">
        <f>IF(A203="","",IF(AND('Offset Inputs'!$B$5&gt;='Mortgage Inputs'!$B$5,'Mortgage Inputs'!$B$5&gt;0),'Offset Inputs'!$B$5-'Mortgage Inputs'!$B$5,D203+'Offset Inputs'!$B$6))</f>
        <v>148500</v>
      </c>
    </row>
    <row r="204" spans="1:8" ht="22" customHeight="1">
      <c r="A204" s="1">
        <f>IF(AND('Mortgage Inputs'!$B$12,198&lt;=IF('Mortgage Inputs'!$B$12,'Mortgage Inputs'!$B$7,0)*12+600,ISNUMBER(G203),G203&gt;0.005),198,"")</f>
        <v>198</v>
      </c>
      <c r="B204" s="4">
        <f>IF(A204="","",DATE(YEAR('Mortgage Inputs'!$B$8),MONTH('Mortgage Inputs'!$B$8)+A204,DAY('Mortgage Inputs'!$B$8)))</f>
        <v>52352</v>
      </c>
      <c r="C204" s="2">
        <f t="shared" si="10"/>
        <v>274529.31293731125</v>
      </c>
      <c r="D204" s="2">
        <f t="shared" si="11"/>
        <v>148500</v>
      </c>
      <c r="E204" s="2">
        <f>IF(A204="","",MAX(0,(C204-MIN(D204,C204))*'Mortgage Inputs'!$B$15))</f>
        <v>671.10609139118242</v>
      </c>
      <c r="F204" s="2">
        <f>IF(A204="","",IF(AND('Offset Inputs'!$B$5&gt;='Mortgage Inputs'!$B$5,'Mortgage Inputs'!$B$5&gt;0),C204,MIN(C204,MAX(0,'Mortgage Inputs'!$B$17-E204))))</f>
        <v>3390.427276416171</v>
      </c>
      <c r="G204" s="2">
        <f t="shared" si="9"/>
        <v>271138.88566089509</v>
      </c>
      <c r="H204" s="2">
        <f>IF(A204="","",IF(AND('Offset Inputs'!$B$5&gt;='Mortgage Inputs'!$B$5,'Mortgage Inputs'!$B$5&gt;0),'Offset Inputs'!$B$5-'Mortgage Inputs'!$B$5,D204+'Offset Inputs'!$B$6))</f>
        <v>149000</v>
      </c>
    </row>
    <row r="205" spans="1:8" ht="22" customHeight="1">
      <c r="A205" s="1">
        <f>IF(AND('Mortgage Inputs'!$B$12,199&lt;=IF('Mortgage Inputs'!$B$12,'Mortgage Inputs'!$B$7,0)*12+600,ISNUMBER(G204),G204&gt;0.005),199,"")</f>
        <v>199</v>
      </c>
      <c r="B205" s="4">
        <f>IF(A205="","",DATE(YEAR('Mortgage Inputs'!$B$8),MONTH('Mortgage Inputs'!$B$8)+A205,DAY('Mortgage Inputs'!$B$8)))</f>
        <v>52383</v>
      </c>
      <c r="C205" s="2">
        <f t="shared" si="10"/>
        <v>271138.88566089509</v>
      </c>
      <c r="D205" s="2">
        <f t="shared" si="11"/>
        <v>149000</v>
      </c>
      <c r="E205" s="2">
        <f>IF(A205="","",MAX(0,(C205-MIN(D205,C205))*'Mortgage Inputs'!$B$15))</f>
        <v>650.38956614426638</v>
      </c>
      <c r="F205" s="2">
        <f>IF(A205="","",IF(AND('Offset Inputs'!$B$5&gt;='Mortgage Inputs'!$B$5,'Mortgage Inputs'!$B$5&gt;0),C205,MIN(C205,MAX(0,'Mortgage Inputs'!$B$17-E205))))</f>
        <v>3411.1438016630873</v>
      </c>
      <c r="G205" s="2">
        <f t="shared" si="9"/>
        <v>267727.74185923202</v>
      </c>
      <c r="H205" s="2">
        <f>IF(A205="","",IF(AND('Offset Inputs'!$B$5&gt;='Mortgage Inputs'!$B$5,'Mortgage Inputs'!$B$5&gt;0),'Offset Inputs'!$B$5-'Mortgage Inputs'!$B$5,D205+'Offset Inputs'!$B$6))</f>
        <v>149500</v>
      </c>
    </row>
    <row r="206" spans="1:8" ht="22" customHeight="1">
      <c r="A206" s="1">
        <f>IF(AND('Mortgage Inputs'!$B$12,200&lt;=IF('Mortgage Inputs'!$B$12,'Mortgage Inputs'!$B$7,0)*12+600,ISNUMBER(G205),G205&gt;0.005),200,"")</f>
        <v>200</v>
      </c>
      <c r="B206" s="4">
        <f>IF(A206="","",DATE(YEAR('Mortgage Inputs'!$B$8),MONTH('Mortgage Inputs'!$B$8)+A206,DAY('Mortgage Inputs'!$B$8)))</f>
        <v>52413</v>
      </c>
      <c r="C206" s="2">
        <f t="shared" si="10"/>
        <v>267727.74185923202</v>
      </c>
      <c r="D206" s="2">
        <f t="shared" si="11"/>
        <v>149500</v>
      </c>
      <c r="E206" s="2">
        <f>IF(A206="","",MAX(0,(C206-MIN(D206,C206))*'Mortgage Inputs'!$B$15))</f>
        <v>629.5627254004105</v>
      </c>
      <c r="F206" s="2">
        <f>IF(A206="","",IF(AND('Offset Inputs'!$B$5&gt;='Mortgage Inputs'!$B$5,'Mortgage Inputs'!$B$5&gt;0),C206,MIN(C206,MAX(0,'Mortgage Inputs'!$B$17-E206))))</f>
        <v>3431.9706424069427</v>
      </c>
      <c r="G206" s="2">
        <f t="shared" si="9"/>
        <v>264295.77121682506</v>
      </c>
      <c r="H206" s="2">
        <f>IF(A206="","",IF(AND('Offset Inputs'!$B$5&gt;='Mortgage Inputs'!$B$5,'Mortgage Inputs'!$B$5&gt;0),'Offset Inputs'!$B$5-'Mortgage Inputs'!$B$5,D206+'Offset Inputs'!$B$6))</f>
        <v>150000</v>
      </c>
    </row>
    <row r="207" spans="1:8" ht="22" customHeight="1">
      <c r="A207" s="1">
        <f>IF(AND('Mortgage Inputs'!$B$12,201&lt;=IF('Mortgage Inputs'!$B$12,'Mortgage Inputs'!$B$7,0)*12+600,ISNUMBER(G206),G206&gt;0.005),201,"")</f>
        <v>201</v>
      </c>
      <c r="B207" s="4">
        <f>IF(A207="","",DATE(YEAR('Mortgage Inputs'!$B$8),MONTH('Mortgage Inputs'!$B$8)+A207,DAY('Mortgage Inputs'!$B$8)))</f>
        <v>52444</v>
      </c>
      <c r="C207" s="2">
        <f t="shared" si="10"/>
        <v>264295.77121682506</v>
      </c>
      <c r="D207" s="2">
        <f t="shared" si="11"/>
        <v>150000</v>
      </c>
      <c r="E207" s="2">
        <f>IF(A207="","",MAX(0,(C207-MIN(D207,C207))*'Mortgage Inputs'!$B$15))</f>
        <v>608.6249817295934</v>
      </c>
      <c r="F207" s="2">
        <f>IF(A207="","",IF(AND('Offset Inputs'!$B$5&gt;='Mortgage Inputs'!$B$5,'Mortgage Inputs'!$B$5&gt;0),C207,MIN(C207,MAX(0,'Mortgage Inputs'!$B$17-E207))))</f>
        <v>3452.90838607776</v>
      </c>
      <c r="G207" s="2">
        <f t="shared" si="9"/>
        <v>260842.8628307473</v>
      </c>
      <c r="H207" s="2">
        <f>IF(A207="","",IF(AND('Offset Inputs'!$B$5&gt;='Mortgage Inputs'!$B$5,'Mortgage Inputs'!$B$5&gt;0),'Offset Inputs'!$B$5-'Mortgage Inputs'!$B$5,D207+'Offset Inputs'!$B$6))</f>
        <v>150500</v>
      </c>
    </row>
    <row r="208" spans="1:8" ht="22" customHeight="1">
      <c r="A208" s="1">
        <f>IF(AND('Mortgage Inputs'!$B$12,202&lt;=IF('Mortgage Inputs'!$B$12,'Mortgage Inputs'!$B$7,0)*12+600,ISNUMBER(G207),G207&gt;0.005),202,"")</f>
        <v>202</v>
      </c>
      <c r="B208" s="4">
        <f>IF(A208="","",DATE(YEAR('Mortgage Inputs'!$B$8),MONTH('Mortgage Inputs'!$B$8)+A208,DAY('Mortgage Inputs'!$B$8)))</f>
        <v>52475</v>
      </c>
      <c r="C208" s="2">
        <f t="shared" si="10"/>
        <v>260842.8628307473</v>
      </c>
      <c r="D208" s="2">
        <f t="shared" si="11"/>
        <v>150500</v>
      </c>
      <c r="E208" s="2">
        <f>IF(A208="","",MAX(0,(C208-MIN(D208,C208))*'Mortgage Inputs'!$B$15))</f>
        <v>587.57574457372937</v>
      </c>
      <c r="F208" s="2">
        <f>IF(A208="","",IF(AND('Offset Inputs'!$B$5&gt;='Mortgage Inputs'!$B$5,'Mortgage Inputs'!$B$5&gt;0),C208,MIN(C208,MAX(0,'Mortgage Inputs'!$B$17-E208))))</f>
        <v>3473.957623233624</v>
      </c>
      <c r="G208" s="2">
        <f t="shared" si="9"/>
        <v>257368.90520751369</v>
      </c>
      <c r="H208" s="2">
        <f>IF(A208="","",IF(AND('Offset Inputs'!$B$5&gt;='Mortgage Inputs'!$B$5,'Mortgage Inputs'!$B$5&gt;0),'Offset Inputs'!$B$5-'Mortgage Inputs'!$B$5,D208+'Offset Inputs'!$B$6))</f>
        <v>151000</v>
      </c>
    </row>
    <row r="209" spans="1:8" ht="22" customHeight="1">
      <c r="A209" s="1">
        <f>IF(AND('Mortgage Inputs'!$B$12,203&lt;=IF('Mortgage Inputs'!$B$12,'Mortgage Inputs'!$B$7,0)*12+600,ISNUMBER(G208),G208&gt;0.005),203,"")</f>
        <v>203</v>
      </c>
      <c r="B209" s="4">
        <f>IF(A209="","",DATE(YEAR('Mortgage Inputs'!$B$8),MONTH('Mortgage Inputs'!$B$8)+A209,DAY('Mortgage Inputs'!$B$8)))</f>
        <v>52505</v>
      </c>
      <c r="C209" s="2">
        <f t="shared" si="10"/>
        <v>257368.90520751369</v>
      </c>
      <c r="D209" s="2">
        <f t="shared" si="11"/>
        <v>151000</v>
      </c>
      <c r="E209" s="2">
        <f>IF(A209="","",MAX(0,(C209-MIN(D209,C209))*'Mortgage Inputs'!$B$15))</f>
        <v>566.41442023001036</v>
      </c>
      <c r="F209" s="2">
        <f>IF(A209="","",IF(AND('Offset Inputs'!$B$5&gt;='Mortgage Inputs'!$B$5,'Mortgage Inputs'!$B$5&gt;0),C209,MIN(C209,MAX(0,'Mortgage Inputs'!$B$17-E209))))</f>
        <v>3495.1189475773431</v>
      </c>
      <c r="G209" s="2">
        <f t="shared" si="9"/>
        <v>253873.78625993634</v>
      </c>
      <c r="H209" s="2">
        <f>IF(A209="","",IF(AND('Offset Inputs'!$B$5&gt;='Mortgage Inputs'!$B$5,'Mortgage Inputs'!$B$5&gt;0),'Offset Inputs'!$B$5-'Mortgage Inputs'!$B$5,D209+'Offset Inputs'!$B$6))</f>
        <v>151500</v>
      </c>
    </row>
    <row r="210" spans="1:8" ht="22" customHeight="1">
      <c r="A210" s="1">
        <f>IF(AND('Mortgage Inputs'!$B$12,204&lt;=IF('Mortgage Inputs'!$B$12,'Mortgage Inputs'!$B$7,0)*12+600,ISNUMBER(G209),G209&gt;0.005),204,"")</f>
        <v>204</v>
      </c>
      <c r="B210" s="4">
        <f>IF(A210="","",DATE(YEAR('Mortgage Inputs'!$B$8),MONTH('Mortgage Inputs'!$B$8)+A210,DAY('Mortgage Inputs'!$B$8)))</f>
        <v>52536</v>
      </c>
      <c r="C210" s="2">
        <f t="shared" si="10"/>
        <v>253873.78625993634</v>
      </c>
      <c r="D210" s="2">
        <f t="shared" si="11"/>
        <v>151500</v>
      </c>
      <c r="E210" s="2">
        <f>IF(A210="","",MAX(0,(C210-MIN(D210,C210))*'Mortgage Inputs'!$B$15))</f>
        <v>545.140411834161</v>
      </c>
      <c r="F210" s="2">
        <f>IF(A210="","",IF(AND('Offset Inputs'!$B$5&gt;='Mortgage Inputs'!$B$5,'Mortgage Inputs'!$B$5&gt;0),C210,MIN(C210,MAX(0,'Mortgage Inputs'!$B$17-E210))))</f>
        <v>3516.3929559731923</v>
      </c>
      <c r="G210" s="2">
        <f t="shared" si="9"/>
        <v>250357.39330396315</v>
      </c>
      <c r="H210" s="2">
        <f>IF(A210="","",IF(AND('Offset Inputs'!$B$5&gt;='Mortgage Inputs'!$B$5,'Mortgage Inputs'!$B$5&gt;0),'Offset Inputs'!$B$5-'Mortgage Inputs'!$B$5,D210+'Offset Inputs'!$B$6))</f>
        <v>152000</v>
      </c>
    </row>
    <row r="211" spans="1:8" ht="22" customHeight="1">
      <c r="A211" s="1">
        <f>IF(AND('Mortgage Inputs'!$B$12,205&lt;=IF('Mortgage Inputs'!$B$12,'Mortgage Inputs'!$B$7,0)*12+600,ISNUMBER(G210),G210&gt;0.005),205,"")</f>
        <v>205</v>
      </c>
      <c r="B211" s="4">
        <f>IF(A211="","",DATE(YEAR('Mortgage Inputs'!$B$8),MONTH('Mortgage Inputs'!$B$8)+A211,DAY('Mortgage Inputs'!$B$8)))</f>
        <v>52566</v>
      </c>
      <c r="C211" s="2">
        <f t="shared" si="10"/>
        <v>250357.39330396315</v>
      </c>
      <c r="D211" s="2">
        <f t="shared" si="11"/>
        <v>152000</v>
      </c>
      <c r="E211" s="2">
        <f>IF(A211="","",MAX(0,(C211-MIN(D211,C211))*'Mortgage Inputs'!$B$15))</f>
        <v>523.75311934360377</v>
      </c>
      <c r="F211" s="2">
        <f>IF(A211="","",IF(AND('Offset Inputs'!$B$5&gt;='Mortgage Inputs'!$B$5,'Mortgage Inputs'!$B$5&gt;0),C211,MIN(C211,MAX(0,'Mortgage Inputs'!$B$17-E211))))</f>
        <v>3537.7802484637496</v>
      </c>
      <c r="G211" s="2">
        <f t="shared" si="9"/>
        <v>246819.61305549942</v>
      </c>
      <c r="H211" s="2">
        <f>IF(A211="","",IF(AND('Offset Inputs'!$B$5&gt;='Mortgage Inputs'!$B$5,'Mortgage Inputs'!$B$5&gt;0),'Offset Inputs'!$B$5-'Mortgage Inputs'!$B$5,D211+'Offset Inputs'!$B$6))</f>
        <v>152500</v>
      </c>
    </row>
    <row r="212" spans="1:8" ht="22" customHeight="1">
      <c r="A212" s="1">
        <f>IF(AND('Mortgage Inputs'!$B$12,206&lt;=IF('Mortgage Inputs'!$B$12,'Mortgage Inputs'!$B$7,0)*12+600,ISNUMBER(G211),G211&gt;0.005),206,"")</f>
        <v>206</v>
      </c>
      <c r="B212" s="4">
        <f>IF(A212="","",DATE(YEAR('Mortgage Inputs'!$B$8),MONTH('Mortgage Inputs'!$B$8)+A212,DAY('Mortgage Inputs'!$B$8)))</f>
        <v>52597</v>
      </c>
      <c r="C212" s="2">
        <f t="shared" si="10"/>
        <v>246819.61305549942</v>
      </c>
      <c r="D212" s="2">
        <f t="shared" si="11"/>
        <v>152500</v>
      </c>
      <c r="E212" s="2">
        <f>IF(A212="","",MAX(0,(C212-MIN(D212,C212))*'Mortgage Inputs'!$B$15))</f>
        <v>502.25193952053439</v>
      </c>
      <c r="F212" s="2">
        <f>IF(A212="","",IF(AND('Offset Inputs'!$B$5&gt;='Mortgage Inputs'!$B$5,'Mortgage Inputs'!$B$5&gt;0),C212,MIN(C212,MAX(0,'Mortgage Inputs'!$B$17-E212))))</f>
        <v>3559.2814282868189</v>
      </c>
      <c r="G212" s="2">
        <f t="shared" si="9"/>
        <v>243260.33162721261</v>
      </c>
      <c r="H212" s="2">
        <f>IF(A212="","",IF(AND('Offset Inputs'!$B$5&gt;='Mortgage Inputs'!$B$5,'Mortgage Inputs'!$B$5&gt;0),'Offset Inputs'!$B$5-'Mortgage Inputs'!$B$5,D212+'Offset Inputs'!$B$6))</f>
        <v>153000</v>
      </c>
    </row>
    <row r="213" spans="1:8" ht="22" customHeight="1">
      <c r="A213" s="1">
        <f>IF(AND('Mortgage Inputs'!$B$12,207&lt;=IF('Mortgage Inputs'!$B$12,'Mortgage Inputs'!$B$7,0)*12+600,ISNUMBER(G212),G212&gt;0.005),207,"")</f>
        <v>207</v>
      </c>
      <c r="B213" s="4">
        <f>IF(A213="","",DATE(YEAR('Mortgage Inputs'!$B$8),MONTH('Mortgage Inputs'!$B$8)+A213,DAY('Mortgage Inputs'!$B$8)))</f>
        <v>52628</v>
      </c>
      <c r="C213" s="2">
        <f t="shared" si="10"/>
        <v>243260.33162721261</v>
      </c>
      <c r="D213" s="2">
        <f t="shared" si="11"/>
        <v>153000</v>
      </c>
      <c r="E213" s="2">
        <f>IF(A213="","",MAX(0,(C213-MIN(D213,C213))*'Mortgage Inputs'!$B$15))</f>
        <v>480.63626591490714</v>
      </c>
      <c r="F213" s="2">
        <f>IF(A213="","",IF(AND('Offset Inputs'!$B$5&gt;='Mortgage Inputs'!$B$5,'Mortgage Inputs'!$B$5&gt;0),C213,MIN(C213,MAX(0,'Mortgage Inputs'!$B$17-E213))))</f>
        <v>3580.8971018924462</v>
      </c>
      <c r="G213" s="2">
        <f t="shared" si="9"/>
        <v>239679.43452532016</v>
      </c>
      <c r="H213" s="2">
        <f>IF(A213="","",IF(AND('Offset Inputs'!$B$5&gt;='Mortgage Inputs'!$B$5,'Mortgage Inputs'!$B$5&gt;0),'Offset Inputs'!$B$5-'Mortgage Inputs'!$B$5,D213+'Offset Inputs'!$B$6))</f>
        <v>153500</v>
      </c>
    </row>
    <row r="214" spans="1:8" ht="22" customHeight="1">
      <c r="A214" s="1">
        <f>IF(AND('Mortgage Inputs'!$B$12,208&lt;=IF('Mortgage Inputs'!$B$12,'Mortgage Inputs'!$B$7,0)*12+600,ISNUMBER(G213),G213&gt;0.005),208,"")</f>
        <v>208</v>
      </c>
      <c r="B214" s="4">
        <f>IF(A214="","",DATE(YEAR('Mortgage Inputs'!$B$8),MONTH('Mortgage Inputs'!$B$8)+A214,DAY('Mortgage Inputs'!$B$8)))</f>
        <v>52657</v>
      </c>
      <c r="C214" s="2">
        <f t="shared" si="10"/>
        <v>239679.43452532016</v>
      </c>
      <c r="D214" s="2">
        <f t="shared" si="11"/>
        <v>153500</v>
      </c>
      <c r="E214" s="2">
        <f>IF(A214="","",MAX(0,(C214-MIN(D214,C214))*'Mortgage Inputs'!$B$15))</f>
        <v>458.90548884732982</v>
      </c>
      <c r="F214" s="2">
        <f>IF(A214="","",IF(AND('Offset Inputs'!$B$5&gt;='Mortgage Inputs'!$B$5,'Mortgage Inputs'!$B$5&gt;0),C214,MIN(C214,MAX(0,'Mortgage Inputs'!$B$17-E214))))</f>
        <v>3602.6278789600237</v>
      </c>
      <c r="G214" s="2">
        <f t="shared" si="9"/>
        <v>236076.80664636014</v>
      </c>
      <c r="H214" s="2">
        <f>IF(A214="","",IF(AND('Offset Inputs'!$B$5&gt;='Mortgage Inputs'!$B$5,'Mortgage Inputs'!$B$5&gt;0),'Offset Inputs'!$B$5-'Mortgage Inputs'!$B$5,D214+'Offset Inputs'!$B$6))</f>
        <v>154000</v>
      </c>
    </row>
    <row r="215" spans="1:8" ht="22" customHeight="1">
      <c r="A215" s="1">
        <f>IF(AND('Mortgage Inputs'!$B$12,209&lt;=IF('Mortgage Inputs'!$B$12,'Mortgage Inputs'!$B$7,0)*12+600,ISNUMBER(G214),G214&gt;0.005),209,"")</f>
        <v>209</v>
      </c>
      <c r="B215" s="4">
        <f>IF(A215="","",DATE(YEAR('Mortgage Inputs'!$B$8),MONTH('Mortgage Inputs'!$B$8)+A215,DAY('Mortgage Inputs'!$B$8)))</f>
        <v>52688</v>
      </c>
      <c r="C215" s="2">
        <f t="shared" si="10"/>
        <v>236076.80664636014</v>
      </c>
      <c r="D215" s="2">
        <f t="shared" si="11"/>
        <v>154000</v>
      </c>
      <c r="E215" s="2">
        <f>IF(A215="","",MAX(0,(C215-MIN(D215,C215))*'Mortgage Inputs'!$B$15))</f>
        <v>437.05899539186777</v>
      </c>
      <c r="F215" s="2">
        <f>IF(A215="","",IF(AND('Offset Inputs'!$B$5&gt;='Mortgage Inputs'!$B$5,'Mortgage Inputs'!$B$5&gt;0),C215,MIN(C215,MAX(0,'Mortgage Inputs'!$B$17-E215))))</f>
        <v>3624.4743724154855</v>
      </c>
      <c r="G215" s="2">
        <f t="shared" si="9"/>
        <v>232452.33227394466</v>
      </c>
      <c r="H215" s="2">
        <f>IF(A215="","",IF(AND('Offset Inputs'!$B$5&gt;='Mortgage Inputs'!$B$5,'Mortgage Inputs'!$B$5&gt;0),'Offset Inputs'!$B$5-'Mortgage Inputs'!$B$5,D215+'Offset Inputs'!$B$6))</f>
        <v>154500</v>
      </c>
    </row>
    <row r="216" spans="1:8" ht="22" customHeight="1">
      <c r="A216" s="1">
        <f>IF(AND('Mortgage Inputs'!$B$12,210&lt;=IF('Mortgage Inputs'!$B$12,'Mortgage Inputs'!$B$7,0)*12+600,ISNUMBER(G215),G215&gt;0.005),210,"")</f>
        <v>210</v>
      </c>
      <c r="B216" s="4">
        <f>IF(A216="","",DATE(YEAR('Mortgage Inputs'!$B$8),MONTH('Mortgage Inputs'!$B$8)+A216,DAY('Mortgage Inputs'!$B$8)))</f>
        <v>52718</v>
      </c>
      <c r="C216" s="2">
        <f t="shared" si="10"/>
        <v>232452.33227394466</v>
      </c>
      <c r="D216" s="2">
        <f t="shared" si="11"/>
        <v>154500</v>
      </c>
      <c r="E216" s="2">
        <f>IF(A216="","",MAX(0,(C216-MIN(D216,C216))*'Mortgage Inputs'!$B$15))</f>
        <v>415.09616935875528</v>
      </c>
      <c r="F216" s="2">
        <f>IF(A216="","",IF(AND('Offset Inputs'!$B$5&gt;='Mortgage Inputs'!$B$5,'Mortgage Inputs'!$B$5&gt;0),C216,MIN(C216,MAX(0,'Mortgage Inputs'!$B$17-E216))))</f>
        <v>3646.4371984485983</v>
      </c>
      <c r="G216" s="2">
        <f t="shared" si="9"/>
        <v>228805.89507549605</v>
      </c>
      <c r="H216" s="2">
        <f>IF(A216="","",IF(AND('Offset Inputs'!$B$5&gt;='Mortgage Inputs'!$B$5,'Mortgage Inputs'!$B$5&gt;0),'Offset Inputs'!$B$5-'Mortgage Inputs'!$B$5,D216+'Offset Inputs'!$B$6))</f>
        <v>155000</v>
      </c>
    </row>
    <row r="217" spans="1:8" ht="22" customHeight="1">
      <c r="A217" s="1">
        <f>IF(AND('Mortgage Inputs'!$B$12,211&lt;=IF('Mortgage Inputs'!$B$12,'Mortgage Inputs'!$B$7,0)*12+600,ISNUMBER(G216),G216&gt;0.005),211,"")</f>
        <v>211</v>
      </c>
      <c r="B217" s="4">
        <f>IF(A217="","",DATE(YEAR('Mortgage Inputs'!$B$8),MONTH('Mortgage Inputs'!$B$8)+A217,DAY('Mortgage Inputs'!$B$8)))</f>
        <v>52749</v>
      </c>
      <c r="C217" s="2">
        <f t="shared" si="10"/>
        <v>228805.89507549605</v>
      </c>
      <c r="D217" s="2">
        <f t="shared" si="11"/>
        <v>155000</v>
      </c>
      <c r="E217" s="2">
        <f>IF(A217="","",MAX(0,(C217-MIN(D217,C217))*'Mortgage Inputs'!$B$15))</f>
        <v>393.01639127701645</v>
      </c>
      <c r="F217" s="2">
        <f>IF(A217="","",IF(AND('Offset Inputs'!$B$5&gt;='Mortgage Inputs'!$B$5,'Mortgage Inputs'!$B$5&gt;0),C217,MIN(C217,MAX(0,'Mortgage Inputs'!$B$17-E217))))</f>
        <v>3668.5169765303372</v>
      </c>
      <c r="G217" s="2">
        <f t="shared" si="9"/>
        <v>225137.37809896571</v>
      </c>
      <c r="H217" s="2">
        <f>IF(A217="","",IF(AND('Offset Inputs'!$B$5&gt;='Mortgage Inputs'!$B$5,'Mortgage Inputs'!$B$5&gt;0),'Offset Inputs'!$B$5-'Mortgage Inputs'!$B$5,D217+'Offset Inputs'!$B$6))</f>
        <v>155500</v>
      </c>
    </row>
    <row r="218" spans="1:8" ht="22" customHeight="1">
      <c r="A218" s="1">
        <f>IF(AND('Mortgage Inputs'!$B$12,212&lt;=IF('Mortgage Inputs'!$B$12,'Mortgage Inputs'!$B$7,0)*12+600,ISNUMBER(G217),G217&gt;0.005),212,"")</f>
        <v>212</v>
      </c>
      <c r="B218" s="4">
        <f>IF(A218="","",DATE(YEAR('Mortgage Inputs'!$B$8),MONTH('Mortgage Inputs'!$B$8)+A218,DAY('Mortgage Inputs'!$B$8)))</f>
        <v>52779</v>
      </c>
      <c r="C218" s="2">
        <f t="shared" si="10"/>
        <v>225137.37809896571</v>
      </c>
      <c r="D218" s="2">
        <f t="shared" si="11"/>
        <v>155500</v>
      </c>
      <c r="E218" s="2">
        <f>IF(A218="","",MAX(0,(C218-MIN(D218,C218))*'Mortgage Inputs'!$B$15))</f>
        <v>370.81903837699241</v>
      </c>
      <c r="F218" s="2">
        <f>IF(A218="","",IF(AND('Offset Inputs'!$B$5&gt;='Mortgage Inputs'!$B$5,'Mortgage Inputs'!$B$5&gt;0),C218,MIN(C218,MAX(0,'Mortgage Inputs'!$B$17-E218))))</f>
        <v>3690.714329430361</v>
      </c>
      <c r="G218" s="2">
        <f t="shared" si="9"/>
        <v>221446.66376953534</v>
      </c>
      <c r="H218" s="2">
        <f>IF(A218="","",IF(AND('Offset Inputs'!$B$5&gt;='Mortgage Inputs'!$B$5,'Mortgage Inputs'!$B$5&gt;0),'Offset Inputs'!$B$5-'Mortgage Inputs'!$B$5,D218+'Offset Inputs'!$B$6))</f>
        <v>156000</v>
      </c>
    </row>
    <row r="219" spans="1:8" ht="22" customHeight="1">
      <c r="A219" s="1">
        <f>IF(AND('Mortgage Inputs'!$B$12,213&lt;=IF('Mortgage Inputs'!$B$12,'Mortgage Inputs'!$B$7,0)*12+600,ISNUMBER(G218),G218&gt;0.005),213,"")</f>
        <v>213</v>
      </c>
      <c r="B219" s="4">
        <f>IF(A219="","",DATE(YEAR('Mortgage Inputs'!$B$8),MONTH('Mortgage Inputs'!$B$8)+A219,DAY('Mortgage Inputs'!$B$8)))</f>
        <v>52810</v>
      </c>
      <c r="C219" s="2">
        <f t="shared" si="10"/>
        <v>221446.66376953534</v>
      </c>
      <c r="D219" s="2">
        <f t="shared" si="11"/>
        <v>156000</v>
      </c>
      <c r="E219" s="2">
        <f>IF(A219="","",MAX(0,(C219-MIN(D219,C219))*'Mortgage Inputs'!$B$15))</f>
        <v>348.50348457277568</v>
      </c>
      <c r="F219" s="2">
        <f>IF(A219="","",IF(AND('Offset Inputs'!$B$5&gt;='Mortgage Inputs'!$B$5,'Mortgage Inputs'!$B$5&gt;0),C219,MIN(C219,MAX(0,'Mortgage Inputs'!$B$17-E219))))</f>
        <v>3713.0298832345779</v>
      </c>
      <c r="G219" s="2">
        <f t="shared" si="9"/>
        <v>217733.63388630075</v>
      </c>
      <c r="H219" s="2">
        <f>IF(A219="","",IF(AND('Offset Inputs'!$B$5&gt;='Mortgage Inputs'!$B$5,'Mortgage Inputs'!$B$5&gt;0),'Offset Inputs'!$B$5-'Mortgage Inputs'!$B$5,D219+'Offset Inputs'!$B$6))</f>
        <v>156500</v>
      </c>
    </row>
    <row r="220" spans="1:8" ht="22" customHeight="1">
      <c r="A220" s="1">
        <f>IF(AND('Mortgage Inputs'!$B$12,214&lt;=IF('Mortgage Inputs'!$B$12,'Mortgage Inputs'!$B$7,0)*12+600,ISNUMBER(G219),G219&gt;0.005),214,"")</f>
        <v>214</v>
      </c>
      <c r="B220" s="4">
        <f>IF(A220="","",DATE(YEAR('Mortgage Inputs'!$B$8),MONTH('Mortgage Inputs'!$B$8)+A220,DAY('Mortgage Inputs'!$B$8)))</f>
        <v>52841</v>
      </c>
      <c r="C220" s="2">
        <f t="shared" si="10"/>
        <v>217733.63388630075</v>
      </c>
      <c r="D220" s="2">
        <f t="shared" si="11"/>
        <v>156500</v>
      </c>
      <c r="E220" s="2">
        <f>IF(A220="","",MAX(0,(C220-MIN(D220,C220))*'Mortgage Inputs'!$B$15))</f>
        <v>326.06910044455151</v>
      </c>
      <c r="F220" s="2">
        <f>IF(A220="","",IF(AND('Offset Inputs'!$B$5&gt;='Mortgage Inputs'!$B$5,'Mortgage Inputs'!$B$5&gt;0),C220,MIN(C220,MAX(0,'Mortgage Inputs'!$B$17-E220))))</f>
        <v>3735.4642673628018</v>
      </c>
      <c r="G220" s="2">
        <f t="shared" si="9"/>
        <v>213998.16961893794</v>
      </c>
      <c r="H220" s="2">
        <f>IF(A220="","",IF(AND('Offset Inputs'!$B$5&gt;='Mortgage Inputs'!$B$5,'Mortgage Inputs'!$B$5&gt;0),'Offset Inputs'!$B$5-'Mortgage Inputs'!$B$5,D220+'Offset Inputs'!$B$6))</f>
        <v>157000</v>
      </c>
    </row>
    <row r="221" spans="1:8" ht="22" customHeight="1">
      <c r="A221" s="1">
        <f>IF(AND('Mortgage Inputs'!$B$12,215&lt;=IF('Mortgage Inputs'!$B$12,'Mortgage Inputs'!$B$7,0)*12+600,ISNUMBER(G220),G220&gt;0.005),215,"")</f>
        <v>215</v>
      </c>
      <c r="B221" s="4">
        <f>IF(A221="","",DATE(YEAR('Mortgage Inputs'!$B$8),MONTH('Mortgage Inputs'!$B$8)+A221,DAY('Mortgage Inputs'!$B$8)))</f>
        <v>52871</v>
      </c>
      <c r="C221" s="2">
        <f t="shared" si="10"/>
        <v>213998.16961893794</v>
      </c>
      <c r="D221" s="2">
        <f t="shared" si="11"/>
        <v>157000</v>
      </c>
      <c r="E221" s="2">
        <f>IF(A221="","",MAX(0,(C221-MIN(D221,C221))*'Mortgage Inputs'!$B$15))</f>
        <v>303.51525322084456</v>
      </c>
      <c r="F221" s="2">
        <f>IF(A221="","",IF(AND('Offset Inputs'!$B$5&gt;='Mortgage Inputs'!$B$5,'Mortgage Inputs'!$B$5&gt;0),C221,MIN(C221,MAX(0,'Mortgage Inputs'!$B$17-E221))))</f>
        <v>3758.018114586509</v>
      </c>
      <c r="G221" s="2">
        <f t="shared" si="9"/>
        <v>210240.15150435144</v>
      </c>
      <c r="H221" s="2">
        <f>IF(A221="","",IF(AND('Offset Inputs'!$B$5&gt;='Mortgage Inputs'!$B$5,'Mortgage Inputs'!$B$5&gt;0),'Offset Inputs'!$B$5-'Mortgage Inputs'!$B$5,D221+'Offset Inputs'!$B$6))</f>
        <v>157500</v>
      </c>
    </row>
    <row r="222" spans="1:8" ht="22" customHeight="1">
      <c r="A222" s="1">
        <f>IF(AND('Mortgage Inputs'!$B$12,216&lt;=IF('Mortgage Inputs'!$B$12,'Mortgage Inputs'!$B$7,0)*12+600,ISNUMBER(G221),G221&gt;0.005),216,"")</f>
        <v>216</v>
      </c>
      <c r="B222" s="4">
        <f>IF(A222="","",DATE(YEAR('Mortgage Inputs'!$B$8),MONTH('Mortgage Inputs'!$B$8)+A222,DAY('Mortgage Inputs'!$B$8)))</f>
        <v>52902</v>
      </c>
      <c r="C222" s="2">
        <f t="shared" si="10"/>
        <v>210240.15150435144</v>
      </c>
      <c r="D222" s="2">
        <f t="shared" si="11"/>
        <v>157500</v>
      </c>
      <c r="E222" s="2">
        <f>IF(A222="","",MAX(0,(C222-MIN(D222,C222))*'Mortgage Inputs'!$B$15))</f>
        <v>280.84130676067139</v>
      </c>
      <c r="F222" s="2">
        <f>IF(A222="","",IF(AND('Offset Inputs'!$B$5&gt;='Mortgage Inputs'!$B$5,'Mortgage Inputs'!$B$5&gt;0),C222,MIN(C222,MAX(0,'Mortgage Inputs'!$B$17-E222))))</f>
        <v>3780.6920610466823</v>
      </c>
      <c r="G222" s="2">
        <f t="shared" si="9"/>
        <v>206459.45944330475</v>
      </c>
      <c r="H222" s="2">
        <f>IF(A222="","",IF(AND('Offset Inputs'!$B$5&gt;='Mortgage Inputs'!$B$5,'Mortgage Inputs'!$B$5&gt;0),'Offset Inputs'!$B$5-'Mortgage Inputs'!$B$5,D222+'Offset Inputs'!$B$6))</f>
        <v>158000</v>
      </c>
    </row>
    <row r="223" spans="1:8" ht="22" customHeight="1">
      <c r="A223" s="1">
        <f>IF(AND('Mortgage Inputs'!$B$12,217&lt;=IF('Mortgage Inputs'!$B$12,'Mortgage Inputs'!$B$7,0)*12+600,ISNUMBER(G222),G222&gt;0.005),217,"")</f>
        <v>217</v>
      </c>
      <c r="B223" s="4">
        <f>IF(A223="","",DATE(YEAR('Mortgage Inputs'!$B$8),MONTH('Mortgage Inputs'!$B$8)+A223,DAY('Mortgage Inputs'!$B$8)))</f>
        <v>52932</v>
      </c>
      <c r="C223" s="2">
        <f t="shared" si="10"/>
        <v>206459.45944330475</v>
      </c>
      <c r="D223" s="2">
        <f t="shared" si="11"/>
        <v>158000</v>
      </c>
      <c r="E223" s="2">
        <f>IF(A223="","",MAX(0,(C223-MIN(D223,C223))*'Mortgage Inputs'!$B$15))</f>
        <v>258.04662153559775</v>
      </c>
      <c r="F223" s="2">
        <f>IF(A223="","",IF(AND('Offset Inputs'!$B$5&gt;='Mortgage Inputs'!$B$5,'Mortgage Inputs'!$B$5&gt;0),C223,MIN(C223,MAX(0,'Mortgage Inputs'!$B$17-E223))))</f>
        <v>3803.4867462717557</v>
      </c>
      <c r="G223" s="2">
        <f t="shared" si="9"/>
        <v>202655.97269703299</v>
      </c>
      <c r="H223" s="2">
        <f>IF(A223="","",IF(AND('Offset Inputs'!$B$5&gt;='Mortgage Inputs'!$B$5,'Mortgage Inputs'!$B$5&gt;0),'Offset Inputs'!$B$5-'Mortgage Inputs'!$B$5,D223+'Offset Inputs'!$B$6))</f>
        <v>158500</v>
      </c>
    </row>
    <row r="224" spans="1:8" ht="22" customHeight="1">
      <c r="A224" s="1">
        <f>IF(AND('Mortgage Inputs'!$B$12,218&lt;=IF('Mortgage Inputs'!$B$12,'Mortgage Inputs'!$B$7,0)*12+600,ISNUMBER(G223),G223&gt;0.005),218,"")</f>
        <v>218</v>
      </c>
      <c r="B224" s="4">
        <f>IF(A224="","",DATE(YEAR('Mortgage Inputs'!$B$8),MONTH('Mortgage Inputs'!$B$8)+A224,DAY('Mortgage Inputs'!$B$8)))</f>
        <v>52963</v>
      </c>
      <c r="C224" s="2">
        <f t="shared" si="10"/>
        <v>202655.97269703299</v>
      </c>
      <c r="D224" s="2">
        <f t="shared" si="11"/>
        <v>158500</v>
      </c>
      <c r="E224" s="2">
        <f>IF(A224="","",MAX(0,(C224-MIN(D224,C224))*'Mortgage Inputs'!$B$15))</f>
        <v>235.13055461170069</v>
      </c>
      <c r="F224" s="2">
        <f>IF(A224="","",IF(AND('Offset Inputs'!$B$5&gt;='Mortgage Inputs'!$B$5,'Mortgage Inputs'!$B$5&gt;0),C224,MIN(C224,MAX(0,'Mortgage Inputs'!$B$17-E224))))</f>
        <v>3826.4028131956529</v>
      </c>
      <c r="G224" s="2">
        <f t="shared" si="9"/>
        <v>198829.56988383734</v>
      </c>
      <c r="H224" s="2">
        <f>IF(A224="","",IF(AND('Offset Inputs'!$B$5&gt;='Mortgage Inputs'!$B$5,'Mortgage Inputs'!$B$5&gt;0),'Offset Inputs'!$B$5-'Mortgage Inputs'!$B$5,D224+'Offset Inputs'!$B$6))</f>
        <v>159000</v>
      </c>
    </row>
    <row r="225" spans="1:8" ht="22" customHeight="1">
      <c r="A225" s="1">
        <f>IF(AND('Mortgage Inputs'!$B$12,219&lt;=IF('Mortgage Inputs'!$B$12,'Mortgage Inputs'!$B$7,0)*12+600,ISNUMBER(G224),G224&gt;0.005),219,"")</f>
        <v>219</v>
      </c>
      <c r="B225" s="4">
        <f>IF(A225="","",DATE(YEAR('Mortgage Inputs'!$B$8),MONTH('Mortgage Inputs'!$B$8)+A225,DAY('Mortgage Inputs'!$B$8)))</f>
        <v>52994</v>
      </c>
      <c r="C225" s="2">
        <f t="shared" si="10"/>
        <v>198829.56988383734</v>
      </c>
      <c r="D225" s="2">
        <f t="shared" si="11"/>
        <v>159000</v>
      </c>
      <c r="E225" s="2">
        <f>IF(A225="","",MAX(0,(C225-MIN(D225,C225))*'Mortgage Inputs'!$B$15))</f>
        <v>212.0924596314338</v>
      </c>
      <c r="F225" s="2">
        <f>IF(A225="","",IF(AND('Offset Inputs'!$B$5&gt;='Mortgage Inputs'!$B$5,'Mortgage Inputs'!$B$5&gt;0),C225,MIN(C225,MAX(0,'Mortgage Inputs'!$B$17-E225))))</f>
        <v>3849.4409081759195</v>
      </c>
      <c r="G225" s="2">
        <f t="shared" si="9"/>
        <v>194980.12897566141</v>
      </c>
      <c r="H225" s="2">
        <f>IF(A225="","",IF(AND('Offset Inputs'!$B$5&gt;='Mortgage Inputs'!$B$5,'Mortgage Inputs'!$B$5&gt;0),'Offset Inputs'!$B$5-'Mortgage Inputs'!$B$5,D225+'Offset Inputs'!$B$6))</f>
        <v>159500</v>
      </c>
    </row>
    <row r="226" spans="1:8" ht="22" customHeight="1">
      <c r="A226" s="1">
        <f>IF(AND('Mortgage Inputs'!$B$12,220&lt;=IF('Mortgage Inputs'!$B$12,'Mortgage Inputs'!$B$7,0)*12+600,ISNUMBER(G225),G225&gt;0.005),220,"")</f>
        <v>220</v>
      </c>
      <c r="B226" s="4">
        <f>IF(A226="","",DATE(YEAR('Mortgage Inputs'!$B$8),MONTH('Mortgage Inputs'!$B$8)+A226,DAY('Mortgage Inputs'!$B$8)))</f>
        <v>53022</v>
      </c>
      <c r="C226" s="2">
        <f t="shared" si="10"/>
        <v>194980.12897566141</v>
      </c>
      <c r="D226" s="2">
        <f t="shared" si="11"/>
        <v>159500</v>
      </c>
      <c r="E226" s="2">
        <f>IF(A226="","",MAX(0,(C226-MIN(D226,C226))*'Mortgage Inputs'!$B$15))</f>
        <v>188.93168679539701</v>
      </c>
      <c r="F226" s="2">
        <f>IF(A226="","",IF(AND('Offset Inputs'!$B$5&gt;='Mortgage Inputs'!$B$5,'Mortgage Inputs'!$B$5&gt;0),C226,MIN(C226,MAX(0,'Mortgage Inputs'!$B$17-E226))))</f>
        <v>3872.6016810119563</v>
      </c>
      <c r="G226" s="2">
        <f t="shared" si="9"/>
        <v>191107.52729464945</v>
      </c>
      <c r="H226" s="2">
        <f>IF(A226="","",IF(AND('Offset Inputs'!$B$5&gt;='Mortgage Inputs'!$B$5,'Mortgage Inputs'!$B$5&gt;0),'Offset Inputs'!$B$5-'Mortgage Inputs'!$B$5,D226+'Offset Inputs'!$B$6))</f>
        <v>160000</v>
      </c>
    </row>
    <row r="227" spans="1:8" ht="22" customHeight="1">
      <c r="A227" s="1">
        <f>IF(AND('Mortgage Inputs'!$B$12,221&lt;=IF('Mortgage Inputs'!$B$12,'Mortgage Inputs'!$B$7,0)*12+600,ISNUMBER(G226),G226&gt;0.005),221,"")</f>
        <v>221</v>
      </c>
      <c r="B227" s="4">
        <f>IF(A227="","",DATE(YEAR('Mortgage Inputs'!$B$8),MONTH('Mortgage Inputs'!$B$8)+A227,DAY('Mortgage Inputs'!$B$8)))</f>
        <v>53053</v>
      </c>
      <c r="C227" s="2">
        <f t="shared" si="10"/>
        <v>191107.52729464945</v>
      </c>
      <c r="D227" s="2">
        <f t="shared" si="11"/>
        <v>160000</v>
      </c>
      <c r="E227" s="2">
        <f>IF(A227="","",MAX(0,(C227-MIN(D227,C227))*'Mortgage Inputs'!$B$15))</f>
        <v>165.64758284400833</v>
      </c>
      <c r="F227" s="2">
        <f>IF(A227="","",IF(AND('Offset Inputs'!$B$5&gt;='Mortgage Inputs'!$B$5,'Mortgage Inputs'!$B$5&gt;0),C227,MIN(C227,MAX(0,'Mortgage Inputs'!$B$17-E227))))</f>
        <v>3895.885784963345</v>
      </c>
      <c r="G227" s="2">
        <f t="shared" si="9"/>
        <v>187211.6415096861</v>
      </c>
      <c r="H227" s="2">
        <f>IF(A227="","",IF(AND('Offset Inputs'!$B$5&gt;='Mortgage Inputs'!$B$5,'Mortgage Inputs'!$B$5&gt;0),'Offset Inputs'!$B$5-'Mortgage Inputs'!$B$5,D227+'Offset Inputs'!$B$6))</f>
        <v>160500</v>
      </c>
    </row>
    <row r="228" spans="1:8" ht="22" customHeight="1">
      <c r="A228" s="1">
        <f>IF(AND('Mortgage Inputs'!$B$12,222&lt;=IF('Mortgage Inputs'!$B$12,'Mortgage Inputs'!$B$7,0)*12+600,ISNUMBER(G227),G227&gt;0.005),222,"")</f>
        <v>222</v>
      </c>
      <c r="B228" s="4">
        <f>IF(A228="","",DATE(YEAR('Mortgage Inputs'!$B$8),MONTH('Mortgage Inputs'!$B$8)+A228,DAY('Mortgage Inputs'!$B$8)))</f>
        <v>53083</v>
      </c>
      <c r="C228" s="2">
        <f t="shared" si="10"/>
        <v>187211.6415096861</v>
      </c>
      <c r="D228" s="2">
        <f t="shared" si="11"/>
        <v>160500</v>
      </c>
      <c r="E228" s="2">
        <f>IF(A228="","",MAX(0,(C228-MIN(D228,C228))*'Mortgage Inputs'!$B$15))</f>
        <v>142.2394910390785</v>
      </c>
      <c r="F228" s="2">
        <f>IF(A228="","",IF(AND('Offset Inputs'!$B$5&gt;='Mortgage Inputs'!$B$5,'Mortgage Inputs'!$B$5&gt;0),C228,MIN(C228,MAX(0,'Mortgage Inputs'!$B$17-E228))))</f>
        <v>3919.2938767682749</v>
      </c>
      <c r="G228" s="2">
        <f t="shared" si="9"/>
        <v>183292.34763291784</v>
      </c>
      <c r="H228" s="2">
        <f>IF(A228="","",IF(AND('Offset Inputs'!$B$5&gt;='Mortgage Inputs'!$B$5,'Mortgage Inputs'!$B$5&gt;0),'Offset Inputs'!$B$5-'Mortgage Inputs'!$B$5,D228+'Offset Inputs'!$B$6))</f>
        <v>161000</v>
      </c>
    </row>
    <row r="229" spans="1:8" ht="22" customHeight="1">
      <c r="A229" s="1">
        <f>IF(AND('Mortgage Inputs'!$B$12,223&lt;=IF('Mortgage Inputs'!$B$12,'Mortgage Inputs'!$B$7,0)*12+600,ISNUMBER(G228),G228&gt;0.005),223,"")</f>
        <v>223</v>
      </c>
      <c r="B229" s="4">
        <f>IF(A229="","",DATE(YEAR('Mortgage Inputs'!$B$8),MONTH('Mortgage Inputs'!$B$8)+A229,DAY('Mortgage Inputs'!$B$8)))</f>
        <v>53114</v>
      </c>
      <c r="C229" s="2">
        <f t="shared" si="10"/>
        <v>183292.34763291784</v>
      </c>
      <c r="D229" s="2">
        <f t="shared" si="11"/>
        <v>161000</v>
      </c>
      <c r="E229" s="2">
        <f>IF(A229="","",MAX(0,(C229-MIN(D229,C229))*'Mortgage Inputs'!$B$15))</f>
        <v>118.70675114528748</v>
      </c>
      <c r="F229" s="2">
        <f>IF(A229="","",IF(AND('Offset Inputs'!$B$5&gt;='Mortgage Inputs'!$B$5,'Mortgage Inputs'!$B$5&gt;0),C229,MIN(C229,MAX(0,'Mortgage Inputs'!$B$17-E229))))</f>
        <v>3942.826616662066</v>
      </c>
      <c r="G229" s="2">
        <f t="shared" si="9"/>
        <v>179349.52101625578</v>
      </c>
      <c r="H229" s="2">
        <f>IF(A229="","",IF(AND('Offset Inputs'!$B$5&gt;='Mortgage Inputs'!$B$5,'Mortgage Inputs'!$B$5&gt;0),'Offset Inputs'!$B$5-'Mortgage Inputs'!$B$5,D229+'Offset Inputs'!$B$6))</f>
        <v>161500</v>
      </c>
    </row>
    <row r="230" spans="1:8" ht="22" customHeight="1">
      <c r="A230" s="1">
        <f>IF(AND('Mortgage Inputs'!$B$12,224&lt;=IF('Mortgage Inputs'!$B$12,'Mortgage Inputs'!$B$7,0)*12+600,ISNUMBER(G229),G229&gt;0.005),224,"")</f>
        <v>224</v>
      </c>
      <c r="B230" s="4">
        <f>IF(A230="","",DATE(YEAR('Mortgage Inputs'!$B$8),MONTH('Mortgage Inputs'!$B$8)+A230,DAY('Mortgage Inputs'!$B$8)))</f>
        <v>53144</v>
      </c>
      <c r="C230" s="2">
        <f t="shared" si="10"/>
        <v>179349.52101625578</v>
      </c>
      <c r="D230" s="2">
        <f t="shared" si="11"/>
        <v>161500</v>
      </c>
      <c r="E230" s="2">
        <f>IF(A230="","",MAX(0,(C230-MIN(D230,C230))*'Mortgage Inputs'!$B$15))</f>
        <v>95.048699411562012</v>
      </c>
      <c r="F230" s="2">
        <f>IF(A230="","",IF(AND('Offset Inputs'!$B$5&gt;='Mortgage Inputs'!$B$5,'Mortgage Inputs'!$B$5&gt;0),C230,MIN(C230,MAX(0,'Mortgage Inputs'!$B$17-E230))))</f>
        <v>3966.4846683957912</v>
      </c>
      <c r="G230" s="2">
        <f t="shared" si="9"/>
        <v>175383.03634785998</v>
      </c>
      <c r="H230" s="2">
        <f>IF(A230="","",IF(AND('Offset Inputs'!$B$5&gt;='Mortgage Inputs'!$B$5,'Mortgage Inputs'!$B$5&gt;0),'Offset Inputs'!$B$5-'Mortgage Inputs'!$B$5,D230+'Offset Inputs'!$B$6))</f>
        <v>162000</v>
      </c>
    </row>
    <row r="231" spans="1:8" ht="22" customHeight="1">
      <c r="A231" s="1">
        <f>IF(AND('Mortgage Inputs'!$B$12,225&lt;=IF('Mortgage Inputs'!$B$12,'Mortgage Inputs'!$B$7,0)*12+600,ISNUMBER(G230),G230&gt;0.005),225,"")</f>
        <v>225</v>
      </c>
      <c r="B231" s="4">
        <f>IF(A231="","",DATE(YEAR('Mortgage Inputs'!$B$8),MONTH('Mortgage Inputs'!$B$8)+A231,DAY('Mortgage Inputs'!$B$8)))</f>
        <v>53175</v>
      </c>
      <c r="C231" s="2">
        <f t="shared" si="10"/>
        <v>175383.03634785998</v>
      </c>
      <c r="D231" s="2">
        <f t="shared" si="11"/>
        <v>162000</v>
      </c>
      <c r="E231" s="2">
        <f>IF(A231="","",MAX(0,(C231-MIN(D231,C231))*'Mortgage Inputs'!$B$15))</f>
        <v>71.264668552354365</v>
      </c>
      <c r="F231" s="2">
        <f>IF(A231="","",IF(AND('Offset Inputs'!$B$5&gt;='Mortgage Inputs'!$B$5,'Mortgage Inputs'!$B$5&gt;0),C231,MIN(C231,MAX(0,'Mortgage Inputs'!$B$17-E231))))</f>
        <v>3990.2686992549989</v>
      </c>
      <c r="G231" s="2">
        <f t="shared" si="9"/>
        <v>171392.76764860499</v>
      </c>
      <c r="H231" s="2">
        <f>IF(A231="","",IF(AND('Offset Inputs'!$B$5&gt;='Mortgage Inputs'!$B$5,'Mortgage Inputs'!$B$5&gt;0),'Offset Inputs'!$B$5-'Mortgage Inputs'!$B$5,D231+'Offset Inputs'!$B$6))</f>
        <v>162500</v>
      </c>
    </row>
    <row r="232" spans="1:8" ht="22" customHeight="1">
      <c r="A232" s="1">
        <f>IF(AND('Mortgage Inputs'!$B$12,226&lt;=IF('Mortgage Inputs'!$B$12,'Mortgage Inputs'!$B$7,0)*12+600,ISNUMBER(G231),G231&gt;0.005),226,"")</f>
        <v>226</v>
      </c>
      <c r="B232" s="4">
        <f>IF(A232="","",DATE(YEAR('Mortgage Inputs'!$B$8),MONTH('Mortgage Inputs'!$B$8)+A232,DAY('Mortgage Inputs'!$B$8)))</f>
        <v>53206</v>
      </c>
      <c r="C232" s="2">
        <f t="shared" si="10"/>
        <v>171392.76764860499</v>
      </c>
      <c r="D232" s="2">
        <f t="shared" si="11"/>
        <v>162500</v>
      </c>
      <c r="E232" s="2">
        <f>IF(A232="","",MAX(0,(C232-MIN(D232,C232))*'Mortgage Inputs'!$B$15))</f>
        <v>47.353987728821565</v>
      </c>
      <c r="F232" s="2">
        <f>IF(A232="","",IF(AND('Offset Inputs'!$B$5&gt;='Mortgage Inputs'!$B$5,'Mortgage Inputs'!$B$5&gt;0),C232,MIN(C232,MAX(0,'Mortgage Inputs'!$B$17-E232))))</f>
        <v>4014.1793800785317</v>
      </c>
      <c r="G232" s="2">
        <f t="shared" si="9"/>
        <v>167378.58826852645</v>
      </c>
      <c r="H232" s="2">
        <f>IF(A232="","",IF(AND('Offset Inputs'!$B$5&gt;='Mortgage Inputs'!$B$5,'Mortgage Inputs'!$B$5&gt;0),'Offset Inputs'!$B$5-'Mortgage Inputs'!$B$5,D232+'Offset Inputs'!$B$6))</f>
        <v>163000</v>
      </c>
    </row>
    <row r="233" spans="1:8" ht="22" customHeight="1">
      <c r="A233" s="1">
        <f>IF(AND('Mortgage Inputs'!$B$12,227&lt;=IF('Mortgage Inputs'!$B$12,'Mortgage Inputs'!$B$7,0)*12+600,ISNUMBER(G232),G232&gt;0.005),227,"")</f>
        <v>227</v>
      </c>
      <c r="B233" s="4">
        <f>IF(A233="","",DATE(YEAR('Mortgage Inputs'!$B$8),MONTH('Mortgage Inputs'!$B$8)+A233,DAY('Mortgage Inputs'!$B$8)))</f>
        <v>53236</v>
      </c>
      <c r="C233" s="2">
        <f t="shared" si="10"/>
        <v>167378.58826852645</v>
      </c>
      <c r="D233" s="2">
        <f t="shared" si="11"/>
        <v>163000</v>
      </c>
      <c r="E233" s="2">
        <f>IF(A233="","",MAX(0,(C233-MIN(D233,C233))*'Mortgage Inputs'!$B$15))</f>
        <v>23.315982529903355</v>
      </c>
      <c r="F233" s="2">
        <f>IF(A233="","",IF(AND('Offset Inputs'!$B$5&gt;='Mortgage Inputs'!$B$5,'Mortgage Inputs'!$B$5&gt;0),C233,MIN(C233,MAX(0,'Mortgage Inputs'!$B$17-E233))))</f>
        <v>4038.2173852774499</v>
      </c>
      <c r="G233" s="2">
        <f t="shared" si="9"/>
        <v>163340.37088324901</v>
      </c>
      <c r="H233" s="2">
        <f>IF(A233="","",IF(AND('Offset Inputs'!$B$5&gt;='Mortgage Inputs'!$B$5,'Mortgage Inputs'!$B$5&gt;0),'Offset Inputs'!$B$5-'Mortgage Inputs'!$B$5,D233+'Offset Inputs'!$B$6))</f>
        <v>163500</v>
      </c>
    </row>
    <row r="234" spans="1:8" ht="22" customHeight="1">
      <c r="A234" s="1">
        <f>IF(AND('Mortgage Inputs'!$B$12,228&lt;=IF('Mortgage Inputs'!$B$12,'Mortgage Inputs'!$B$7,0)*12+600,ISNUMBER(G233),G233&gt;0.005),228,"")</f>
        <v>228</v>
      </c>
      <c r="B234" s="4">
        <f>IF(A234="","",DATE(YEAR('Mortgage Inputs'!$B$8),MONTH('Mortgage Inputs'!$B$8)+A234,DAY('Mortgage Inputs'!$B$8)))</f>
        <v>53267</v>
      </c>
      <c r="C234" s="2">
        <f t="shared" si="10"/>
        <v>163340.37088324901</v>
      </c>
      <c r="D234" s="2">
        <f t="shared" si="11"/>
        <v>163500</v>
      </c>
      <c r="E234" s="2">
        <f>IF(A234="","",MAX(0,(C234-MIN(D234,C234))*'Mortgage Inputs'!$B$15))</f>
        <v>0</v>
      </c>
      <c r="F234" s="2">
        <f>IF(A234="","",IF(AND('Offset Inputs'!$B$5&gt;='Mortgage Inputs'!$B$5,'Mortgage Inputs'!$B$5&gt;0),C234,MIN(C234,MAX(0,'Mortgage Inputs'!$B$17-E234))))</f>
        <v>4061.5333678073534</v>
      </c>
      <c r="G234" s="2">
        <f t="shared" si="9"/>
        <v>159278.83751544164</v>
      </c>
      <c r="H234" s="2">
        <f>IF(A234="","",IF(AND('Offset Inputs'!$B$5&gt;='Mortgage Inputs'!$B$5,'Mortgage Inputs'!$B$5&gt;0),'Offset Inputs'!$B$5-'Mortgage Inputs'!$B$5,D234+'Offset Inputs'!$B$6))</f>
        <v>164000</v>
      </c>
    </row>
    <row r="235" spans="1:8" ht="22" customHeight="1">
      <c r="A235" s="1">
        <f>IF(AND('Mortgage Inputs'!$B$12,229&lt;=IF('Mortgage Inputs'!$B$12,'Mortgage Inputs'!$B$7,0)*12+600,ISNUMBER(G234),G234&gt;0.005),229,"")</f>
        <v>229</v>
      </c>
      <c r="B235" s="4">
        <f>IF(A235="","",DATE(YEAR('Mortgage Inputs'!$B$8),MONTH('Mortgage Inputs'!$B$8)+A235,DAY('Mortgage Inputs'!$B$8)))</f>
        <v>53297</v>
      </c>
      <c r="C235" s="2">
        <f t="shared" si="10"/>
        <v>159278.83751544164</v>
      </c>
      <c r="D235" s="2">
        <f t="shared" si="11"/>
        <v>164000</v>
      </c>
      <c r="E235" s="2">
        <f>IF(A235="","",MAX(0,(C235-MIN(D235,C235))*'Mortgage Inputs'!$B$15))</f>
        <v>0</v>
      </c>
      <c r="F235" s="2">
        <f>IF(A235="","",IF(AND('Offset Inputs'!$B$5&gt;='Mortgage Inputs'!$B$5,'Mortgage Inputs'!$B$5&gt;0),C235,MIN(C235,MAX(0,'Mortgage Inputs'!$B$17-E235))))</f>
        <v>4061.5333678073534</v>
      </c>
      <c r="G235" s="2">
        <f t="shared" si="9"/>
        <v>155217.30414763428</v>
      </c>
      <c r="H235" s="2">
        <f>IF(A235="","",IF(AND('Offset Inputs'!$B$5&gt;='Mortgage Inputs'!$B$5,'Mortgage Inputs'!$B$5&gt;0),'Offset Inputs'!$B$5-'Mortgage Inputs'!$B$5,D235+'Offset Inputs'!$B$6))</f>
        <v>164500</v>
      </c>
    </row>
    <row r="236" spans="1:8" ht="22" customHeight="1">
      <c r="A236" s="1">
        <f>IF(AND('Mortgage Inputs'!$B$12,230&lt;=IF('Mortgage Inputs'!$B$12,'Mortgage Inputs'!$B$7,0)*12+600,ISNUMBER(G235),G235&gt;0.005),230,"")</f>
        <v>230</v>
      </c>
      <c r="B236" s="4">
        <f>IF(A236="","",DATE(YEAR('Mortgage Inputs'!$B$8),MONTH('Mortgage Inputs'!$B$8)+A236,DAY('Mortgage Inputs'!$B$8)))</f>
        <v>53328</v>
      </c>
      <c r="C236" s="2">
        <f t="shared" si="10"/>
        <v>155217.30414763428</v>
      </c>
      <c r="D236" s="2">
        <f t="shared" si="11"/>
        <v>164500</v>
      </c>
      <c r="E236" s="2">
        <f>IF(A236="","",MAX(0,(C236-MIN(D236,C236))*'Mortgage Inputs'!$B$15))</f>
        <v>0</v>
      </c>
      <c r="F236" s="2">
        <f>IF(A236="","",IF(AND('Offset Inputs'!$B$5&gt;='Mortgage Inputs'!$B$5,'Mortgage Inputs'!$B$5&gt;0),C236,MIN(C236,MAX(0,'Mortgage Inputs'!$B$17-E236))))</f>
        <v>4061.5333678073534</v>
      </c>
      <c r="G236" s="2">
        <f t="shared" si="9"/>
        <v>151155.77077982691</v>
      </c>
      <c r="H236" s="2">
        <f>IF(A236="","",IF(AND('Offset Inputs'!$B$5&gt;='Mortgage Inputs'!$B$5,'Mortgage Inputs'!$B$5&gt;0),'Offset Inputs'!$B$5-'Mortgage Inputs'!$B$5,D236+'Offset Inputs'!$B$6))</f>
        <v>165000</v>
      </c>
    </row>
    <row r="237" spans="1:8" ht="22" customHeight="1">
      <c r="A237" s="1">
        <f>IF(AND('Mortgage Inputs'!$B$12,231&lt;=IF('Mortgage Inputs'!$B$12,'Mortgage Inputs'!$B$7,0)*12+600,ISNUMBER(G236),G236&gt;0.005),231,"")</f>
        <v>231</v>
      </c>
      <c r="B237" s="4">
        <f>IF(A237="","",DATE(YEAR('Mortgage Inputs'!$B$8),MONTH('Mortgage Inputs'!$B$8)+A237,DAY('Mortgage Inputs'!$B$8)))</f>
        <v>53359</v>
      </c>
      <c r="C237" s="2">
        <f t="shared" si="10"/>
        <v>151155.77077982691</v>
      </c>
      <c r="D237" s="2">
        <f t="shared" si="11"/>
        <v>165000</v>
      </c>
      <c r="E237" s="2">
        <f>IF(A237="","",MAX(0,(C237-MIN(D237,C237))*'Mortgage Inputs'!$B$15))</f>
        <v>0</v>
      </c>
      <c r="F237" s="2">
        <f>IF(A237="","",IF(AND('Offset Inputs'!$B$5&gt;='Mortgage Inputs'!$B$5,'Mortgage Inputs'!$B$5&gt;0),C237,MIN(C237,MAX(0,'Mortgage Inputs'!$B$17-E237))))</f>
        <v>4061.5333678073534</v>
      </c>
      <c r="G237" s="2">
        <f t="shared" si="9"/>
        <v>147094.23741201955</v>
      </c>
      <c r="H237" s="2">
        <f>IF(A237="","",IF(AND('Offset Inputs'!$B$5&gt;='Mortgage Inputs'!$B$5,'Mortgage Inputs'!$B$5&gt;0),'Offset Inputs'!$B$5-'Mortgage Inputs'!$B$5,D237+'Offset Inputs'!$B$6))</f>
        <v>165500</v>
      </c>
    </row>
    <row r="238" spans="1:8" ht="22" customHeight="1">
      <c r="A238" s="1">
        <f>IF(AND('Mortgage Inputs'!$B$12,232&lt;=IF('Mortgage Inputs'!$B$12,'Mortgage Inputs'!$B$7,0)*12+600,ISNUMBER(G237),G237&gt;0.005),232,"")</f>
        <v>232</v>
      </c>
      <c r="B238" s="4">
        <f>IF(A238="","",DATE(YEAR('Mortgage Inputs'!$B$8),MONTH('Mortgage Inputs'!$B$8)+A238,DAY('Mortgage Inputs'!$B$8)))</f>
        <v>53387</v>
      </c>
      <c r="C238" s="2">
        <f t="shared" si="10"/>
        <v>147094.23741201955</v>
      </c>
      <c r="D238" s="2">
        <f t="shared" si="11"/>
        <v>165500</v>
      </c>
      <c r="E238" s="2">
        <f>IF(A238="","",MAX(0,(C238-MIN(D238,C238))*'Mortgage Inputs'!$B$15))</f>
        <v>0</v>
      </c>
      <c r="F238" s="2">
        <f>IF(A238="","",IF(AND('Offset Inputs'!$B$5&gt;='Mortgage Inputs'!$B$5,'Mortgage Inputs'!$B$5&gt;0),C238,MIN(C238,MAX(0,'Mortgage Inputs'!$B$17-E238))))</f>
        <v>4061.5333678073534</v>
      </c>
      <c r="G238" s="2">
        <f t="shared" si="9"/>
        <v>143032.70404421218</v>
      </c>
      <c r="H238" s="2">
        <f>IF(A238="","",IF(AND('Offset Inputs'!$B$5&gt;='Mortgage Inputs'!$B$5,'Mortgage Inputs'!$B$5&gt;0),'Offset Inputs'!$B$5-'Mortgage Inputs'!$B$5,D238+'Offset Inputs'!$B$6))</f>
        <v>166000</v>
      </c>
    </row>
    <row r="239" spans="1:8" ht="22" customHeight="1">
      <c r="A239" s="1">
        <f>IF(AND('Mortgage Inputs'!$B$12,233&lt;=IF('Mortgage Inputs'!$B$12,'Mortgage Inputs'!$B$7,0)*12+600,ISNUMBER(G238),G238&gt;0.005),233,"")</f>
        <v>233</v>
      </c>
      <c r="B239" s="4">
        <f>IF(A239="","",DATE(YEAR('Mortgage Inputs'!$B$8),MONTH('Mortgage Inputs'!$B$8)+A239,DAY('Mortgage Inputs'!$B$8)))</f>
        <v>53418</v>
      </c>
      <c r="C239" s="2">
        <f t="shared" si="10"/>
        <v>143032.70404421218</v>
      </c>
      <c r="D239" s="2">
        <f t="shared" si="11"/>
        <v>166000</v>
      </c>
      <c r="E239" s="2">
        <f>IF(A239="","",MAX(0,(C239-MIN(D239,C239))*'Mortgage Inputs'!$B$15))</f>
        <v>0</v>
      </c>
      <c r="F239" s="2">
        <f>IF(A239="","",IF(AND('Offset Inputs'!$B$5&gt;='Mortgage Inputs'!$B$5,'Mortgage Inputs'!$B$5&gt;0),C239,MIN(C239,MAX(0,'Mortgage Inputs'!$B$17-E239))))</f>
        <v>4061.5333678073534</v>
      </c>
      <c r="G239" s="2">
        <f t="shared" si="9"/>
        <v>138971.17067640481</v>
      </c>
      <c r="H239" s="2">
        <f>IF(A239="","",IF(AND('Offset Inputs'!$B$5&gt;='Mortgage Inputs'!$B$5,'Mortgage Inputs'!$B$5&gt;0),'Offset Inputs'!$B$5-'Mortgage Inputs'!$B$5,D239+'Offset Inputs'!$B$6))</f>
        <v>166500</v>
      </c>
    </row>
    <row r="240" spans="1:8" ht="22" customHeight="1">
      <c r="A240" s="1">
        <f>IF(AND('Mortgage Inputs'!$B$12,234&lt;=IF('Mortgage Inputs'!$B$12,'Mortgage Inputs'!$B$7,0)*12+600,ISNUMBER(G239),G239&gt;0.005),234,"")</f>
        <v>234</v>
      </c>
      <c r="B240" s="4">
        <f>IF(A240="","",DATE(YEAR('Mortgage Inputs'!$B$8),MONTH('Mortgage Inputs'!$B$8)+A240,DAY('Mortgage Inputs'!$B$8)))</f>
        <v>53448</v>
      </c>
      <c r="C240" s="2">
        <f t="shared" si="10"/>
        <v>138971.17067640481</v>
      </c>
      <c r="D240" s="2">
        <f t="shared" si="11"/>
        <v>166500</v>
      </c>
      <c r="E240" s="2">
        <f>IF(A240="","",MAX(0,(C240-MIN(D240,C240))*'Mortgage Inputs'!$B$15))</f>
        <v>0</v>
      </c>
      <c r="F240" s="2">
        <f>IF(A240="","",IF(AND('Offset Inputs'!$B$5&gt;='Mortgage Inputs'!$B$5,'Mortgage Inputs'!$B$5&gt;0),C240,MIN(C240,MAX(0,'Mortgage Inputs'!$B$17-E240))))</f>
        <v>4061.5333678073534</v>
      </c>
      <c r="G240" s="2">
        <f t="shared" si="9"/>
        <v>134909.63730859745</v>
      </c>
      <c r="H240" s="2">
        <f>IF(A240="","",IF(AND('Offset Inputs'!$B$5&gt;='Mortgage Inputs'!$B$5,'Mortgage Inputs'!$B$5&gt;0),'Offset Inputs'!$B$5-'Mortgage Inputs'!$B$5,D240+'Offset Inputs'!$B$6))</f>
        <v>167000</v>
      </c>
    </row>
    <row r="241" spans="1:8" ht="22" customHeight="1">
      <c r="A241" s="1">
        <f>IF(AND('Mortgage Inputs'!$B$12,235&lt;=IF('Mortgage Inputs'!$B$12,'Mortgage Inputs'!$B$7,0)*12+600,ISNUMBER(G240),G240&gt;0.005),235,"")</f>
        <v>235</v>
      </c>
      <c r="B241" s="4">
        <f>IF(A241="","",DATE(YEAR('Mortgage Inputs'!$B$8),MONTH('Mortgage Inputs'!$B$8)+A241,DAY('Mortgage Inputs'!$B$8)))</f>
        <v>53479</v>
      </c>
      <c r="C241" s="2">
        <f t="shared" si="10"/>
        <v>134909.63730859745</v>
      </c>
      <c r="D241" s="2">
        <f t="shared" si="11"/>
        <v>167000</v>
      </c>
      <c r="E241" s="2">
        <f>IF(A241="","",MAX(0,(C241-MIN(D241,C241))*'Mortgage Inputs'!$B$15))</f>
        <v>0</v>
      </c>
      <c r="F241" s="2">
        <f>IF(A241="","",IF(AND('Offset Inputs'!$B$5&gt;='Mortgage Inputs'!$B$5,'Mortgage Inputs'!$B$5&gt;0),C241,MIN(C241,MAX(0,'Mortgage Inputs'!$B$17-E241))))</f>
        <v>4061.5333678073534</v>
      </c>
      <c r="G241" s="2">
        <f t="shared" si="9"/>
        <v>130848.1039407901</v>
      </c>
      <c r="H241" s="2">
        <f>IF(A241="","",IF(AND('Offset Inputs'!$B$5&gt;='Mortgage Inputs'!$B$5,'Mortgage Inputs'!$B$5&gt;0),'Offset Inputs'!$B$5-'Mortgage Inputs'!$B$5,D241+'Offset Inputs'!$B$6))</f>
        <v>167500</v>
      </c>
    </row>
    <row r="242" spans="1:8" ht="22" customHeight="1">
      <c r="A242" s="1">
        <f>IF(AND('Mortgage Inputs'!$B$12,236&lt;=IF('Mortgage Inputs'!$B$12,'Mortgage Inputs'!$B$7,0)*12+600,ISNUMBER(G241),G241&gt;0.005),236,"")</f>
        <v>236</v>
      </c>
      <c r="B242" s="4">
        <f>IF(A242="","",DATE(YEAR('Mortgage Inputs'!$B$8),MONTH('Mortgage Inputs'!$B$8)+A242,DAY('Mortgage Inputs'!$B$8)))</f>
        <v>53509</v>
      </c>
      <c r="C242" s="2">
        <f t="shared" si="10"/>
        <v>130848.1039407901</v>
      </c>
      <c r="D242" s="2">
        <f t="shared" si="11"/>
        <v>167500</v>
      </c>
      <c r="E242" s="2">
        <f>IF(A242="","",MAX(0,(C242-MIN(D242,C242))*'Mortgage Inputs'!$B$15))</f>
        <v>0</v>
      </c>
      <c r="F242" s="2">
        <f>IF(A242="","",IF(AND('Offset Inputs'!$B$5&gt;='Mortgage Inputs'!$B$5,'Mortgage Inputs'!$B$5&gt;0),C242,MIN(C242,MAX(0,'Mortgage Inputs'!$B$17-E242))))</f>
        <v>4061.5333678073534</v>
      </c>
      <c r="G242" s="2">
        <f t="shared" si="9"/>
        <v>126786.57057298275</v>
      </c>
      <c r="H242" s="2">
        <f>IF(A242="","",IF(AND('Offset Inputs'!$B$5&gt;='Mortgage Inputs'!$B$5,'Mortgage Inputs'!$B$5&gt;0),'Offset Inputs'!$B$5-'Mortgage Inputs'!$B$5,D242+'Offset Inputs'!$B$6))</f>
        <v>168000</v>
      </c>
    </row>
    <row r="243" spans="1:8" ht="22" customHeight="1">
      <c r="A243" s="1">
        <f>IF(AND('Mortgage Inputs'!$B$12,237&lt;=IF('Mortgage Inputs'!$B$12,'Mortgage Inputs'!$B$7,0)*12+600,ISNUMBER(G242),G242&gt;0.005),237,"")</f>
        <v>237</v>
      </c>
      <c r="B243" s="4">
        <f>IF(A243="","",DATE(YEAR('Mortgage Inputs'!$B$8),MONTH('Mortgage Inputs'!$B$8)+A243,DAY('Mortgage Inputs'!$B$8)))</f>
        <v>53540</v>
      </c>
      <c r="C243" s="2">
        <f t="shared" si="10"/>
        <v>126786.57057298275</v>
      </c>
      <c r="D243" s="2">
        <f t="shared" si="11"/>
        <v>168000</v>
      </c>
      <c r="E243" s="2">
        <f>IF(A243="","",MAX(0,(C243-MIN(D243,C243))*'Mortgage Inputs'!$B$15))</f>
        <v>0</v>
      </c>
      <c r="F243" s="2">
        <f>IF(A243="","",IF(AND('Offset Inputs'!$B$5&gt;='Mortgage Inputs'!$B$5,'Mortgage Inputs'!$B$5&gt;0),C243,MIN(C243,MAX(0,'Mortgage Inputs'!$B$17-E243))))</f>
        <v>4061.5333678073534</v>
      </c>
      <c r="G243" s="2">
        <f t="shared" si="9"/>
        <v>122725.03720517539</v>
      </c>
      <c r="H243" s="2">
        <f>IF(A243="","",IF(AND('Offset Inputs'!$B$5&gt;='Mortgage Inputs'!$B$5,'Mortgage Inputs'!$B$5&gt;0),'Offset Inputs'!$B$5-'Mortgage Inputs'!$B$5,D243+'Offset Inputs'!$B$6))</f>
        <v>168500</v>
      </c>
    </row>
    <row r="244" spans="1:8" ht="22" customHeight="1">
      <c r="A244" s="1">
        <f>IF(AND('Mortgage Inputs'!$B$12,238&lt;=IF('Mortgage Inputs'!$B$12,'Mortgage Inputs'!$B$7,0)*12+600,ISNUMBER(G243),G243&gt;0.005),238,"")</f>
        <v>238</v>
      </c>
      <c r="B244" s="4">
        <f>IF(A244="","",DATE(YEAR('Mortgage Inputs'!$B$8),MONTH('Mortgage Inputs'!$B$8)+A244,DAY('Mortgage Inputs'!$B$8)))</f>
        <v>53571</v>
      </c>
      <c r="C244" s="2">
        <f t="shared" si="10"/>
        <v>122725.03720517539</v>
      </c>
      <c r="D244" s="2">
        <f t="shared" si="11"/>
        <v>168500</v>
      </c>
      <c r="E244" s="2">
        <f>IF(A244="","",MAX(0,(C244-MIN(D244,C244))*'Mortgage Inputs'!$B$15))</f>
        <v>0</v>
      </c>
      <c r="F244" s="2">
        <f>IF(A244="","",IF(AND('Offset Inputs'!$B$5&gt;='Mortgage Inputs'!$B$5,'Mortgage Inputs'!$B$5&gt;0),C244,MIN(C244,MAX(0,'Mortgage Inputs'!$B$17-E244))))</f>
        <v>4061.5333678073534</v>
      </c>
      <c r="G244" s="2">
        <f t="shared" si="9"/>
        <v>118663.50383736804</v>
      </c>
      <c r="H244" s="2">
        <f>IF(A244="","",IF(AND('Offset Inputs'!$B$5&gt;='Mortgage Inputs'!$B$5,'Mortgage Inputs'!$B$5&gt;0),'Offset Inputs'!$B$5-'Mortgage Inputs'!$B$5,D244+'Offset Inputs'!$B$6))</f>
        <v>169000</v>
      </c>
    </row>
    <row r="245" spans="1:8" ht="22" customHeight="1">
      <c r="A245" s="1">
        <f>IF(AND('Mortgage Inputs'!$B$12,239&lt;=IF('Mortgage Inputs'!$B$12,'Mortgage Inputs'!$B$7,0)*12+600,ISNUMBER(G244),G244&gt;0.005),239,"")</f>
        <v>239</v>
      </c>
      <c r="B245" s="4">
        <f>IF(A245="","",DATE(YEAR('Mortgage Inputs'!$B$8),MONTH('Mortgage Inputs'!$B$8)+A245,DAY('Mortgage Inputs'!$B$8)))</f>
        <v>53601</v>
      </c>
      <c r="C245" s="2">
        <f t="shared" si="10"/>
        <v>118663.50383736804</v>
      </c>
      <c r="D245" s="2">
        <f t="shared" si="11"/>
        <v>169000</v>
      </c>
      <c r="E245" s="2">
        <f>IF(A245="","",MAX(0,(C245-MIN(D245,C245))*'Mortgage Inputs'!$B$15))</f>
        <v>0</v>
      </c>
      <c r="F245" s="2">
        <f>IF(A245="","",IF(AND('Offset Inputs'!$B$5&gt;='Mortgage Inputs'!$B$5,'Mortgage Inputs'!$B$5&gt;0),C245,MIN(C245,MAX(0,'Mortgage Inputs'!$B$17-E245))))</f>
        <v>4061.5333678073534</v>
      </c>
      <c r="G245" s="2">
        <f t="shared" si="9"/>
        <v>114601.97046956069</v>
      </c>
      <c r="H245" s="2">
        <f>IF(A245="","",IF(AND('Offset Inputs'!$B$5&gt;='Mortgage Inputs'!$B$5,'Mortgage Inputs'!$B$5&gt;0),'Offset Inputs'!$B$5-'Mortgage Inputs'!$B$5,D245+'Offset Inputs'!$B$6))</f>
        <v>169500</v>
      </c>
    </row>
    <row r="246" spans="1:8" ht="22" customHeight="1">
      <c r="A246" s="1">
        <f>IF(AND('Mortgage Inputs'!$B$12,240&lt;=IF('Mortgage Inputs'!$B$12,'Mortgage Inputs'!$B$7,0)*12+600,ISNUMBER(G245),G245&gt;0.005),240,"")</f>
        <v>240</v>
      </c>
      <c r="B246" s="4">
        <f>IF(A246="","",DATE(YEAR('Mortgage Inputs'!$B$8),MONTH('Mortgage Inputs'!$B$8)+A246,DAY('Mortgage Inputs'!$B$8)))</f>
        <v>53632</v>
      </c>
      <c r="C246" s="2">
        <f t="shared" si="10"/>
        <v>114601.97046956069</v>
      </c>
      <c r="D246" s="2">
        <f t="shared" si="11"/>
        <v>169500</v>
      </c>
      <c r="E246" s="2">
        <f>IF(A246="","",MAX(0,(C246-MIN(D246,C246))*'Mortgage Inputs'!$B$15))</f>
        <v>0</v>
      </c>
      <c r="F246" s="2">
        <f>IF(A246="","",IF(AND('Offset Inputs'!$B$5&gt;='Mortgage Inputs'!$B$5,'Mortgage Inputs'!$B$5&gt;0),C246,MIN(C246,MAX(0,'Mortgage Inputs'!$B$17-E246))))</f>
        <v>4061.5333678073534</v>
      </c>
      <c r="G246" s="2">
        <f t="shared" si="9"/>
        <v>110540.43710175334</v>
      </c>
      <c r="H246" s="2">
        <f>IF(A246="","",IF(AND('Offset Inputs'!$B$5&gt;='Mortgage Inputs'!$B$5,'Mortgage Inputs'!$B$5&gt;0),'Offset Inputs'!$B$5-'Mortgage Inputs'!$B$5,D246+'Offset Inputs'!$B$6))</f>
        <v>170000</v>
      </c>
    </row>
    <row r="247" spans="1:8" ht="22" customHeight="1">
      <c r="A247" s="1">
        <f>IF(AND('Mortgage Inputs'!$B$12,241&lt;=IF('Mortgage Inputs'!$B$12,'Mortgage Inputs'!$B$7,0)*12+600,ISNUMBER(G246),G246&gt;0.005),241,"")</f>
        <v>241</v>
      </c>
      <c r="B247" s="4">
        <f>IF(A247="","",DATE(YEAR('Mortgage Inputs'!$B$8),MONTH('Mortgage Inputs'!$B$8)+A247,DAY('Mortgage Inputs'!$B$8)))</f>
        <v>53662</v>
      </c>
      <c r="C247" s="2">
        <f t="shared" si="10"/>
        <v>110540.43710175334</v>
      </c>
      <c r="D247" s="2">
        <f t="shared" si="11"/>
        <v>170000</v>
      </c>
      <c r="E247" s="2">
        <f>IF(A247="","",MAX(0,(C247-MIN(D247,C247))*'Mortgage Inputs'!$B$15))</f>
        <v>0</v>
      </c>
      <c r="F247" s="2">
        <f>IF(A247="","",IF(AND('Offset Inputs'!$B$5&gt;='Mortgage Inputs'!$B$5,'Mortgage Inputs'!$B$5&gt;0),C247,MIN(C247,MAX(0,'Mortgage Inputs'!$B$17-E247))))</f>
        <v>4061.5333678073534</v>
      </c>
      <c r="G247" s="2">
        <f t="shared" si="9"/>
        <v>106478.90373394599</v>
      </c>
      <c r="H247" s="2">
        <f>IF(A247="","",IF(AND('Offset Inputs'!$B$5&gt;='Mortgage Inputs'!$B$5,'Mortgage Inputs'!$B$5&gt;0),'Offset Inputs'!$B$5-'Mortgage Inputs'!$B$5,D247+'Offset Inputs'!$B$6))</f>
        <v>170500</v>
      </c>
    </row>
    <row r="248" spans="1:8" ht="22" customHeight="1">
      <c r="A248" s="1">
        <f>IF(AND('Mortgage Inputs'!$B$12,242&lt;=IF('Mortgage Inputs'!$B$12,'Mortgage Inputs'!$B$7,0)*12+600,ISNUMBER(G247),G247&gt;0.005),242,"")</f>
        <v>242</v>
      </c>
      <c r="B248" s="4">
        <f>IF(A248="","",DATE(YEAR('Mortgage Inputs'!$B$8),MONTH('Mortgage Inputs'!$B$8)+A248,DAY('Mortgage Inputs'!$B$8)))</f>
        <v>53693</v>
      </c>
      <c r="C248" s="2">
        <f t="shared" si="10"/>
        <v>106478.90373394599</v>
      </c>
      <c r="D248" s="2">
        <f t="shared" si="11"/>
        <v>170500</v>
      </c>
      <c r="E248" s="2">
        <f>IF(A248="","",MAX(0,(C248-MIN(D248,C248))*'Mortgage Inputs'!$B$15))</f>
        <v>0</v>
      </c>
      <c r="F248" s="2">
        <f>IF(A248="","",IF(AND('Offset Inputs'!$B$5&gt;='Mortgage Inputs'!$B$5,'Mortgage Inputs'!$B$5&gt;0),C248,MIN(C248,MAX(0,'Mortgage Inputs'!$B$17-E248))))</f>
        <v>4061.5333678073534</v>
      </c>
      <c r="G248" s="2">
        <f t="shared" si="9"/>
        <v>102417.37036613864</v>
      </c>
      <c r="H248" s="2">
        <f>IF(A248="","",IF(AND('Offset Inputs'!$B$5&gt;='Mortgage Inputs'!$B$5,'Mortgage Inputs'!$B$5&gt;0),'Offset Inputs'!$B$5-'Mortgage Inputs'!$B$5,D248+'Offset Inputs'!$B$6))</f>
        <v>171000</v>
      </c>
    </row>
    <row r="249" spans="1:8" ht="22" customHeight="1">
      <c r="A249" s="1">
        <f>IF(AND('Mortgage Inputs'!$B$12,243&lt;=IF('Mortgage Inputs'!$B$12,'Mortgage Inputs'!$B$7,0)*12+600,ISNUMBER(G248),G248&gt;0.005),243,"")</f>
        <v>243</v>
      </c>
      <c r="B249" s="4">
        <f>IF(A249="","",DATE(YEAR('Mortgage Inputs'!$B$8),MONTH('Mortgage Inputs'!$B$8)+A249,DAY('Mortgage Inputs'!$B$8)))</f>
        <v>53724</v>
      </c>
      <c r="C249" s="2">
        <f t="shared" si="10"/>
        <v>102417.37036613864</v>
      </c>
      <c r="D249" s="2">
        <f t="shared" si="11"/>
        <v>171000</v>
      </c>
      <c r="E249" s="2">
        <f>IF(A249="","",MAX(0,(C249-MIN(D249,C249))*'Mortgage Inputs'!$B$15))</f>
        <v>0</v>
      </c>
      <c r="F249" s="2">
        <f>IF(A249="","",IF(AND('Offset Inputs'!$B$5&gt;='Mortgage Inputs'!$B$5,'Mortgage Inputs'!$B$5&gt;0),C249,MIN(C249,MAX(0,'Mortgage Inputs'!$B$17-E249))))</f>
        <v>4061.5333678073534</v>
      </c>
      <c r="G249" s="2">
        <f t="shared" si="9"/>
        <v>98355.836998331288</v>
      </c>
      <c r="H249" s="2">
        <f>IF(A249="","",IF(AND('Offset Inputs'!$B$5&gt;='Mortgage Inputs'!$B$5,'Mortgage Inputs'!$B$5&gt;0),'Offset Inputs'!$B$5-'Mortgage Inputs'!$B$5,D249+'Offset Inputs'!$B$6))</f>
        <v>171500</v>
      </c>
    </row>
    <row r="250" spans="1:8" ht="22" customHeight="1">
      <c r="A250" s="1">
        <f>IF(AND('Mortgage Inputs'!$B$12,244&lt;=IF('Mortgage Inputs'!$B$12,'Mortgage Inputs'!$B$7,0)*12+600,ISNUMBER(G249),G249&gt;0.005),244,"")</f>
        <v>244</v>
      </c>
      <c r="B250" s="4">
        <f>IF(A250="","",DATE(YEAR('Mortgage Inputs'!$B$8),MONTH('Mortgage Inputs'!$B$8)+A250,DAY('Mortgage Inputs'!$B$8)))</f>
        <v>53752</v>
      </c>
      <c r="C250" s="2">
        <f t="shared" si="10"/>
        <v>98355.836998331288</v>
      </c>
      <c r="D250" s="2">
        <f t="shared" si="11"/>
        <v>171500</v>
      </c>
      <c r="E250" s="2">
        <f>IF(A250="","",MAX(0,(C250-MIN(D250,C250))*'Mortgage Inputs'!$B$15))</f>
        <v>0</v>
      </c>
      <c r="F250" s="2">
        <f>IF(A250="","",IF(AND('Offset Inputs'!$B$5&gt;='Mortgage Inputs'!$B$5,'Mortgage Inputs'!$B$5&gt;0),C250,MIN(C250,MAX(0,'Mortgage Inputs'!$B$17-E250))))</f>
        <v>4061.5333678073534</v>
      </c>
      <c r="G250" s="2">
        <f t="shared" si="9"/>
        <v>94294.303630523937</v>
      </c>
      <c r="H250" s="2">
        <f>IF(A250="","",IF(AND('Offset Inputs'!$B$5&gt;='Mortgage Inputs'!$B$5,'Mortgage Inputs'!$B$5&gt;0),'Offset Inputs'!$B$5-'Mortgage Inputs'!$B$5,D250+'Offset Inputs'!$B$6))</f>
        <v>172000</v>
      </c>
    </row>
    <row r="251" spans="1:8" ht="22" customHeight="1">
      <c r="A251" s="1">
        <f>IF(AND('Mortgage Inputs'!$B$12,245&lt;=IF('Mortgage Inputs'!$B$12,'Mortgage Inputs'!$B$7,0)*12+600,ISNUMBER(G250),G250&gt;0.005),245,"")</f>
        <v>245</v>
      </c>
      <c r="B251" s="4">
        <f>IF(A251="","",DATE(YEAR('Mortgage Inputs'!$B$8),MONTH('Mortgage Inputs'!$B$8)+A251,DAY('Mortgage Inputs'!$B$8)))</f>
        <v>53783</v>
      </c>
      <c r="C251" s="2">
        <f t="shared" si="10"/>
        <v>94294.303630523937</v>
      </c>
      <c r="D251" s="2">
        <f t="shared" si="11"/>
        <v>172000</v>
      </c>
      <c r="E251" s="2">
        <f>IF(A251="","",MAX(0,(C251-MIN(D251,C251))*'Mortgage Inputs'!$B$15))</f>
        <v>0</v>
      </c>
      <c r="F251" s="2">
        <f>IF(A251="","",IF(AND('Offset Inputs'!$B$5&gt;='Mortgage Inputs'!$B$5,'Mortgage Inputs'!$B$5&gt;0),C251,MIN(C251,MAX(0,'Mortgage Inputs'!$B$17-E251))))</f>
        <v>4061.5333678073534</v>
      </c>
      <c r="G251" s="2">
        <f t="shared" si="9"/>
        <v>90232.770262716585</v>
      </c>
      <c r="H251" s="2">
        <f>IF(A251="","",IF(AND('Offset Inputs'!$B$5&gt;='Mortgage Inputs'!$B$5,'Mortgage Inputs'!$B$5&gt;0),'Offset Inputs'!$B$5-'Mortgage Inputs'!$B$5,D251+'Offset Inputs'!$B$6))</f>
        <v>172500</v>
      </c>
    </row>
    <row r="252" spans="1:8" ht="22" customHeight="1">
      <c r="A252" s="1">
        <f>IF(AND('Mortgage Inputs'!$B$12,246&lt;=IF('Mortgage Inputs'!$B$12,'Mortgage Inputs'!$B$7,0)*12+600,ISNUMBER(G251),G251&gt;0.005),246,"")</f>
        <v>246</v>
      </c>
      <c r="B252" s="4">
        <f>IF(A252="","",DATE(YEAR('Mortgage Inputs'!$B$8),MONTH('Mortgage Inputs'!$B$8)+A252,DAY('Mortgage Inputs'!$B$8)))</f>
        <v>53813</v>
      </c>
      <c r="C252" s="2">
        <f t="shared" si="10"/>
        <v>90232.770262716585</v>
      </c>
      <c r="D252" s="2">
        <f t="shared" si="11"/>
        <v>172500</v>
      </c>
      <c r="E252" s="2">
        <f>IF(A252="","",MAX(0,(C252-MIN(D252,C252))*'Mortgage Inputs'!$B$15))</f>
        <v>0</v>
      </c>
      <c r="F252" s="2">
        <f>IF(A252="","",IF(AND('Offset Inputs'!$B$5&gt;='Mortgage Inputs'!$B$5,'Mortgage Inputs'!$B$5&gt;0),C252,MIN(C252,MAX(0,'Mortgage Inputs'!$B$17-E252))))</f>
        <v>4061.5333678073534</v>
      </c>
      <c r="G252" s="2">
        <f t="shared" si="9"/>
        <v>86171.236894909234</v>
      </c>
      <c r="H252" s="2">
        <f>IF(A252="","",IF(AND('Offset Inputs'!$B$5&gt;='Mortgage Inputs'!$B$5,'Mortgage Inputs'!$B$5&gt;0),'Offset Inputs'!$B$5-'Mortgage Inputs'!$B$5,D252+'Offset Inputs'!$B$6))</f>
        <v>173000</v>
      </c>
    </row>
    <row r="253" spans="1:8" ht="22" customHeight="1">
      <c r="A253" s="1">
        <f>IF(AND('Mortgage Inputs'!$B$12,247&lt;=IF('Mortgage Inputs'!$B$12,'Mortgage Inputs'!$B$7,0)*12+600,ISNUMBER(G252),G252&gt;0.005),247,"")</f>
        <v>247</v>
      </c>
      <c r="B253" s="4">
        <f>IF(A253="","",DATE(YEAR('Mortgage Inputs'!$B$8),MONTH('Mortgage Inputs'!$B$8)+A253,DAY('Mortgage Inputs'!$B$8)))</f>
        <v>53844</v>
      </c>
      <c r="C253" s="2">
        <f t="shared" si="10"/>
        <v>86171.236894909234</v>
      </c>
      <c r="D253" s="2">
        <f t="shared" si="11"/>
        <v>173000</v>
      </c>
      <c r="E253" s="2">
        <f>IF(A253="","",MAX(0,(C253-MIN(D253,C253))*'Mortgage Inputs'!$B$15))</f>
        <v>0</v>
      </c>
      <c r="F253" s="2">
        <f>IF(A253="","",IF(AND('Offset Inputs'!$B$5&gt;='Mortgage Inputs'!$B$5,'Mortgage Inputs'!$B$5&gt;0),C253,MIN(C253,MAX(0,'Mortgage Inputs'!$B$17-E253))))</f>
        <v>4061.5333678073534</v>
      </c>
      <c r="G253" s="2">
        <f t="shared" si="9"/>
        <v>82109.703527101883</v>
      </c>
      <c r="H253" s="2">
        <f>IF(A253="","",IF(AND('Offset Inputs'!$B$5&gt;='Mortgage Inputs'!$B$5,'Mortgage Inputs'!$B$5&gt;0),'Offset Inputs'!$B$5-'Mortgage Inputs'!$B$5,D253+'Offset Inputs'!$B$6))</f>
        <v>173500</v>
      </c>
    </row>
    <row r="254" spans="1:8" ht="22" customHeight="1">
      <c r="A254" s="1">
        <f>IF(AND('Mortgage Inputs'!$B$12,248&lt;=IF('Mortgage Inputs'!$B$12,'Mortgage Inputs'!$B$7,0)*12+600,ISNUMBER(G253),G253&gt;0.005),248,"")</f>
        <v>248</v>
      </c>
      <c r="B254" s="4">
        <f>IF(A254="","",DATE(YEAR('Mortgage Inputs'!$B$8),MONTH('Mortgage Inputs'!$B$8)+A254,DAY('Mortgage Inputs'!$B$8)))</f>
        <v>53874</v>
      </c>
      <c r="C254" s="2">
        <f t="shared" si="10"/>
        <v>82109.703527101883</v>
      </c>
      <c r="D254" s="2">
        <f t="shared" si="11"/>
        <v>173500</v>
      </c>
      <c r="E254" s="2">
        <f>IF(A254="","",MAX(0,(C254-MIN(D254,C254))*'Mortgage Inputs'!$B$15))</f>
        <v>0</v>
      </c>
      <c r="F254" s="2">
        <f>IF(A254="","",IF(AND('Offset Inputs'!$B$5&gt;='Mortgage Inputs'!$B$5,'Mortgage Inputs'!$B$5&gt;0),C254,MIN(C254,MAX(0,'Mortgage Inputs'!$B$17-E254))))</f>
        <v>4061.5333678073534</v>
      </c>
      <c r="G254" s="2">
        <f t="shared" si="9"/>
        <v>78048.170159294532</v>
      </c>
      <c r="H254" s="2">
        <f>IF(A254="","",IF(AND('Offset Inputs'!$B$5&gt;='Mortgage Inputs'!$B$5,'Mortgage Inputs'!$B$5&gt;0),'Offset Inputs'!$B$5-'Mortgage Inputs'!$B$5,D254+'Offset Inputs'!$B$6))</f>
        <v>174000</v>
      </c>
    </row>
    <row r="255" spans="1:8" ht="22" customHeight="1">
      <c r="A255" s="1">
        <f>IF(AND('Mortgage Inputs'!$B$12,249&lt;=IF('Mortgage Inputs'!$B$12,'Mortgage Inputs'!$B$7,0)*12+600,ISNUMBER(G254),G254&gt;0.005),249,"")</f>
        <v>249</v>
      </c>
      <c r="B255" s="4">
        <f>IF(A255="","",DATE(YEAR('Mortgage Inputs'!$B$8),MONTH('Mortgage Inputs'!$B$8)+A255,DAY('Mortgage Inputs'!$B$8)))</f>
        <v>53905</v>
      </c>
      <c r="C255" s="2">
        <f t="shared" si="10"/>
        <v>78048.170159294532</v>
      </c>
      <c r="D255" s="2">
        <f t="shared" si="11"/>
        <v>174000</v>
      </c>
      <c r="E255" s="2">
        <f>IF(A255="","",MAX(0,(C255-MIN(D255,C255))*'Mortgage Inputs'!$B$15))</f>
        <v>0</v>
      </c>
      <c r="F255" s="2">
        <f>IF(A255="","",IF(AND('Offset Inputs'!$B$5&gt;='Mortgage Inputs'!$B$5,'Mortgage Inputs'!$B$5&gt;0),C255,MIN(C255,MAX(0,'Mortgage Inputs'!$B$17-E255))))</f>
        <v>4061.5333678073534</v>
      </c>
      <c r="G255" s="2">
        <f t="shared" si="9"/>
        <v>73986.636791487181</v>
      </c>
      <c r="H255" s="2">
        <f>IF(A255="","",IF(AND('Offset Inputs'!$B$5&gt;='Mortgage Inputs'!$B$5,'Mortgage Inputs'!$B$5&gt;0),'Offset Inputs'!$B$5-'Mortgage Inputs'!$B$5,D255+'Offset Inputs'!$B$6))</f>
        <v>174500</v>
      </c>
    </row>
    <row r="256" spans="1:8" ht="22" customHeight="1">
      <c r="A256" s="1">
        <f>IF(AND('Mortgage Inputs'!$B$12,250&lt;=IF('Mortgage Inputs'!$B$12,'Mortgage Inputs'!$B$7,0)*12+600,ISNUMBER(G255),G255&gt;0.005),250,"")</f>
        <v>250</v>
      </c>
      <c r="B256" s="4">
        <f>IF(A256="","",DATE(YEAR('Mortgage Inputs'!$B$8),MONTH('Mortgage Inputs'!$B$8)+A256,DAY('Mortgage Inputs'!$B$8)))</f>
        <v>53936</v>
      </c>
      <c r="C256" s="2">
        <f t="shared" si="10"/>
        <v>73986.636791487181</v>
      </c>
      <c r="D256" s="2">
        <f t="shared" si="11"/>
        <v>174500</v>
      </c>
      <c r="E256" s="2">
        <f>IF(A256="","",MAX(0,(C256-MIN(D256,C256))*'Mortgage Inputs'!$B$15))</f>
        <v>0</v>
      </c>
      <c r="F256" s="2">
        <f>IF(A256="","",IF(AND('Offset Inputs'!$B$5&gt;='Mortgage Inputs'!$B$5,'Mortgage Inputs'!$B$5&gt;0),C256,MIN(C256,MAX(0,'Mortgage Inputs'!$B$17-E256))))</f>
        <v>4061.5333678073534</v>
      </c>
      <c r="G256" s="2">
        <f t="shared" si="9"/>
        <v>69925.10342367983</v>
      </c>
      <c r="H256" s="2">
        <f>IF(A256="","",IF(AND('Offset Inputs'!$B$5&gt;='Mortgage Inputs'!$B$5,'Mortgage Inputs'!$B$5&gt;0),'Offset Inputs'!$B$5-'Mortgage Inputs'!$B$5,D256+'Offset Inputs'!$B$6))</f>
        <v>175000</v>
      </c>
    </row>
    <row r="257" spans="1:8" ht="22" customHeight="1">
      <c r="A257" s="1">
        <f>IF(AND('Mortgage Inputs'!$B$12,251&lt;=IF('Mortgage Inputs'!$B$12,'Mortgage Inputs'!$B$7,0)*12+600,ISNUMBER(G256),G256&gt;0.005),251,"")</f>
        <v>251</v>
      </c>
      <c r="B257" s="4">
        <f>IF(A257="","",DATE(YEAR('Mortgage Inputs'!$B$8),MONTH('Mortgage Inputs'!$B$8)+A257,DAY('Mortgage Inputs'!$B$8)))</f>
        <v>53966</v>
      </c>
      <c r="C257" s="2">
        <f t="shared" si="10"/>
        <v>69925.10342367983</v>
      </c>
      <c r="D257" s="2">
        <f t="shared" si="11"/>
        <v>175000</v>
      </c>
      <c r="E257" s="2">
        <f>IF(A257="","",MAX(0,(C257-MIN(D257,C257))*'Mortgage Inputs'!$B$15))</f>
        <v>0</v>
      </c>
      <c r="F257" s="2">
        <f>IF(A257="","",IF(AND('Offset Inputs'!$B$5&gt;='Mortgage Inputs'!$B$5,'Mortgage Inputs'!$B$5&gt;0),C257,MIN(C257,MAX(0,'Mortgage Inputs'!$B$17-E257))))</f>
        <v>4061.5333678073534</v>
      </c>
      <c r="G257" s="2">
        <f t="shared" si="9"/>
        <v>65863.570055872478</v>
      </c>
      <c r="H257" s="2">
        <f>IF(A257="","",IF(AND('Offset Inputs'!$B$5&gt;='Mortgage Inputs'!$B$5,'Mortgage Inputs'!$B$5&gt;0),'Offset Inputs'!$B$5-'Mortgage Inputs'!$B$5,D257+'Offset Inputs'!$B$6))</f>
        <v>175500</v>
      </c>
    </row>
    <row r="258" spans="1:8" ht="22" customHeight="1">
      <c r="A258" s="1">
        <f>IF(AND('Mortgage Inputs'!$B$12,252&lt;=IF('Mortgage Inputs'!$B$12,'Mortgage Inputs'!$B$7,0)*12+600,ISNUMBER(G257),G257&gt;0.005),252,"")</f>
        <v>252</v>
      </c>
      <c r="B258" s="4">
        <f>IF(A258="","",DATE(YEAR('Mortgage Inputs'!$B$8),MONTH('Mortgage Inputs'!$B$8)+A258,DAY('Mortgage Inputs'!$B$8)))</f>
        <v>53997</v>
      </c>
      <c r="C258" s="2">
        <f t="shared" si="10"/>
        <v>65863.570055872478</v>
      </c>
      <c r="D258" s="2">
        <f t="shared" si="11"/>
        <v>175500</v>
      </c>
      <c r="E258" s="2">
        <f>IF(A258="","",MAX(0,(C258-MIN(D258,C258))*'Mortgage Inputs'!$B$15))</f>
        <v>0</v>
      </c>
      <c r="F258" s="2">
        <f>IF(A258="","",IF(AND('Offset Inputs'!$B$5&gt;='Mortgage Inputs'!$B$5,'Mortgage Inputs'!$B$5&gt;0),C258,MIN(C258,MAX(0,'Mortgage Inputs'!$B$17-E258))))</f>
        <v>4061.5333678073534</v>
      </c>
      <c r="G258" s="2">
        <f t="shared" si="9"/>
        <v>61802.036688065127</v>
      </c>
      <c r="H258" s="2">
        <f>IF(A258="","",IF(AND('Offset Inputs'!$B$5&gt;='Mortgage Inputs'!$B$5,'Mortgage Inputs'!$B$5&gt;0),'Offset Inputs'!$B$5-'Mortgage Inputs'!$B$5,D258+'Offset Inputs'!$B$6))</f>
        <v>176000</v>
      </c>
    </row>
    <row r="259" spans="1:8" ht="22" customHeight="1">
      <c r="A259" s="1">
        <f>IF(AND('Mortgage Inputs'!$B$12,253&lt;=IF('Mortgage Inputs'!$B$12,'Mortgage Inputs'!$B$7,0)*12+600,ISNUMBER(G258),G258&gt;0.005),253,"")</f>
        <v>253</v>
      </c>
      <c r="B259" s="4">
        <f>IF(A259="","",DATE(YEAR('Mortgage Inputs'!$B$8),MONTH('Mortgage Inputs'!$B$8)+A259,DAY('Mortgage Inputs'!$B$8)))</f>
        <v>54027</v>
      </c>
      <c r="C259" s="2">
        <f t="shared" si="10"/>
        <v>61802.036688065127</v>
      </c>
      <c r="D259" s="2">
        <f t="shared" si="11"/>
        <v>176000</v>
      </c>
      <c r="E259" s="2">
        <f>IF(A259="","",MAX(0,(C259-MIN(D259,C259))*'Mortgage Inputs'!$B$15))</f>
        <v>0</v>
      </c>
      <c r="F259" s="2">
        <f>IF(A259="","",IF(AND('Offset Inputs'!$B$5&gt;='Mortgage Inputs'!$B$5,'Mortgage Inputs'!$B$5&gt;0),C259,MIN(C259,MAX(0,'Mortgage Inputs'!$B$17-E259))))</f>
        <v>4061.5333678073534</v>
      </c>
      <c r="G259" s="2">
        <f t="shared" si="9"/>
        <v>57740.503320257776</v>
      </c>
      <c r="H259" s="2">
        <f>IF(A259="","",IF(AND('Offset Inputs'!$B$5&gt;='Mortgage Inputs'!$B$5,'Mortgage Inputs'!$B$5&gt;0),'Offset Inputs'!$B$5-'Mortgage Inputs'!$B$5,D259+'Offset Inputs'!$B$6))</f>
        <v>176500</v>
      </c>
    </row>
    <row r="260" spans="1:8" ht="22" customHeight="1">
      <c r="A260" s="1">
        <f>IF(AND('Mortgage Inputs'!$B$12,254&lt;=IF('Mortgage Inputs'!$B$12,'Mortgage Inputs'!$B$7,0)*12+600,ISNUMBER(G259),G259&gt;0.005),254,"")</f>
        <v>254</v>
      </c>
      <c r="B260" s="4">
        <f>IF(A260="","",DATE(YEAR('Mortgage Inputs'!$B$8),MONTH('Mortgage Inputs'!$B$8)+A260,DAY('Mortgage Inputs'!$B$8)))</f>
        <v>54058</v>
      </c>
      <c r="C260" s="2">
        <f t="shared" si="10"/>
        <v>57740.503320257776</v>
      </c>
      <c r="D260" s="2">
        <f t="shared" si="11"/>
        <v>176500</v>
      </c>
      <c r="E260" s="2">
        <f>IF(A260="","",MAX(0,(C260-MIN(D260,C260))*'Mortgage Inputs'!$B$15))</f>
        <v>0</v>
      </c>
      <c r="F260" s="2">
        <f>IF(A260="","",IF(AND('Offset Inputs'!$B$5&gt;='Mortgage Inputs'!$B$5,'Mortgage Inputs'!$B$5&gt;0),C260,MIN(C260,MAX(0,'Mortgage Inputs'!$B$17-E260))))</f>
        <v>4061.5333678073534</v>
      </c>
      <c r="G260" s="2">
        <f t="shared" si="9"/>
        <v>53678.969952450425</v>
      </c>
      <c r="H260" s="2">
        <f>IF(A260="","",IF(AND('Offset Inputs'!$B$5&gt;='Mortgage Inputs'!$B$5,'Mortgage Inputs'!$B$5&gt;0),'Offset Inputs'!$B$5-'Mortgage Inputs'!$B$5,D260+'Offset Inputs'!$B$6))</f>
        <v>177000</v>
      </c>
    </row>
    <row r="261" spans="1:8" ht="22" customHeight="1">
      <c r="A261" s="1">
        <f>IF(AND('Mortgage Inputs'!$B$12,255&lt;=IF('Mortgage Inputs'!$B$12,'Mortgage Inputs'!$B$7,0)*12+600,ISNUMBER(G260),G260&gt;0.005),255,"")</f>
        <v>255</v>
      </c>
      <c r="B261" s="4">
        <f>IF(A261="","",DATE(YEAR('Mortgage Inputs'!$B$8),MONTH('Mortgage Inputs'!$B$8)+A261,DAY('Mortgage Inputs'!$B$8)))</f>
        <v>54089</v>
      </c>
      <c r="C261" s="2">
        <f t="shared" si="10"/>
        <v>53678.969952450425</v>
      </c>
      <c r="D261" s="2">
        <f t="shared" si="11"/>
        <v>177000</v>
      </c>
      <c r="E261" s="2">
        <f>IF(A261="","",MAX(0,(C261-MIN(D261,C261))*'Mortgage Inputs'!$B$15))</f>
        <v>0</v>
      </c>
      <c r="F261" s="2">
        <f>IF(A261="","",IF(AND('Offset Inputs'!$B$5&gt;='Mortgage Inputs'!$B$5,'Mortgage Inputs'!$B$5&gt;0),C261,MIN(C261,MAX(0,'Mortgage Inputs'!$B$17-E261))))</f>
        <v>4061.5333678073534</v>
      </c>
      <c r="G261" s="2">
        <f t="shared" si="9"/>
        <v>49617.436584643074</v>
      </c>
      <c r="H261" s="2">
        <f>IF(A261="","",IF(AND('Offset Inputs'!$B$5&gt;='Mortgage Inputs'!$B$5,'Mortgage Inputs'!$B$5&gt;0),'Offset Inputs'!$B$5-'Mortgage Inputs'!$B$5,D261+'Offset Inputs'!$B$6))</f>
        <v>177500</v>
      </c>
    </row>
    <row r="262" spans="1:8" ht="22" customHeight="1">
      <c r="A262" s="1">
        <f>IF(AND('Mortgage Inputs'!$B$12,256&lt;=IF('Mortgage Inputs'!$B$12,'Mortgage Inputs'!$B$7,0)*12+600,ISNUMBER(G261),G261&gt;0.005),256,"")</f>
        <v>256</v>
      </c>
      <c r="B262" s="4">
        <f>IF(A262="","",DATE(YEAR('Mortgage Inputs'!$B$8),MONTH('Mortgage Inputs'!$B$8)+A262,DAY('Mortgage Inputs'!$B$8)))</f>
        <v>54118</v>
      </c>
      <c r="C262" s="2">
        <f t="shared" si="10"/>
        <v>49617.436584643074</v>
      </c>
      <c r="D262" s="2">
        <f t="shared" si="11"/>
        <v>177500</v>
      </c>
      <c r="E262" s="2">
        <f>IF(A262="","",MAX(0,(C262-MIN(D262,C262))*'Mortgage Inputs'!$B$15))</f>
        <v>0</v>
      </c>
      <c r="F262" s="2">
        <f>IF(A262="","",IF(AND('Offset Inputs'!$B$5&gt;='Mortgage Inputs'!$B$5,'Mortgage Inputs'!$B$5&gt;0),C262,MIN(C262,MAX(0,'Mortgage Inputs'!$B$17-E262))))</f>
        <v>4061.5333678073534</v>
      </c>
      <c r="G262" s="2">
        <f t="shared" si="9"/>
        <v>45555.903216835723</v>
      </c>
      <c r="H262" s="2">
        <f>IF(A262="","",IF(AND('Offset Inputs'!$B$5&gt;='Mortgage Inputs'!$B$5,'Mortgage Inputs'!$B$5&gt;0),'Offset Inputs'!$B$5-'Mortgage Inputs'!$B$5,D262+'Offset Inputs'!$B$6))</f>
        <v>178000</v>
      </c>
    </row>
    <row r="263" spans="1:8" ht="22" customHeight="1">
      <c r="A263" s="1">
        <f>IF(AND('Mortgage Inputs'!$B$12,257&lt;=IF('Mortgage Inputs'!$B$12,'Mortgage Inputs'!$B$7,0)*12+600,ISNUMBER(G262),G262&gt;0.005),257,"")</f>
        <v>257</v>
      </c>
      <c r="B263" s="4">
        <f>IF(A263="","",DATE(YEAR('Mortgage Inputs'!$B$8),MONTH('Mortgage Inputs'!$B$8)+A263,DAY('Mortgage Inputs'!$B$8)))</f>
        <v>54149</v>
      </c>
      <c r="C263" s="2">
        <f t="shared" si="10"/>
        <v>45555.903216835723</v>
      </c>
      <c r="D263" s="2">
        <f t="shared" si="11"/>
        <v>178000</v>
      </c>
      <c r="E263" s="2">
        <f>IF(A263="","",MAX(0,(C263-MIN(D263,C263))*'Mortgage Inputs'!$B$15))</f>
        <v>0</v>
      </c>
      <c r="F263" s="2">
        <f>IF(A263="","",IF(AND('Offset Inputs'!$B$5&gt;='Mortgage Inputs'!$B$5,'Mortgage Inputs'!$B$5&gt;0),C263,MIN(C263,MAX(0,'Mortgage Inputs'!$B$17-E263))))</f>
        <v>4061.5333678073534</v>
      </c>
      <c r="G263" s="2">
        <f t="shared" ref="G263:G326" si="12">IF(A263="","",MAX(0,C263-F263))</f>
        <v>41494.369849028371</v>
      </c>
      <c r="H263" s="2">
        <f>IF(A263="","",IF(AND('Offset Inputs'!$B$5&gt;='Mortgage Inputs'!$B$5,'Mortgage Inputs'!$B$5&gt;0),'Offset Inputs'!$B$5-'Mortgage Inputs'!$B$5,D263+'Offset Inputs'!$B$6))</f>
        <v>178500</v>
      </c>
    </row>
    <row r="264" spans="1:8" ht="22" customHeight="1">
      <c r="A264" s="1">
        <f>IF(AND('Mortgage Inputs'!$B$12,258&lt;=IF('Mortgage Inputs'!$B$12,'Mortgage Inputs'!$B$7,0)*12+600,ISNUMBER(G263),G263&gt;0.005),258,"")</f>
        <v>258</v>
      </c>
      <c r="B264" s="4">
        <f>IF(A264="","",DATE(YEAR('Mortgage Inputs'!$B$8),MONTH('Mortgage Inputs'!$B$8)+A264,DAY('Mortgage Inputs'!$B$8)))</f>
        <v>54179</v>
      </c>
      <c r="C264" s="2">
        <f t="shared" ref="C264:C327" si="13">IF(A264="","",G263)</f>
        <v>41494.369849028371</v>
      </c>
      <c r="D264" s="2">
        <f t="shared" ref="D264:D327" si="14">IF(A264="","",H263)</f>
        <v>178500</v>
      </c>
      <c r="E264" s="2">
        <f>IF(A264="","",MAX(0,(C264-MIN(D264,C264))*'Mortgage Inputs'!$B$15))</f>
        <v>0</v>
      </c>
      <c r="F264" s="2">
        <f>IF(A264="","",IF(AND('Offset Inputs'!$B$5&gt;='Mortgage Inputs'!$B$5,'Mortgage Inputs'!$B$5&gt;0),C264,MIN(C264,MAX(0,'Mortgage Inputs'!$B$17-E264))))</f>
        <v>4061.5333678073534</v>
      </c>
      <c r="G264" s="2">
        <f t="shared" si="12"/>
        <v>37432.83648122102</v>
      </c>
      <c r="H264" s="2">
        <f>IF(A264="","",IF(AND('Offset Inputs'!$B$5&gt;='Mortgage Inputs'!$B$5,'Mortgage Inputs'!$B$5&gt;0),'Offset Inputs'!$B$5-'Mortgage Inputs'!$B$5,D264+'Offset Inputs'!$B$6))</f>
        <v>179000</v>
      </c>
    </row>
    <row r="265" spans="1:8" ht="22" customHeight="1">
      <c r="A265" s="1">
        <f>IF(AND('Mortgage Inputs'!$B$12,259&lt;=IF('Mortgage Inputs'!$B$12,'Mortgage Inputs'!$B$7,0)*12+600,ISNUMBER(G264),G264&gt;0.005),259,"")</f>
        <v>259</v>
      </c>
      <c r="B265" s="4">
        <f>IF(A265="","",DATE(YEAR('Mortgage Inputs'!$B$8),MONTH('Mortgage Inputs'!$B$8)+A265,DAY('Mortgage Inputs'!$B$8)))</f>
        <v>54210</v>
      </c>
      <c r="C265" s="2">
        <f t="shared" si="13"/>
        <v>37432.83648122102</v>
      </c>
      <c r="D265" s="2">
        <f t="shared" si="14"/>
        <v>179000</v>
      </c>
      <c r="E265" s="2">
        <f>IF(A265="","",MAX(0,(C265-MIN(D265,C265))*'Mortgage Inputs'!$B$15))</f>
        <v>0</v>
      </c>
      <c r="F265" s="2">
        <f>IF(A265="","",IF(AND('Offset Inputs'!$B$5&gt;='Mortgage Inputs'!$B$5,'Mortgage Inputs'!$B$5&gt;0),C265,MIN(C265,MAX(0,'Mortgage Inputs'!$B$17-E265))))</f>
        <v>4061.5333678073534</v>
      </c>
      <c r="G265" s="2">
        <f t="shared" si="12"/>
        <v>33371.303113413669</v>
      </c>
      <c r="H265" s="2">
        <f>IF(A265="","",IF(AND('Offset Inputs'!$B$5&gt;='Mortgage Inputs'!$B$5,'Mortgage Inputs'!$B$5&gt;0),'Offset Inputs'!$B$5-'Mortgage Inputs'!$B$5,D265+'Offset Inputs'!$B$6))</f>
        <v>179500</v>
      </c>
    </row>
    <row r="266" spans="1:8" ht="22" customHeight="1">
      <c r="A266" s="1">
        <f>IF(AND('Mortgage Inputs'!$B$12,260&lt;=IF('Mortgage Inputs'!$B$12,'Mortgage Inputs'!$B$7,0)*12+600,ISNUMBER(G265),G265&gt;0.005),260,"")</f>
        <v>260</v>
      </c>
      <c r="B266" s="4">
        <f>IF(A266="","",DATE(YEAR('Mortgage Inputs'!$B$8),MONTH('Mortgage Inputs'!$B$8)+A266,DAY('Mortgage Inputs'!$B$8)))</f>
        <v>54240</v>
      </c>
      <c r="C266" s="2">
        <f t="shared" si="13"/>
        <v>33371.303113413669</v>
      </c>
      <c r="D266" s="2">
        <f t="shared" si="14"/>
        <v>179500</v>
      </c>
      <c r="E266" s="2">
        <f>IF(A266="","",MAX(0,(C266-MIN(D266,C266))*'Mortgage Inputs'!$B$15))</f>
        <v>0</v>
      </c>
      <c r="F266" s="2">
        <f>IF(A266="","",IF(AND('Offset Inputs'!$B$5&gt;='Mortgage Inputs'!$B$5,'Mortgage Inputs'!$B$5&gt;0),C266,MIN(C266,MAX(0,'Mortgage Inputs'!$B$17-E266))))</f>
        <v>4061.5333678073534</v>
      </c>
      <c r="G266" s="2">
        <f t="shared" si="12"/>
        <v>29309.769745606314</v>
      </c>
      <c r="H266" s="2">
        <f>IF(A266="","",IF(AND('Offset Inputs'!$B$5&gt;='Mortgage Inputs'!$B$5,'Mortgage Inputs'!$B$5&gt;0),'Offset Inputs'!$B$5-'Mortgage Inputs'!$B$5,D266+'Offset Inputs'!$B$6))</f>
        <v>180000</v>
      </c>
    </row>
    <row r="267" spans="1:8" ht="22" customHeight="1">
      <c r="A267" s="1">
        <f>IF(AND('Mortgage Inputs'!$B$12,261&lt;=IF('Mortgage Inputs'!$B$12,'Mortgage Inputs'!$B$7,0)*12+600,ISNUMBER(G266),G266&gt;0.005),261,"")</f>
        <v>261</v>
      </c>
      <c r="B267" s="4">
        <f>IF(A267="","",DATE(YEAR('Mortgage Inputs'!$B$8),MONTH('Mortgage Inputs'!$B$8)+A267,DAY('Mortgage Inputs'!$B$8)))</f>
        <v>54271</v>
      </c>
      <c r="C267" s="2">
        <f t="shared" si="13"/>
        <v>29309.769745606314</v>
      </c>
      <c r="D267" s="2">
        <f t="shared" si="14"/>
        <v>180000</v>
      </c>
      <c r="E267" s="2">
        <f>IF(A267="","",MAX(0,(C267-MIN(D267,C267))*'Mortgage Inputs'!$B$15))</f>
        <v>0</v>
      </c>
      <c r="F267" s="2">
        <f>IF(A267="","",IF(AND('Offset Inputs'!$B$5&gt;='Mortgage Inputs'!$B$5,'Mortgage Inputs'!$B$5&gt;0),C267,MIN(C267,MAX(0,'Mortgage Inputs'!$B$17-E267))))</f>
        <v>4061.5333678073534</v>
      </c>
      <c r="G267" s="2">
        <f t="shared" si="12"/>
        <v>25248.236377798959</v>
      </c>
      <c r="H267" s="2">
        <f>IF(A267="","",IF(AND('Offset Inputs'!$B$5&gt;='Mortgage Inputs'!$B$5,'Mortgage Inputs'!$B$5&gt;0),'Offset Inputs'!$B$5-'Mortgage Inputs'!$B$5,D267+'Offset Inputs'!$B$6))</f>
        <v>180500</v>
      </c>
    </row>
    <row r="268" spans="1:8" ht="22" customHeight="1">
      <c r="A268" s="1">
        <f>IF(AND('Mortgage Inputs'!$B$12,262&lt;=IF('Mortgage Inputs'!$B$12,'Mortgage Inputs'!$B$7,0)*12+600,ISNUMBER(G267),G267&gt;0.005),262,"")</f>
        <v>262</v>
      </c>
      <c r="B268" s="4">
        <f>IF(A268="","",DATE(YEAR('Mortgage Inputs'!$B$8),MONTH('Mortgage Inputs'!$B$8)+A268,DAY('Mortgage Inputs'!$B$8)))</f>
        <v>54302</v>
      </c>
      <c r="C268" s="2">
        <f t="shared" si="13"/>
        <v>25248.236377798959</v>
      </c>
      <c r="D268" s="2">
        <f t="shared" si="14"/>
        <v>180500</v>
      </c>
      <c r="E268" s="2">
        <f>IF(A268="","",MAX(0,(C268-MIN(D268,C268))*'Mortgage Inputs'!$B$15))</f>
        <v>0</v>
      </c>
      <c r="F268" s="2">
        <f>IF(A268="","",IF(AND('Offset Inputs'!$B$5&gt;='Mortgage Inputs'!$B$5,'Mortgage Inputs'!$B$5&gt;0),C268,MIN(C268,MAX(0,'Mortgage Inputs'!$B$17-E268))))</f>
        <v>4061.5333678073534</v>
      </c>
      <c r="G268" s="2">
        <f t="shared" si="12"/>
        <v>21186.703009991605</v>
      </c>
      <c r="H268" s="2">
        <f>IF(A268="","",IF(AND('Offset Inputs'!$B$5&gt;='Mortgage Inputs'!$B$5,'Mortgage Inputs'!$B$5&gt;0),'Offset Inputs'!$B$5-'Mortgage Inputs'!$B$5,D268+'Offset Inputs'!$B$6))</f>
        <v>181000</v>
      </c>
    </row>
    <row r="269" spans="1:8" ht="22" customHeight="1">
      <c r="A269" s="1">
        <f>IF(AND('Mortgage Inputs'!$B$12,263&lt;=IF('Mortgage Inputs'!$B$12,'Mortgage Inputs'!$B$7,0)*12+600,ISNUMBER(G268),G268&gt;0.005),263,"")</f>
        <v>263</v>
      </c>
      <c r="B269" s="4">
        <f>IF(A269="","",DATE(YEAR('Mortgage Inputs'!$B$8),MONTH('Mortgage Inputs'!$B$8)+A269,DAY('Mortgage Inputs'!$B$8)))</f>
        <v>54332</v>
      </c>
      <c r="C269" s="2">
        <f t="shared" si="13"/>
        <v>21186.703009991605</v>
      </c>
      <c r="D269" s="2">
        <f t="shared" si="14"/>
        <v>181000</v>
      </c>
      <c r="E269" s="2">
        <f>IF(A269="","",MAX(0,(C269-MIN(D269,C269))*'Mortgage Inputs'!$B$15))</f>
        <v>0</v>
      </c>
      <c r="F269" s="2">
        <f>IF(A269="","",IF(AND('Offset Inputs'!$B$5&gt;='Mortgage Inputs'!$B$5,'Mortgage Inputs'!$B$5&gt;0),C269,MIN(C269,MAX(0,'Mortgage Inputs'!$B$17-E269))))</f>
        <v>4061.5333678073534</v>
      </c>
      <c r="G269" s="2">
        <f t="shared" si="12"/>
        <v>17125.16964218425</v>
      </c>
      <c r="H269" s="2">
        <f>IF(A269="","",IF(AND('Offset Inputs'!$B$5&gt;='Mortgage Inputs'!$B$5,'Mortgage Inputs'!$B$5&gt;0),'Offset Inputs'!$B$5-'Mortgage Inputs'!$B$5,D269+'Offset Inputs'!$B$6))</f>
        <v>181500</v>
      </c>
    </row>
    <row r="270" spans="1:8" ht="22" customHeight="1">
      <c r="A270" s="1">
        <f>IF(AND('Mortgage Inputs'!$B$12,264&lt;=IF('Mortgage Inputs'!$B$12,'Mortgage Inputs'!$B$7,0)*12+600,ISNUMBER(G269),G269&gt;0.005),264,"")</f>
        <v>264</v>
      </c>
      <c r="B270" s="4">
        <f>IF(A270="","",DATE(YEAR('Mortgage Inputs'!$B$8),MONTH('Mortgage Inputs'!$B$8)+A270,DAY('Mortgage Inputs'!$B$8)))</f>
        <v>54363</v>
      </c>
      <c r="C270" s="2">
        <f t="shared" si="13"/>
        <v>17125.16964218425</v>
      </c>
      <c r="D270" s="2">
        <f t="shared" si="14"/>
        <v>181500</v>
      </c>
      <c r="E270" s="2">
        <f>IF(A270="","",MAX(0,(C270-MIN(D270,C270))*'Mortgage Inputs'!$B$15))</f>
        <v>0</v>
      </c>
      <c r="F270" s="2">
        <f>IF(A270="","",IF(AND('Offset Inputs'!$B$5&gt;='Mortgage Inputs'!$B$5,'Mortgage Inputs'!$B$5&gt;0),C270,MIN(C270,MAX(0,'Mortgage Inputs'!$B$17-E270))))</f>
        <v>4061.5333678073534</v>
      </c>
      <c r="G270" s="2">
        <f t="shared" si="12"/>
        <v>13063.636274376897</v>
      </c>
      <c r="H270" s="2">
        <f>IF(A270="","",IF(AND('Offset Inputs'!$B$5&gt;='Mortgage Inputs'!$B$5,'Mortgage Inputs'!$B$5&gt;0),'Offset Inputs'!$B$5-'Mortgage Inputs'!$B$5,D270+'Offset Inputs'!$B$6))</f>
        <v>182000</v>
      </c>
    </row>
    <row r="271" spans="1:8" ht="22" customHeight="1">
      <c r="A271" s="1">
        <f>IF(AND('Mortgage Inputs'!$B$12,265&lt;=IF('Mortgage Inputs'!$B$12,'Mortgage Inputs'!$B$7,0)*12+600,ISNUMBER(G270),G270&gt;0.005),265,"")</f>
        <v>265</v>
      </c>
      <c r="B271" s="4">
        <f>IF(A271="","",DATE(YEAR('Mortgage Inputs'!$B$8),MONTH('Mortgage Inputs'!$B$8)+A271,DAY('Mortgage Inputs'!$B$8)))</f>
        <v>54393</v>
      </c>
      <c r="C271" s="2">
        <f t="shared" si="13"/>
        <v>13063.636274376897</v>
      </c>
      <c r="D271" s="2">
        <f t="shared" si="14"/>
        <v>182000</v>
      </c>
      <c r="E271" s="2">
        <f>IF(A271="","",MAX(0,(C271-MIN(D271,C271))*'Mortgage Inputs'!$B$15))</f>
        <v>0</v>
      </c>
      <c r="F271" s="2">
        <f>IF(A271="","",IF(AND('Offset Inputs'!$B$5&gt;='Mortgage Inputs'!$B$5,'Mortgage Inputs'!$B$5&gt;0),C271,MIN(C271,MAX(0,'Mortgage Inputs'!$B$17-E271))))</f>
        <v>4061.5333678073534</v>
      </c>
      <c r="G271" s="2">
        <f t="shared" si="12"/>
        <v>9002.1029065695438</v>
      </c>
      <c r="H271" s="2">
        <f>IF(A271="","",IF(AND('Offset Inputs'!$B$5&gt;='Mortgage Inputs'!$B$5,'Mortgage Inputs'!$B$5&gt;0),'Offset Inputs'!$B$5-'Mortgage Inputs'!$B$5,D271+'Offset Inputs'!$B$6))</f>
        <v>182500</v>
      </c>
    </row>
    <row r="272" spans="1:8" ht="22" customHeight="1">
      <c r="A272" s="1">
        <f>IF(AND('Mortgage Inputs'!$B$12,266&lt;=IF('Mortgage Inputs'!$B$12,'Mortgage Inputs'!$B$7,0)*12+600,ISNUMBER(G271),G271&gt;0.005),266,"")</f>
        <v>266</v>
      </c>
      <c r="B272" s="4">
        <f>IF(A272="","",DATE(YEAR('Mortgage Inputs'!$B$8),MONTH('Mortgage Inputs'!$B$8)+A272,DAY('Mortgage Inputs'!$B$8)))</f>
        <v>54424</v>
      </c>
      <c r="C272" s="2">
        <f t="shared" si="13"/>
        <v>9002.1029065695438</v>
      </c>
      <c r="D272" s="2">
        <f t="shared" si="14"/>
        <v>182500</v>
      </c>
      <c r="E272" s="2">
        <f>IF(A272="","",MAX(0,(C272-MIN(D272,C272))*'Mortgage Inputs'!$B$15))</f>
        <v>0</v>
      </c>
      <c r="F272" s="2">
        <f>IF(A272="","",IF(AND('Offset Inputs'!$B$5&gt;='Mortgage Inputs'!$B$5,'Mortgage Inputs'!$B$5&gt;0),C272,MIN(C272,MAX(0,'Mortgage Inputs'!$B$17-E272))))</f>
        <v>4061.5333678073534</v>
      </c>
      <c r="G272" s="2">
        <f t="shared" si="12"/>
        <v>4940.5695387621909</v>
      </c>
      <c r="H272" s="2">
        <f>IF(A272="","",IF(AND('Offset Inputs'!$B$5&gt;='Mortgage Inputs'!$B$5,'Mortgage Inputs'!$B$5&gt;0),'Offset Inputs'!$B$5-'Mortgage Inputs'!$B$5,D272+'Offset Inputs'!$B$6))</f>
        <v>183000</v>
      </c>
    </row>
    <row r="273" spans="1:8" ht="22" customHeight="1">
      <c r="A273" s="1">
        <f>IF(AND('Mortgage Inputs'!$B$12,267&lt;=IF('Mortgage Inputs'!$B$12,'Mortgage Inputs'!$B$7,0)*12+600,ISNUMBER(G272),G272&gt;0.005),267,"")</f>
        <v>267</v>
      </c>
      <c r="B273" s="4">
        <f>IF(A273="","",DATE(YEAR('Mortgage Inputs'!$B$8),MONTH('Mortgage Inputs'!$B$8)+A273,DAY('Mortgage Inputs'!$B$8)))</f>
        <v>54455</v>
      </c>
      <c r="C273" s="2">
        <f t="shared" si="13"/>
        <v>4940.5695387621909</v>
      </c>
      <c r="D273" s="2">
        <f t="shared" si="14"/>
        <v>183000</v>
      </c>
      <c r="E273" s="2">
        <f>IF(A273="","",MAX(0,(C273-MIN(D273,C273))*'Mortgage Inputs'!$B$15))</f>
        <v>0</v>
      </c>
      <c r="F273" s="2">
        <f>IF(A273="","",IF(AND('Offset Inputs'!$B$5&gt;='Mortgage Inputs'!$B$5,'Mortgage Inputs'!$B$5&gt;0),C273,MIN(C273,MAX(0,'Mortgage Inputs'!$B$17-E273))))</f>
        <v>4061.5333678073534</v>
      </c>
      <c r="G273" s="2">
        <f t="shared" si="12"/>
        <v>879.03617095483742</v>
      </c>
      <c r="H273" s="2">
        <f>IF(A273="","",IF(AND('Offset Inputs'!$B$5&gt;='Mortgage Inputs'!$B$5,'Mortgage Inputs'!$B$5&gt;0),'Offset Inputs'!$B$5-'Mortgage Inputs'!$B$5,D273+'Offset Inputs'!$B$6))</f>
        <v>183500</v>
      </c>
    </row>
    <row r="274" spans="1:8" ht="22" customHeight="1">
      <c r="A274" s="1">
        <f>IF(AND('Mortgage Inputs'!$B$12,268&lt;=IF('Mortgage Inputs'!$B$12,'Mortgage Inputs'!$B$7,0)*12+600,ISNUMBER(G273),G273&gt;0.005),268,"")</f>
        <v>268</v>
      </c>
      <c r="B274" s="4">
        <f>IF(A274="","",DATE(YEAR('Mortgage Inputs'!$B$8),MONTH('Mortgage Inputs'!$B$8)+A274,DAY('Mortgage Inputs'!$B$8)))</f>
        <v>54483</v>
      </c>
      <c r="C274" s="2">
        <f t="shared" si="13"/>
        <v>879.03617095483742</v>
      </c>
      <c r="D274" s="2">
        <f t="shared" si="14"/>
        <v>183500</v>
      </c>
      <c r="E274" s="2">
        <f>IF(A274="","",MAX(0,(C274-MIN(D274,C274))*'Mortgage Inputs'!$B$15))</f>
        <v>0</v>
      </c>
      <c r="F274" s="2">
        <f>IF(A274="","",IF(AND('Offset Inputs'!$B$5&gt;='Mortgage Inputs'!$B$5,'Mortgage Inputs'!$B$5&gt;0),C274,MIN(C274,MAX(0,'Mortgage Inputs'!$B$17-E274))))</f>
        <v>879.03617095483742</v>
      </c>
      <c r="G274" s="2">
        <f t="shared" si="12"/>
        <v>0</v>
      </c>
      <c r="H274" s="2">
        <f>IF(A274="","",IF(AND('Offset Inputs'!$B$5&gt;='Mortgage Inputs'!$B$5,'Mortgage Inputs'!$B$5&gt;0),'Offset Inputs'!$B$5-'Mortgage Inputs'!$B$5,D274+'Offset Inputs'!$B$6))</f>
        <v>184000</v>
      </c>
    </row>
    <row r="275" spans="1:8" ht="22" customHeight="1">
      <c r="A275" s="1" t="str">
        <f>IF(AND('Mortgage Inputs'!$B$12,269&lt;=IF('Mortgage Inputs'!$B$12,'Mortgage Inputs'!$B$7,0)*12+600,ISNUMBER(G274),G274&gt;0.005),269,"")</f>
        <v/>
      </c>
      <c r="B275" s="4" t="str">
        <f>IF(A275="","",DATE(YEAR('Mortgage Inputs'!$B$8),MONTH('Mortgage Inputs'!$B$8)+A275,DAY('Mortgage Inputs'!$B$8)))</f>
        <v/>
      </c>
      <c r="C275" s="2" t="str">
        <f t="shared" si="13"/>
        <v/>
      </c>
      <c r="D275" s="2" t="str">
        <f t="shared" si="14"/>
        <v/>
      </c>
      <c r="E275" s="2" t="str">
        <f>IF(A275="","",MAX(0,(C275-MIN(D275,C275))*'Mortgage Inputs'!$B$15))</f>
        <v/>
      </c>
      <c r="F275" s="2" t="str">
        <f>IF(A275="","",IF(AND('Offset Inputs'!$B$5&gt;='Mortgage Inputs'!$B$5,'Mortgage Inputs'!$B$5&gt;0),C275,MIN(C275,MAX(0,'Mortgage Inputs'!$B$17-E275))))</f>
        <v/>
      </c>
      <c r="G275" s="2" t="str">
        <f t="shared" si="12"/>
        <v/>
      </c>
      <c r="H275" s="2" t="str">
        <f>IF(A275="","",IF(AND('Offset Inputs'!$B$5&gt;='Mortgage Inputs'!$B$5,'Mortgage Inputs'!$B$5&gt;0),'Offset Inputs'!$B$5-'Mortgage Inputs'!$B$5,D275+'Offset Inputs'!$B$6))</f>
        <v/>
      </c>
    </row>
    <row r="276" spans="1:8" ht="22" customHeight="1">
      <c r="A276" s="1" t="str">
        <f>IF(AND('Mortgage Inputs'!$B$12,270&lt;=IF('Mortgage Inputs'!$B$12,'Mortgage Inputs'!$B$7,0)*12+600,ISNUMBER(G275),G275&gt;0.005),270,"")</f>
        <v/>
      </c>
      <c r="B276" s="4" t="str">
        <f>IF(A276="","",DATE(YEAR('Mortgage Inputs'!$B$8),MONTH('Mortgage Inputs'!$B$8)+A276,DAY('Mortgage Inputs'!$B$8)))</f>
        <v/>
      </c>
      <c r="C276" s="2" t="str">
        <f t="shared" si="13"/>
        <v/>
      </c>
      <c r="D276" s="2" t="str">
        <f t="shared" si="14"/>
        <v/>
      </c>
      <c r="E276" s="2" t="str">
        <f>IF(A276="","",MAX(0,(C276-MIN(D276,C276))*'Mortgage Inputs'!$B$15))</f>
        <v/>
      </c>
      <c r="F276" s="2" t="str">
        <f>IF(A276="","",IF(AND('Offset Inputs'!$B$5&gt;='Mortgage Inputs'!$B$5,'Mortgage Inputs'!$B$5&gt;0),C276,MIN(C276,MAX(0,'Mortgage Inputs'!$B$17-E276))))</f>
        <v/>
      </c>
      <c r="G276" s="2" t="str">
        <f t="shared" si="12"/>
        <v/>
      </c>
      <c r="H276" s="2" t="str">
        <f>IF(A276="","",IF(AND('Offset Inputs'!$B$5&gt;='Mortgage Inputs'!$B$5,'Mortgage Inputs'!$B$5&gt;0),'Offset Inputs'!$B$5-'Mortgage Inputs'!$B$5,D276+'Offset Inputs'!$B$6))</f>
        <v/>
      </c>
    </row>
    <row r="277" spans="1:8" ht="22" customHeight="1">
      <c r="A277" s="1" t="str">
        <f>IF(AND('Mortgage Inputs'!$B$12,271&lt;=IF('Mortgage Inputs'!$B$12,'Mortgage Inputs'!$B$7,0)*12+600,ISNUMBER(G276),G276&gt;0.005),271,"")</f>
        <v/>
      </c>
      <c r="B277" s="4" t="str">
        <f>IF(A277="","",DATE(YEAR('Mortgage Inputs'!$B$8),MONTH('Mortgage Inputs'!$B$8)+A277,DAY('Mortgage Inputs'!$B$8)))</f>
        <v/>
      </c>
      <c r="C277" s="2" t="str">
        <f t="shared" si="13"/>
        <v/>
      </c>
      <c r="D277" s="2" t="str">
        <f t="shared" si="14"/>
        <v/>
      </c>
      <c r="E277" s="2" t="str">
        <f>IF(A277="","",MAX(0,(C277-MIN(D277,C277))*'Mortgage Inputs'!$B$15))</f>
        <v/>
      </c>
      <c r="F277" s="2" t="str">
        <f>IF(A277="","",IF(AND('Offset Inputs'!$B$5&gt;='Mortgage Inputs'!$B$5,'Mortgage Inputs'!$B$5&gt;0),C277,MIN(C277,MAX(0,'Mortgage Inputs'!$B$17-E277))))</f>
        <v/>
      </c>
      <c r="G277" s="2" t="str">
        <f t="shared" si="12"/>
        <v/>
      </c>
      <c r="H277" s="2" t="str">
        <f>IF(A277="","",IF(AND('Offset Inputs'!$B$5&gt;='Mortgage Inputs'!$B$5,'Mortgage Inputs'!$B$5&gt;0),'Offset Inputs'!$B$5-'Mortgage Inputs'!$B$5,D277+'Offset Inputs'!$B$6))</f>
        <v/>
      </c>
    </row>
    <row r="278" spans="1:8" ht="22" customHeight="1">
      <c r="A278" s="1" t="str">
        <f>IF(AND('Mortgage Inputs'!$B$12,272&lt;=IF('Mortgage Inputs'!$B$12,'Mortgage Inputs'!$B$7,0)*12+600,ISNUMBER(G277),G277&gt;0.005),272,"")</f>
        <v/>
      </c>
      <c r="B278" s="4" t="str">
        <f>IF(A278="","",DATE(YEAR('Mortgage Inputs'!$B$8),MONTH('Mortgage Inputs'!$B$8)+A278,DAY('Mortgage Inputs'!$B$8)))</f>
        <v/>
      </c>
      <c r="C278" s="2" t="str">
        <f t="shared" si="13"/>
        <v/>
      </c>
      <c r="D278" s="2" t="str">
        <f t="shared" si="14"/>
        <v/>
      </c>
      <c r="E278" s="2" t="str">
        <f>IF(A278="","",MAX(0,(C278-MIN(D278,C278))*'Mortgage Inputs'!$B$15))</f>
        <v/>
      </c>
      <c r="F278" s="2" t="str">
        <f>IF(A278="","",IF(AND('Offset Inputs'!$B$5&gt;='Mortgage Inputs'!$B$5,'Mortgage Inputs'!$B$5&gt;0),C278,MIN(C278,MAX(0,'Mortgage Inputs'!$B$17-E278))))</f>
        <v/>
      </c>
      <c r="G278" s="2" t="str">
        <f t="shared" si="12"/>
        <v/>
      </c>
      <c r="H278" s="2" t="str">
        <f>IF(A278="","",IF(AND('Offset Inputs'!$B$5&gt;='Mortgage Inputs'!$B$5,'Mortgage Inputs'!$B$5&gt;0),'Offset Inputs'!$B$5-'Mortgage Inputs'!$B$5,D278+'Offset Inputs'!$B$6))</f>
        <v/>
      </c>
    </row>
    <row r="279" spans="1:8" ht="22" customHeight="1">
      <c r="A279" s="1" t="str">
        <f>IF(AND('Mortgage Inputs'!$B$12,273&lt;=IF('Mortgage Inputs'!$B$12,'Mortgage Inputs'!$B$7,0)*12+600,ISNUMBER(G278),G278&gt;0.005),273,"")</f>
        <v/>
      </c>
      <c r="B279" s="4" t="str">
        <f>IF(A279="","",DATE(YEAR('Mortgage Inputs'!$B$8),MONTH('Mortgage Inputs'!$B$8)+A279,DAY('Mortgage Inputs'!$B$8)))</f>
        <v/>
      </c>
      <c r="C279" s="2" t="str">
        <f t="shared" si="13"/>
        <v/>
      </c>
      <c r="D279" s="2" t="str">
        <f t="shared" si="14"/>
        <v/>
      </c>
      <c r="E279" s="2" t="str">
        <f>IF(A279="","",MAX(0,(C279-MIN(D279,C279))*'Mortgage Inputs'!$B$15))</f>
        <v/>
      </c>
      <c r="F279" s="2" t="str">
        <f>IF(A279="","",IF(AND('Offset Inputs'!$B$5&gt;='Mortgage Inputs'!$B$5,'Mortgage Inputs'!$B$5&gt;0),C279,MIN(C279,MAX(0,'Mortgage Inputs'!$B$17-E279))))</f>
        <v/>
      </c>
      <c r="G279" s="2" t="str">
        <f t="shared" si="12"/>
        <v/>
      </c>
      <c r="H279" s="2" t="str">
        <f>IF(A279="","",IF(AND('Offset Inputs'!$B$5&gt;='Mortgage Inputs'!$B$5,'Mortgage Inputs'!$B$5&gt;0),'Offset Inputs'!$B$5-'Mortgage Inputs'!$B$5,D279+'Offset Inputs'!$B$6))</f>
        <v/>
      </c>
    </row>
    <row r="280" spans="1:8" ht="22" customHeight="1">
      <c r="A280" s="1" t="str">
        <f>IF(AND('Mortgage Inputs'!$B$12,274&lt;=IF('Mortgage Inputs'!$B$12,'Mortgage Inputs'!$B$7,0)*12+600,ISNUMBER(G279),G279&gt;0.005),274,"")</f>
        <v/>
      </c>
      <c r="B280" s="4" t="str">
        <f>IF(A280="","",DATE(YEAR('Mortgage Inputs'!$B$8),MONTH('Mortgage Inputs'!$B$8)+A280,DAY('Mortgage Inputs'!$B$8)))</f>
        <v/>
      </c>
      <c r="C280" s="2" t="str">
        <f t="shared" si="13"/>
        <v/>
      </c>
      <c r="D280" s="2" t="str">
        <f t="shared" si="14"/>
        <v/>
      </c>
      <c r="E280" s="2" t="str">
        <f>IF(A280="","",MAX(0,(C280-MIN(D280,C280))*'Mortgage Inputs'!$B$15))</f>
        <v/>
      </c>
      <c r="F280" s="2" t="str">
        <f>IF(A280="","",IF(AND('Offset Inputs'!$B$5&gt;='Mortgage Inputs'!$B$5,'Mortgage Inputs'!$B$5&gt;0),C280,MIN(C280,MAX(0,'Mortgage Inputs'!$B$17-E280))))</f>
        <v/>
      </c>
      <c r="G280" s="2" t="str">
        <f t="shared" si="12"/>
        <v/>
      </c>
      <c r="H280" s="2" t="str">
        <f>IF(A280="","",IF(AND('Offset Inputs'!$B$5&gt;='Mortgage Inputs'!$B$5,'Mortgage Inputs'!$B$5&gt;0),'Offset Inputs'!$B$5-'Mortgage Inputs'!$B$5,D280+'Offset Inputs'!$B$6))</f>
        <v/>
      </c>
    </row>
    <row r="281" spans="1:8" ht="22" customHeight="1">
      <c r="A281" s="1" t="str">
        <f>IF(AND('Mortgage Inputs'!$B$12,275&lt;=IF('Mortgage Inputs'!$B$12,'Mortgage Inputs'!$B$7,0)*12+600,ISNUMBER(G280),G280&gt;0.005),275,"")</f>
        <v/>
      </c>
      <c r="B281" s="4" t="str">
        <f>IF(A281="","",DATE(YEAR('Mortgage Inputs'!$B$8),MONTH('Mortgage Inputs'!$B$8)+A281,DAY('Mortgage Inputs'!$B$8)))</f>
        <v/>
      </c>
      <c r="C281" s="2" t="str">
        <f t="shared" si="13"/>
        <v/>
      </c>
      <c r="D281" s="2" t="str">
        <f t="shared" si="14"/>
        <v/>
      </c>
      <c r="E281" s="2" t="str">
        <f>IF(A281="","",MAX(0,(C281-MIN(D281,C281))*'Mortgage Inputs'!$B$15))</f>
        <v/>
      </c>
      <c r="F281" s="2" t="str">
        <f>IF(A281="","",IF(AND('Offset Inputs'!$B$5&gt;='Mortgage Inputs'!$B$5,'Mortgage Inputs'!$B$5&gt;0),C281,MIN(C281,MAX(0,'Mortgage Inputs'!$B$17-E281))))</f>
        <v/>
      </c>
      <c r="G281" s="2" t="str">
        <f t="shared" si="12"/>
        <v/>
      </c>
      <c r="H281" s="2" t="str">
        <f>IF(A281="","",IF(AND('Offset Inputs'!$B$5&gt;='Mortgage Inputs'!$B$5,'Mortgage Inputs'!$B$5&gt;0),'Offset Inputs'!$B$5-'Mortgage Inputs'!$B$5,D281+'Offset Inputs'!$B$6))</f>
        <v/>
      </c>
    </row>
    <row r="282" spans="1:8" ht="22" customHeight="1">
      <c r="A282" s="1" t="str">
        <f>IF(AND('Mortgage Inputs'!$B$12,276&lt;=IF('Mortgage Inputs'!$B$12,'Mortgage Inputs'!$B$7,0)*12+600,ISNUMBER(G281),G281&gt;0.005),276,"")</f>
        <v/>
      </c>
      <c r="B282" s="4" t="str">
        <f>IF(A282="","",DATE(YEAR('Mortgage Inputs'!$B$8),MONTH('Mortgage Inputs'!$B$8)+A282,DAY('Mortgage Inputs'!$B$8)))</f>
        <v/>
      </c>
      <c r="C282" s="2" t="str">
        <f t="shared" si="13"/>
        <v/>
      </c>
      <c r="D282" s="2" t="str">
        <f t="shared" si="14"/>
        <v/>
      </c>
      <c r="E282" s="2" t="str">
        <f>IF(A282="","",MAX(0,(C282-MIN(D282,C282))*'Mortgage Inputs'!$B$15))</f>
        <v/>
      </c>
      <c r="F282" s="2" t="str">
        <f>IF(A282="","",IF(AND('Offset Inputs'!$B$5&gt;='Mortgage Inputs'!$B$5,'Mortgage Inputs'!$B$5&gt;0),C282,MIN(C282,MAX(0,'Mortgage Inputs'!$B$17-E282))))</f>
        <v/>
      </c>
      <c r="G282" s="2" t="str">
        <f t="shared" si="12"/>
        <v/>
      </c>
      <c r="H282" s="2" t="str">
        <f>IF(A282="","",IF(AND('Offset Inputs'!$B$5&gt;='Mortgage Inputs'!$B$5,'Mortgage Inputs'!$B$5&gt;0),'Offset Inputs'!$B$5-'Mortgage Inputs'!$B$5,D282+'Offset Inputs'!$B$6))</f>
        <v/>
      </c>
    </row>
    <row r="283" spans="1:8" ht="22" customHeight="1">
      <c r="A283" s="1" t="str">
        <f>IF(AND('Mortgage Inputs'!$B$12,277&lt;=IF('Mortgage Inputs'!$B$12,'Mortgage Inputs'!$B$7,0)*12+600,ISNUMBER(G282),G282&gt;0.005),277,"")</f>
        <v/>
      </c>
      <c r="B283" s="4" t="str">
        <f>IF(A283="","",DATE(YEAR('Mortgage Inputs'!$B$8),MONTH('Mortgage Inputs'!$B$8)+A283,DAY('Mortgage Inputs'!$B$8)))</f>
        <v/>
      </c>
      <c r="C283" s="2" t="str">
        <f t="shared" si="13"/>
        <v/>
      </c>
      <c r="D283" s="2" t="str">
        <f t="shared" si="14"/>
        <v/>
      </c>
      <c r="E283" s="2" t="str">
        <f>IF(A283="","",MAX(0,(C283-MIN(D283,C283))*'Mortgage Inputs'!$B$15))</f>
        <v/>
      </c>
      <c r="F283" s="2" t="str">
        <f>IF(A283="","",IF(AND('Offset Inputs'!$B$5&gt;='Mortgage Inputs'!$B$5,'Mortgage Inputs'!$B$5&gt;0),C283,MIN(C283,MAX(0,'Mortgage Inputs'!$B$17-E283))))</f>
        <v/>
      </c>
      <c r="G283" s="2" t="str">
        <f t="shared" si="12"/>
        <v/>
      </c>
      <c r="H283" s="2" t="str">
        <f>IF(A283="","",IF(AND('Offset Inputs'!$B$5&gt;='Mortgage Inputs'!$B$5,'Mortgage Inputs'!$B$5&gt;0),'Offset Inputs'!$B$5-'Mortgage Inputs'!$B$5,D283+'Offset Inputs'!$B$6))</f>
        <v/>
      </c>
    </row>
    <row r="284" spans="1:8" ht="22" customHeight="1">
      <c r="A284" s="1" t="str">
        <f>IF(AND('Mortgage Inputs'!$B$12,278&lt;=IF('Mortgage Inputs'!$B$12,'Mortgage Inputs'!$B$7,0)*12+600,ISNUMBER(G283),G283&gt;0.005),278,"")</f>
        <v/>
      </c>
      <c r="B284" s="4" t="str">
        <f>IF(A284="","",DATE(YEAR('Mortgage Inputs'!$B$8),MONTH('Mortgage Inputs'!$B$8)+A284,DAY('Mortgage Inputs'!$B$8)))</f>
        <v/>
      </c>
      <c r="C284" s="2" t="str">
        <f t="shared" si="13"/>
        <v/>
      </c>
      <c r="D284" s="2" t="str">
        <f t="shared" si="14"/>
        <v/>
      </c>
      <c r="E284" s="2" t="str">
        <f>IF(A284="","",MAX(0,(C284-MIN(D284,C284))*'Mortgage Inputs'!$B$15))</f>
        <v/>
      </c>
      <c r="F284" s="2" t="str">
        <f>IF(A284="","",IF(AND('Offset Inputs'!$B$5&gt;='Mortgage Inputs'!$B$5,'Mortgage Inputs'!$B$5&gt;0),C284,MIN(C284,MAX(0,'Mortgage Inputs'!$B$17-E284))))</f>
        <v/>
      </c>
      <c r="G284" s="2" t="str">
        <f t="shared" si="12"/>
        <v/>
      </c>
      <c r="H284" s="2" t="str">
        <f>IF(A284="","",IF(AND('Offset Inputs'!$B$5&gt;='Mortgage Inputs'!$B$5,'Mortgage Inputs'!$B$5&gt;0),'Offset Inputs'!$B$5-'Mortgage Inputs'!$B$5,D284+'Offset Inputs'!$B$6))</f>
        <v/>
      </c>
    </row>
    <row r="285" spans="1:8" ht="22" customHeight="1">
      <c r="A285" s="1" t="str">
        <f>IF(AND('Mortgage Inputs'!$B$12,279&lt;=IF('Mortgage Inputs'!$B$12,'Mortgage Inputs'!$B$7,0)*12+600,ISNUMBER(G284),G284&gt;0.005),279,"")</f>
        <v/>
      </c>
      <c r="B285" s="4" t="str">
        <f>IF(A285="","",DATE(YEAR('Mortgage Inputs'!$B$8),MONTH('Mortgage Inputs'!$B$8)+A285,DAY('Mortgage Inputs'!$B$8)))</f>
        <v/>
      </c>
      <c r="C285" s="2" t="str">
        <f t="shared" si="13"/>
        <v/>
      </c>
      <c r="D285" s="2" t="str">
        <f t="shared" si="14"/>
        <v/>
      </c>
      <c r="E285" s="2" t="str">
        <f>IF(A285="","",MAX(0,(C285-MIN(D285,C285))*'Mortgage Inputs'!$B$15))</f>
        <v/>
      </c>
      <c r="F285" s="2" t="str">
        <f>IF(A285="","",IF(AND('Offset Inputs'!$B$5&gt;='Mortgage Inputs'!$B$5,'Mortgage Inputs'!$B$5&gt;0),C285,MIN(C285,MAX(0,'Mortgage Inputs'!$B$17-E285))))</f>
        <v/>
      </c>
      <c r="G285" s="2" t="str">
        <f t="shared" si="12"/>
        <v/>
      </c>
      <c r="H285" s="2" t="str">
        <f>IF(A285="","",IF(AND('Offset Inputs'!$B$5&gt;='Mortgage Inputs'!$B$5,'Mortgage Inputs'!$B$5&gt;0),'Offset Inputs'!$B$5-'Mortgage Inputs'!$B$5,D285+'Offset Inputs'!$B$6))</f>
        <v/>
      </c>
    </row>
    <row r="286" spans="1:8" ht="22" customHeight="1">
      <c r="A286" s="1" t="str">
        <f>IF(AND('Mortgage Inputs'!$B$12,280&lt;=IF('Mortgage Inputs'!$B$12,'Mortgage Inputs'!$B$7,0)*12+600,ISNUMBER(G285),G285&gt;0.005),280,"")</f>
        <v/>
      </c>
      <c r="B286" s="4" t="str">
        <f>IF(A286="","",DATE(YEAR('Mortgage Inputs'!$B$8),MONTH('Mortgage Inputs'!$B$8)+A286,DAY('Mortgage Inputs'!$B$8)))</f>
        <v/>
      </c>
      <c r="C286" s="2" t="str">
        <f t="shared" si="13"/>
        <v/>
      </c>
      <c r="D286" s="2" t="str">
        <f t="shared" si="14"/>
        <v/>
      </c>
      <c r="E286" s="2" t="str">
        <f>IF(A286="","",MAX(0,(C286-MIN(D286,C286))*'Mortgage Inputs'!$B$15))</f>
        <v/>
      </c>
      <c r="F286" s="2" t="str">
        <f>IF(A286="","",IF(AND('Offset Inputs'!$B$5&gt;='Mortgage Inputs'!$B$5,'Mortgage Inputs'!$B$5&gt;0),C286,MIN(C286,MAX(0,'Mortgage Inputs'!$B$17-E286))))</f>
        <v/>
      </c>
      <c r="G286" s="2" t="str">
        <f t="shared" si="12"/>
        <v/>
      </c>
      <c r="H286" s="2" t="str">
        <f>IF(A286="","",IF(AND('Offset Inputs'!$B$5&gt;='Mortgage Inputs'!$B$5,'Mortgage Inputs'!$B$5&gt;0),'Offset Inputs'!$B$5-'Mortgage Inputs'!$B$5,D286+'Offset Inputs'!$B$6))</f>
        <v/>
      </c>
    </row>
    <row r="287" spans="1:8" ht="22" customHeight="1">
      <c r="A287" s="1" t="str">
        <f>IF(AND('Mortgage Inputs'!$B$12,281&lt;=IF('Mortgage Inputs'!$B$12,'Mortgage Inputs'!$B$7,0)*12+600,ISNUMBER(G286),G286&gt;0.005),281,"")</f>
        <v/>
      </c>
      <c r="B287" s="4" t="str">
        <f>IF(A287="","",DATE(YEAR('Mortgage Inputs'!$B$8),MONTH('Mortgage Inputs'!$B$8)+A287,DAY('Mortgage Inputs'!$B$8)))</f>
        <v/>
      </c>
      <c r="C287" s="2" t="str">
        <f t="shared" si="13"/>
        <v/>
      </c>
      <c r="D287" s="2" t="str">
        <f t="shared" si="14"/>
        <v/>
      </c>
      <c r="E287" s="2" t="str">
        <f>IF(A287="","",MAX(0,(C287-MIN(D287,C287))*'Mortgage Inputs'!$B$15))</f>
        <v/>
      </c>
      <c r="F287" s="2" t="str">
        <f>IF(A287="","",IF(AND('Offset Inputs'!$B$5&gt;='Mortgage Inputs'!$B$5,'Mortgage Inputs'!$B$5&gt;0),C287,MIN(C287,MAX(0,'Mortgage Inputs'!$B$17-E287))))</f>
        <v/>
      </c>
      <c r="G287" s="2" t="str">
        <f t="shared" si="12"/>
        <v/>
      </c>
      <c r="H287" s="2" t="str">
        <f>IF(A287="","",IF(AND('Offset Inputs'!$B$5&gt;='Mortgage Inputs'!$B$5,'Mortgage Inputs'!$B$5&gt;0),'Offset Inputs'!$B$5-'Mortgage Inputs'!$B$5,D287+'Offset Inputs'!$B$6))</f>
        <v/>
      </c>
    </row>
    <row r="288" spans="1:8" ht="22" customHeight="1">
      <c r="A288" s="1" t="str">
        <f>IF(AND('Mortgage Inputs'!$B$12,282&lt;=IF('Mortgage Inputs'!$B$12,'Mortgage Inputs'!$B$7,0)*12+600,ISNUMBER(G287),G287&gt;0.005),282,"")</f>
        <v/>
      </c>
      <c r="B288" s="4" t="str">
        <f>IF(A288="","",DATE(YEAR('Mortgage Inputs'!$B$8),MONTH('Mortgage Inputs'!$B$8)+A288,DAY('Mortgage Inputs'!$B$8)))</f>
        <v/>
      </c>
      <c r="C288" s="2" t="str">
        <f t="shared" si="13"/>
        <v/>
      </c>
      <c r="D288" s="2" t="str">
        <f t="shared" si="14"/>
        <v/>
      </c>
      <c r="E288" s="2" t="str">
        <f>IF(A288="","",MAX(0,(C288-MIN(D288,C288))*'Mortgage Inputs'!$B$15))</f>
        <v/>
      </c>
      <c r="F288" s="2" t="str">
        <f>IF(A288="","",IF(AND('Offset Inputs'!$B$5&gt;='Mortgage Inputs'!$B$5,'Mortgage Inputs'!$B$5&gt;0),C288,MIN(C288,MAX(0,'Mortgage Inputs'!$B$17-E288))))</f>
        <v/>
      </c>
      <c r="G288" s="2" t="str">
        <f t="shared" si="12"/>
        <v/>
      </c>
      <c r="H288" s="2" t="str">
        <f>IF(A288="","",IF(AND('Offset Inputs'!$B$5&gt;='Mortgage Inputs'!$B$5,'Mortgage Inputs'!$B$5&gt;0),'Offset Inputs'!$B$5-'Mortgage Inputs'!$B$5,D288+'Offset Inputs'!$B$6))</f>
        <v/>
      </c>
    </row>
    <row r="289" spans="1:8" ht="22" customHeight="1">
      <c r="A289" s="1" t="str">
        <f>IF(AND('Mortgage Inputs'!$B$12,283&lt;=IF('Mortgage Inputs'!$B$12,'Mortgage Inputs'!$B$7,0)*12+600,ISNUMBER(G288),G288&gt;0.005),283,"")</f>
        <v/>
      </c>
      <c r="B289" s="4" t="str">
        <f>IF(A289="","",DATE(YEAR('Mortgage Inputs'!$B$8),MONTH('Mortgage Inputs'!$B$8)+A289,DAY('Mortgage Inputs'!$B$8)))</f>
        <v/>
      </c>
      <c r="C289" s="2" t="str">
        <f t="shared" si="13"/>
        <v/>
      </c>
      <c r="D289" s="2" t="str">
        <f t="shared" si="14"/>
        <v/>
      </c>
      <c r="E289" s="2" t="str">
        <f>IF(A289="","",MAX(0,(C289-MIN(D289,C289))*'Mortgage Inputs'!$B$15))</f>
        <v/>
      </c>
      <c r="F289" s="2" t="str">
        <f>IF(A289="","",IF(AND('Offset Inputs'!$B$5&gt;='Mortgage Inputs'!$B$5,'Mortgage Inputs'!$B$5&gt;0),C289,MIN(C289,MAX(0,'Mortgage Inputs'!$B$17-E289))))</f>
        <v/>
      </c>
      <c r="G289" s="2" t="str">
        <f t="shared" si="12"/>
        <v/>
      </c>
      <c r="H289" s="2" t="str">
        <f>IF(A289="","",IF(AND('Offset Inputs'!$B$5&gt;='Mortgage Inputs'!$B$5,'Mortgage Inputs'!$B$5&gt;0),'Offset Inputs'!$B$5-'Mortgage Inputs'!$B$5,D289+'Offset Inputs'!$B$6))</f>
        <v/>
      </c>
    </row>
    <row r="290" spans="1:8" ht="22" customHeight="1">
      <c r="A290" s="1" t="str">
        <f>IF(AND('Mortgage Inputs'!$B$12,284&lt;=IF('Mortgage Inputs'!$B$12,'Mortgage Inputs'!$B$7,0)*12+600,ISNUMBER(G289),G289&gt;0.005),284,"")</f>
        <v/>
      </c>
      <c r="B290" s="4" t="str">
        <f>IF(A290="","",DATE(YEAR('Mortgage Inputs'!$B$8),MONTH('Mortgage Inputs'!$B$8)+A290,DAY('Mortgage Inputs'!$B$8)))</f>
        <v/>
      </c>
      <c r="C290" s="2" t="str">
        <f t="shared" si="13"/>
        <v/>
      </c>
      <c r="D290" s="2" t="str">
        <f t="shared" si="14"/>
        <v/>
      </c>
      <c r="E290" s="2" t="str">
        <f>IF(A290="","",MAX(0,(C290-MIN(D290,C290))*'Mortgage Inputs'!$B$15))</f>
        <v/>
      </c>
      <c r="F290" s="2" t="str">
        <f>IF(A290="","",IF(AND('Offset Inputs'!$B$5&gt;='Mortgage Inputs'!$B$5,'Mortgage Inputs'!$B$5&gt;0),C290,MIN(C290,MAX(0,'Mortgage Inputs'!$B$17-E290))))</f>
        <v/>
      </c>
      <c r="G290" s="2" t="str">
        <f t="shared" si="12"/>
        <v/>
      </c>
      <c r="H290" s="2" t="str">
        <f>IF(A290="","",IF(AND('Offset Inputs'!$B$5&gt;='Mortgage Inputs'!$B$5,'Mortgage Inputs'!$B$5&gt;0),'Offset Inputs'!$B$5-'Mortgage Inputs'!$B$5,D290+'Offset Inputs'!$B$6))</f>
        <v/>
      </c>
    </row>
    <row r="291" spans="1:8" ht="22" customHeight="1">
      <c r="A291" s="1" t="str">
        <f>IF(AND('Mortgage Inputs'!$B$12,285&lt;=IF('Mortgage Inputs'!$B$12,'Mortgage Inputs'!$B$7,0)*12+600,ISNUMBER(G290),G290&gt;0.005),285,"")</f>
        <v/>
      </c>
      <c r="B291" s="4" t="str">
        <f>IF(A291="","",DATE(YEAR('Mortgage Inputs'!$B$8),MONTH('Mortgage Inputs'!$B$8)+A291,DAY('Mortgage Inputs'!$B$8)))</f>
        <v/>
      </c>
      <c r="C291" s="2" t="str">
        <f t="shared" si="13"/>
        <v/>
      </c>
      <c r="D291" s="2" t="str">
        <f t="shared" si="14"/>
        <v/>
      </c>
      <c r="E291" s="2" t="str">
        <f>IF(A291="","",MAX(0,(C291-MIN(D291,C291))*'Mortgage Inputs'!$B$15))</f>
        <v/>
      </c>
      <c r="F291" s="2" t="str">
        <f>IF(A291="","",IF(AND('Offset Inputs'!$B$5&gt;='Mortgage Inputs'!$B$5,'Mortgage Inputs'!$B$5&gt;0),C291,MIN(C291,MAX(0,'Mortgage Inputs'!$B$17-E291))))</f>
        <v/>
      </c>
      <c r="G291" s="2" t="str">
        <f t="shared" si="12"/>
        <v/>
      </c>
      <c r="H291" s="2" t="str">
        <f>IF(A291="","",IF(AND('Offset Inputs'!$B$5&gt;='Mortgage Inputs'!$B$5,'Mortgage Inputs'!$B$5&gt;0),'Offset Inputs'!$B$5-'Mortgage Inputs'!$B$5,D291+'Offset Inputs'!$B$6))</f>
        <v/>
      </c>
    </row>
    <row r="292" spans="1:8" ht="22" customHeight="1">
      <c r="A292" s="1" t="str">
        <f>IF(AND('Mortgage Inputs'!$B$12,286&lt;=IF('Mortgage Inputs'!$B$12,'Mortgage Inputs'!$B$7,0)*12+600,ISNUMBER(G291),G291&gt;0.005),286,"")</f>
        <v/>
      </c>
      <c r="B292" s="4" t="str">
        <f>IF(A292="","",DATE(YEAR('Mortgage Inputs'!$B$8),MONTH('Mortgage Inputs'!$B$8)+A292,DAY('Mortgage Inputs'!$B$8)))</f>
        <v/>
      </c>
      <c r="C292" s="2" t="str">
        <f t="shared" si="13"/>
        <v/>
      </c>
      <c r="D292" s="2" t="str">
        <f t="shared" si="14"/>
        <v/>
      </c>
      <c r="E292" s="2" t="str">
        <f>IF(A292="","",MAX(0,(C292-MIN(D292,C292))*'Mortgage Inputs'!$B$15))</f>
        <v/>
      </c>
      <c r="F292" s="2" t="str">
        <f>IF(A292="","",IF(AND('Offset Inputs'!$B$5&gt;='Mortgage Inputs'!$B$5,'Mortgage Inputs'!$B$5&gt;0),C292,MIN(C292,MAX(0,'Mortgage Inputs'!$B$17-E292))))</f>
        <v/>
      </c>
      <c r="G292" s="2" t="str">
        <f t="shared" si="12"/>
        <v/>
      </c>
      <c r="H292" s="2" t="str">
        <f>IF(A292="","",IF(AND('Offset Inputs'!$B$5&gt;='Mortgage Inputs'!$B$5,'Mortgage Inputs'!$B$5&gt;0),'Offset Inputs'!$B$5-'Mortgage Inputs'!$B$5,D292+'Offset Inputs'!$B$6))</f>
        <v/>
      </c>
    </row>
    <row r="293" spans="1:8" ht="22" customHeight="1">
      <c r="A293" s="1" t="str">
        <f>IF(AND('Mortgage Inputs'!$B$12,287&lt;=IF('Mortgage Inputs'!$B$12,'Mortgage Inputs'!$B$7,0)*12+600,ISNUMBER(G292),G292&gt;0.005),287,"")</f>
        <v/>
      </c>
      <c r="B293" s="4" t="str">
        <f>IF(A293="","",DATE(YEAR('Mortgage Inputs'!$B$8),MONTH('Mortgage Inputs'!$B$8)+A293,DAY('Mortgage Inputs'!$B$8)))</f>
        <v/>
      </c>
      <c r="C293" s="2" t="str">
        <f t="shared" si="13"/>
        <v/>
      </c>
      <c r="D293" s="2" t="str">
        <f t="shared" si="14"/>
        <v/>
      </c>
      <c r="E293" s="2" t="str">
        <f>IF(A293="","",MAX(0,(C293-MIN(D293,C293))*'Mortgage Inputs'!$B$15))</f>
        <v/>
      </c>
      <c r="F293" s="2" t="str">
        <f>IF(A293="","",IF(AND('Offset Inputs'!$B$5&gt;='Mortgage Inputs'!$B$5,'Mortgage Inputs'!$B$5&gt;0),C293,MIN(C293,MAX(0,'Mortgage Inputs'!$B$17-E293))))</f>
        <v/>
      </c>
      <c r="G293" s="2" t="str">
        <f t="shared" si="12"/>
        <v/>
      </c>
      <c r="H293" s="2" t="str">
        <f>IF(A293="","",IF(AND('Offset Inputs'!$B$5&gt;='Mortgage Inputs'!$B$5,'Mortgage Inputs'!$B$5&gt;0),'Offset Inputs'!$B$5-'Mortgage Inputs'!$B$5,D293+'Offset Inputs'!$B$6))</f>
        <v/>
      </c>
    </row>
    <row r="294" spans="1:8" ht="22" customHeight="1">
      <c r="A294" s="1" t="str">
        <f>IF(AND('Mortgage Inputs'!$B$12,288&lt;=IF('Mortgage Inputs'!$B$12,'Mortgage Inputs'!$B$7,0)*12+600,ISNUMBER(G293),G293&gt;0.005),288,"")</f>
        <v/>
      </c>
      <c r="B294" s="4" t="str">
        <f>IF(A294="","",DATE(YEAR('Mortgage Inputs'!$B$8),MONTH('Mortgage Inputs'!$B$8)+A294,DAY('Mortgage Inputs'!$B$8)))</f>
        <v/>
      </c>
      <c r="C294" s="2" t="str">
        <f t="shared" si="13"/>
        <v/>
      </c>
      <c r="D294" s="2" t="str">
        <f t="shared" si="14"/>
        <v/>
      </c>
      <c r="E294" s="2" t="str">
        <f>IF(A294="","",MAX(0,(C294-MIN(D294,C294))*'Mortgage Inputs'!$B$15))</f>
        <v/>
      </c>
      <c r="F294" s="2" t="str">
        <f>IF(A294="","",IF(AND('Offset Inputs'!$B$5&gt;='Mortgage Inputs'!$B$5,'Mortgage Inputs'!$B$5&gt;0),C294,MIN(C294,MAX(0,'Mortgage Inputs'!$B$17-E294))))</f>
        <v/>
      </c>
      <c r="G294" s="2" t="str">
        <f t="shared" si="12"/>
        <v/>
      </c>
      <c r="H294" s="2" t="str">
        <f>IF(A294="","",IF(AND('Offset Inputs'!$B$5&gt;='Mortgage Inputs'!$B$5,'Mortgage Inputs'!$B$5&gt;0),'Offset Inputs'!$B$5-'Mortgage Inputs'!$B$5,D294+'Offset Inputs'!$B$6))</f>
        <v/>
      </c>
    </row>
    <row r="295" spans="1:8" ht="22" customHeight="1">
      <c r="A295" s="1" t="str">
        <f>IF(AND('Mortgage Inputs'!$B$12,289&lt;=IF('Mortgage Inputs'!$B$12,'Mortgage Inputs'!$B$7,0)*12+600,ISNUMBER(G294),G294&gt;0.005),289,"")</f>
        <v/>
      </c>
      <c r="B295" s="4" t="str">
        <f>IF(A295="","",DATE(YEAR('Mortgage Inputs'!$B$8),MONTH('Mortgage Inputs'!$B$8)+A295,DAY('Mortgage Inputs'!$B$8)))</f>
        <v/>
      </c>
      <c r="C295" s="2" t="str">
        <f t="shared" si="13"/>
        <v/>
      </c>
      <c r="D295" s="2" t="str">
        <f t="shared" si="14"/>
        <v/>
      </c>
      <c r="E295" s="2" t="str">
        <f>IF(A295="","",MAX(0,(C295-MIN(D295,C295))*'Mortgage Inputs'!$B$15))</f>
        <v/>
      </c>
      <c r="F295" s="2" t="str">
        <f>IF(A295="","",IF(AND('Offset Inputs'!$B$5&gt;='Mortgage Inputs'!$B$5,'Mortgage Inputs'!$B$5&gt;0),C295,MIN(C295,MAX(0,'Mortgage Inputs'!$B$17-E295))))</f>
        <v/>
      </c>
      <c r="G295" s="2" t="str">
        <f t="shared" si="12"/>
        <v/>
      </c>
      <c r="H295" s="2" t="str">
        <f>IF(A295="","",IF(AND('Offset Inputs'!$B$5&gt;='Mortgage Inputs'!$B$5,'Mortgage Inputs'!$B$5&gt;0),'Offset Inputs'!$B$5-'Mortgage Inputs'!$B$5,D295+'Offset Inputs'!$B$6))</f>
        <v/>
      </c>
    </row>
    <row r="296" spans="1:8" ht="22" customHeight="1">
      <c r="A296" s="1" t="str">
        <f>IF(AND('Mortgage Inputs'!$B$12,290&lt;=IF('Mortgage Inputs'!$B$12,'Mortgage Inputs'!$B$7,0)*12+600,ISNUMBER(G295),G295&gt;0.005),290,"")</f>
        <v/>
      </c>
      <c r="B296" s="4" t="str">
        <f>IF(A296="","",DATE(YEAR('Mortgage Inputs'!$B$8),MONTH('Mortgage Inputs'!$B$8)+A296,DAY('Mortgage Inputs'!$B$8)))</f>
        <v/>
      </c>
      <c r="C296" s="2" t="str">
        <f t="shared" si="13"/>
        <v/>
      </c>
      <c r="D296" s="2" t="str">
        <f t="shared" si="14"/>
        <v/>
      </c>
      <c r="E296" s="2" t="str">
        <f>IF(A296="","",MAX(0,(C296-MIN(D296,C296))*'Mortgage Inputs'!$B$15))</f>
        <v/>
      </c>
      <c r="F296" s="2" t="str">
        <f>IF(A296="","",IF(AND('Offset Inputs'!$B$5&gt;='Mortgage Inputs'!$B$5,'Mortgage Inputs'!$B$5&gt;0),C296,MIN(C296,MAX(0,'Mortgage Inputs'!$B$17-E296))))</f>
        <v/>
      </c>
      <c r="G296" s="2" t="str">
        <f t="shared" si="12"/>
        <v/>
      </c>
      <c r="H296" s="2" t="str">
        <f>IF(A296="","",IF(AND('Offset Inputs'!$B$5&gt;='Mortgage Inputs'!$B$5,'Mortgage Inputs'!$B$5&gt;0),'Offset Inputs'!$B$5-'Mortgage Inputs'!$B$5,D296+'Offset Inputs'!$B$6))</f>
        <v/>
      </c>
    </row>
    <row r="297" spans="1:8" ht="22" customHeight="1">
      <c r="A297" s="1" t="str">
        <f>IF(AND('Mortgage Inputs'!$B$12,291&lt;=IF('Mortgage Inputs'!$B$12,'Mortgage Inputs'!$B$7,0)*12+600,ISNUMBER(G296),G296&gt;0.005),291,"")</f>
        <v/>
      </c>
      <c r="B297" s="4" t="str">
        <f>IF(A297="","",DATE(YEAR('Mortgage Inputs'!$B$8),MONTH('Mortgage Inputs'!$B$8)+A297,DAY('Mortgage Inputs'!$B$8)))</f>
        <v/>
      </c>
      <c r="C297" s="2" t="str">
        <f t="shared" si="13"/>
        <v/>
      </c>
      <c r="D297" s="2" t="str">
        <f t="shared" si="14"/>
        <v/>
      </c>
      <c r="E297" s="2" t="str">
        <f>IF(A297="","",MAX(0,(C297-MIN(D297,C297))*'Mortgage Inputs'!$B$15))</f>
        <v/>
      </c>
      <c r="F297" s="2" t="str">
        <f>IF(A297="","",IF(AND('Offset Inputs'!$B$5&gt;='Mortgage Inputs'!$B$5,'Mortgage Inputs'!$B$5&gt;0),C297,MIN(C297,MAX(0,'Mortgage Inputs'!$B$17-E297))))</f>
        <v/>
      </c>
      <c r="G297" s="2" t="str">
        <f t="shared" si="12"/>
        <v/>
      </c>
      <c r="H297" s="2" t="str">
        <f>IF(A297="","",IF(AND('Offset Inputs'!$B$5&gt;='Mortgage Inputs'!$B$5,'Mortgage Inputs'!$B$5&gt;0),'Offset Inputs'!$B$5-'Mortgage Inputs'!$B$5,D297+'Offset Inputs'!$B$6))</f>
        <v/>
      </c>
    </row>
    <row r="298" spans="1:8" ht="22" customHeight="1">
      <c r="A298" s="1" t="str">
        <f>IF(AND('Mortgage Inputs'!$B$12,292&lt;=IF('Mortgage Inputs'!$B$12,'Mortgage Inputs'!$B$7,0)*12+600,ISNUMBER(G297),G297&gt;0.005),292,"")</f>
        <v/>
      </c>
      <c r="B298" s="4" t="str">
        <f>IF(A298="","",DATE(YEAR('Mortgage Inputs'!$B$8),MONTH('Mortgage Inputs'!$B$8)+A298,DAY('Mortgage Inputs'!$B$8)))</f>
        <v/>
      </c>
      <c r="C298" s="2" t="str">
        <f t="shared" si="13"/>
        <v/>
      </c>
      <c r="D298" s="2" t="str">
        <f t="shared" si="14"/>
        <v/>
      </c>
      <c r="E298" s="2" t="str">
        <f>IF(A298="","",MAX(0,(C298-MIN(D298,C298))*'Mortgage Inputs'!$B$15))</f>
        <v/>
      </c>
      <c r="F298" s="2" t="str">
        <f>IF(A298="","",IF(AND('Offset Inputs'!$B$5&gt;='Mortgage Inputs'!$B$5,'Mortgage Inputs'!$B$5&gt;0),C298,MIN(C298,MAX(0,'Mortgage Inputs'!$B$17-E298))))</f>
        <v/>
      </c>
      <c r="G298" s="2" t="str">
        <f t="shared" si="12"/>
        <v/>
      </c>
      <c r="H298" s="2" t="str">
        <f>IF(A298="","",IF(AND('Offset Inputs'!$B$5&gt;='Mortgage Inputs'!$B$5,'Mortgage Inputs'!$B$5&gt;0),'Offset Inputs'!$B$5-'Mortgage Inputs'!$B$5,D298+'Offset Inputs'!$B$6))</f>
        <v/>
      </c>
    </row>
    <row r="299" spans="1:8" ht="22" customHeight="1">
      <c r="A299" s="1" t="str">
        <f>IF(AND('Mortgage Inputs'!$B$12,293&lt;=IF('Mortgage Inputs'!$B$12,'Mortgage Inputs'!$B$7,0)*12+600,ISNUMBER(G298),G298&gt;0.005),293,"")</f>
        <v/>
      </c>
      <c r="B299" s="4" t="str">
        <f>IF(A299="","",DATE(YEAR('Mortgage Inputs'!$B$8),MONTH('Mortgage Inputs'!$B$8)+A299,DAY('Mortgage Inputs'!$B$8)))</f>
        <v/>
      </c>
      <c r="C299" s="2" t="str">
        <f t="shared" si="13"/>
        <v/>
      </c>
      <c r="D299" s="2" t="str">
        <f t="shared" si="14"/>
        <v/>
      </c>
      <c r="E299" s="2" t="str">
        <f>IF(A299="","",MAX(0,(C299-MIN(D299,C299))*'Mortgage Inputs'!$B$15))</f>
        <v/>
      </c>
      <c r="F299" s="2" t="str">
        <f>IF(A299="","",IF(AND('Offset Inputs'!$B$5&gt;='Mortgage Inputs'!$B$5,'Mortgage Inputs'!$B$5&gt;0),C299,MIN(C299,MAX(0,'Mortgage Inputs'!$B$17-E299))))</f>
        <v/>
      </c>
      <c r="G299" s="2" t="str">
        <f t="shared" si="12"/>
        <v/>
      </c>
      <c r="H299" s="2" t="str">
        <f>IF(A299="","",IF(AND('Offset Inputs'!$B$5&gt;='Mortgage Inputs'!$B$5,'Mortgage Inputs'!$B$5&gt;0),'Offset Inputs'!$B$5-'Mortgage Inputs'!$B$5,D299+'Offset Inputs'!$B$6))</f>
        <v/>
      </c>
    </row>
    <row r="300" spans="1:8" ht="22" customHeight="1">
      <c r="A300" s="1" t="str">
        <f>IF(AND('Mortgage Inputs'!$B$12,294&lt;=IF('Mortgage Inputs'!$B$12,'Mortgage Inputs'!$B$7,0)*12+600,ISNUMBER(G299),G299&gt;0.005),294,"")</f>
        <v/>
      </c>
      <c r="B300" s="4" t="str">
        <f>IF(A300="","",DATE(YEAR('Mortgage Inputs'!$B$8),MONTH('Mortgage Inputs'!$B$8)+A300,DAY('Mortgage Inputs'!$B$8)))</f>
        <v/>
      </c>
      <c r="C300" s="2" t="str">
        <f t="shared" si="13"/>
        <v/>
      </c>
      <c r="D300" s="2" t="str">
        <f t="shared" si="14"/>
        <v/>
      </c>
      <c r="E300" s="2" t="str">
        <f>IF(A300="","",MAX(0,(C300-MIN(D300,C300))*'Mortgage Inputs'!$B$15))</f>
        <v/>
      </c>
      <c r="F300" s="2" t="str">
        <f>IF(A300="","",IF(AND('Offset Inputs'!$B$5&gt;='Mortgage Inputs'!$B$5,'Mortgage Inputs'!$B$5&gt;0),C300,MIN(C300,MAX(0,'Mortgage Inputs'!$B$17-E300))))</f>
        <v/>
      </c>
      <c r="G300" s="2" t="str">
        <f t="shared" si="12"/>
        <v/>
      </c>
      <c r="H300" s="2" t="str">
        <f>IF(A300="","",IF(AND('Offset Inputs'!$B$5&gt;='Mortgage Inputs'!$B$5,'Mortgage Inputs'!$B$5&gt;0),'Offset Inputs'!$B$5-'Mortgage Inputs'!$B$5,D300+'Offset Inputs'!$B$6))</f>
        <v/>
      </c>
    </row>
    <row r="301" spans="1:8" ht="22" customHeight="1">
      <c r="A301" s="1" t="str">
        <f>IF(AND('Mortgage Inputs'!$B$12,295&lt;=IF('Mortgage Inputs'!$B$12,'Mortgage Inputs'!$B$7,0)*12+600,ISNUMBER(G300),G300&gt;0.005),295,"")</f>
        <v/>
      </c>
      <c r="B301" s="4" t="str">
        <f>IF(A301="","",DATE(YEAR('Mortgage Inputs'!$B$8),MONTH('Mortgage Inputs'!$B$8)+A301,DAY('Mortgage Inputs'!$B$8)))</f>
        <v/>
      </c>
      <c r="C301" s="2" t="str">
        <f t="shared" si="13"/>
        <v/>
      </c>
      <c r="D301" s="2" t="str">
        <f t="shared" si="14"/>
        <v/>
      </c>
      <c r="E301" s="2" t="str">
        <f>IF(A301="","",MAX(0,(C301-MIN(D301,C301))*'Mortgage Inputs'!$B$15))</f>
        <v/>
      </c>
      <c r="F301" s="2" t="str">
        <f>IF(A301="","",IF(AND('Offset Inputs'!$B$5&gt;='Mortgage Inputs'!$B$5,'Mortgage Inputs'!$B$5&gt;0),C301,MIN(C301,MAX(0,'Mortgage Inputs'!$B$17-E301))))</f>
        <v/>
      </c>
      <c r="G301" s="2" t="str">
        <f t="shared" si="12"/>
        <v/>
      </c>
      <c r="H301" s="2" t="str">
        <f>IF(A301="","",IF(AND('Offset Inputs'!$B$5&gt;='Mortgage Inputs'!$B$5,'Mortgage Inputs'!$B$5&gt;0),'Offset Inputs'!$B$5-'Mortgage Inputs'!$B$5,D301+'Offset Inputs'!$B$6))</f>
        <v/>
      </c>
    </row>
    <row r="302" spans="1:8" ht="22" customHeight="1">
      <c r="A302" s="1" t="str">
        <f>IF(AND('Mortgage Inputs'!$B$12,296&lt;=IF('Mortgage Inputs'!$B$12,'Mortgage Inputs'!$B$7,0)*12+600,ISNUMBER(G301),G301&gt;0.005),296,"")</f>
        <v/>
      </c>
      <c r="B302" s="4" t="str">
        <f>IF(A302="","",DATE(YEAR('Mortgage Inputs'!$B$8),MONTH('Mortgage Inputs'!$B$8)+A302,DAY('Mortgage Inputs'!$B$8)))</f>
        <v/>
      </c>
      <c r="C302" s="2" t="str">
        <f t="shared" si="13"/>
        <v/>
      </c>
      <c r="D302" s="2" t="str">
        <f t="shared" si="14"/>
        <v/>
      </c>
      <c r="E302" s="2" t="str">
        <f>IF(A302="","",MAX(0,(C302-MIN(D302,C302))*'Mortgage Inputs'!$B$15))</f>
        <v/>
      </c>
      <c r="F302" s="2" t="str">
        <f>IF(A302="","",IF(AND('Offset Inputs'!$B$5&gt;='Mortgage Inputs'!$B$5,'Mortgage Inputs'!$B$5&gt;0),C302,MIN(C302,MAX(0,'Mortgage Inputs'!$B$17-E302))))</f>
        <v/>
      </c>
      <c r="G302" s="2" t="str">
        <f t="shared" si="12"/>
        <v/>
      </c>
      <c r="H302" s="2" t="str">
        <f>IF(A302="","",IF(AND('Offset Inputs'!$B$5&gt;='Mortgage Inputs'!$B$5,'Mortgage Inputs'!$B$5&gt;0),'Offset Inputs'!$B$5-'Mortgage Inputs'!$B$5,D302+'Offset Inputs'!$B$6))</f>
        <v/>
      </c>
    </row>
    <row r="303" spans="1:8" ht="22" customHeight="1">
      <c r="A303" s="1" t="str">
        <f>IF(AND('Mortgage Inputs'!$B$12,297&lt;=IF('Mortgage Inputs'!$B$12,'Mortgage Inputs'!$B$7,0)*12+600,ISNUMBER(G302),G302&gt;0.005),297,"")</f>
        <v/>
      </c>
      <c r="B303" s="4" t="str">
        <f>IF(A303="","",DATE(YEAR('Mortgage Inputs'!$B$8),MONTH('Mortgage Inputs'!$B$8)+A303,DAY('Mortgage Inputs'!$B$8)))</f>
        <v/>
      </c>
      <c r="C303" s="2" t="str">
        <f t="shared" si="13"/>
        <v/>
      </c>
      <c r="D303" s="2" t="str">
        <f t="shared" si="14"/>
        <v/>
      </c>
      <c r="E303" s="2" t="str">
        <f>IF(A303="","",MAX(0,(C303-MIN(D303,C303))*'Mortgage Inputs'!$B$15))</f>
        <v/>
      </c>
      <c r="F303" s="2" t="str">
        <f>IF(A303="","",IF(AND('Offset Inputs'!$B$5&gt;='Mortgage Inputs'!$B$5,'Mortgage Inputs'!$B$5&gt;0),C303,MIN(C303,MAX(0,'Mortgage Inputs'!$B$17-E303))))</f>
        <v/>
      </c>
      <c r="G303" s="2" t="str">
        <f t="shared" si="12"/>
        <v/>
      </c>
      <c r="H303" s="2" t="str">
        <f>IF(A303="","",IF(AND('Offset Inputs'!$B$5&gt;='Mortgage Inputs'!$B$5,'Mortgage Inputs'!$B$5&gt;0),'Offset Inputs'!$B$5-'Mortgage Inputs'!$B$5,D303+'Offset Inputs'!$B$6))</f>
        <v/>
      </c>
    </row>
    <row r="304" spans="1:8" ht="22" customHeight="1">
      <c r="A304" s="1" t="str">
        <f>IF(AND('Mortgage Inputs'!$B$12,298&lt;=IF('Mortgage Inputs'!$B$12,'Mortgage Inputs'!$B$7,0)*12+600,ISNUMBER(G303),G303&gt;0.005),298,"")</f>
        <v/>
      </c>
      <c r="B304" s="4" t="str">
        <f>IF(A304="","",DATE(YEAR('Mortgage Inputs'!$B$8),MONTH('Mortgage Inputs'!$B$8)+A304,DAY('Mortgage Inputs'!$B$8)))</f>
        <v/>
      </c>
      <c r="C304" s="2" t="str">
        <f t="shared" si="13"/>
        <v/>
      </c>
      <c r="D304" s="2" t="str">
        <f t="shared" si="14"/>
        <v/>
      </c>
      <c r="E304" s="2" t="str">
        <f>IF(A304="","",MAX(0,(C304-MIN(D304,C304))*'Mortgage Inputs'!$B$15))</f>
        <v/>
      </c>
      <c r="F304" s="2" t="str">
        <f>IF(A304="","",IF(AND('Offset Inputs'!$B$5&gt;='Mortgage Inputs'!$B$5,'Mortgage Inputs'!$B$5&gt;0),C304,MIN(C304,MAX(0,'Mortgage Inputs'!$B$17-E304))))</f>
        <v/>
      </c>
      <c r="G304" s="2" t="str">
        <f t="shared" si="12"/>
        <v/>
      </c>
      <c r="H304" s="2" t="str">
        <f>IF(A304="","",IF(AND('Offset Inputs'!$B$5&gt;='Mortgage Inputs'!$B$5,'Mortgage Inputs'!$B$5&gt;0),'Offset Inputs'!$B$5-'Mortgage Inputs'!$B$5,D304+'Offset Inputs'!$B$6))</f>
        <v/>
      </c>
    </row>
    <row r="305" spans="1:8" ht="22" customHeight="1">
      <c r="A305" s="1" t="str">
        <f>IF(AND('Mortgage Inputs'!$B$12,299&lt;=IF('Mortgage Inputs'!$B$12,'Mortgage Inputs'!$B$7,0)*12+600,ISNUMBER(G304),G304&gt;0.005),299,"")</f>
        <v/>
      </c>
      <c r="B305" s="4" t="str">
        <f>IF(A305="","",DATE(YEAR('Mortgage Inputs'!$B$8),MONTH('Mortgage Inputs'!$B$8)+A305,DAY('Mortgage Inputs'!$B$8)))</f>
        <v/>
      </c>
      <c r="C305" s="2" t="str">
        <f t="shared" si="13"/>
        <v/>
      </c>
      <c r="D305" s="2" t="str">
        <f t="shared" si="14"/>
        <v/>
      </c>
      <c r="E305" s="2" t="str">
        <f>IF(A305="","",MAX(0,(C305-MIN(D305,C305))*'Mortgage Inputs'!$B$15))</f>
        <v/>
      </c>
      <c r="F305" s="2" t="str">
        <f>IF(A305="","",IF(AND('Offset Inputs'!$B$5&gt;='Mortgage Inputs'!$B$5,'Mortgage Inputs'!$B$5&gt;0),C305,MIN(C305,MAX(0,'Mortgage Inputs'!$B$17-E305))))</f>
        <v/>
      </c>
      <c r="G305" s="2" t="str">
        <f t="shared" si="12"/>
        <v/>
      </c>
      <c r="H305" s="2" t="str">
        <f>IF(A305="","",IF(AND('Offset Inputs'!$B$5&gt;='Mortgage Inputs'!$B$5,'Mortgage Inputs'!$B$5&gt;0),'Offset Inputs'!$B$5-'Mortgage Inputs'!$B$5,D305+'Offset Inputs'!$B$6))</f>
        <v/>
      </c>
    </row>
    <row r="306" spans="1:8" ht="22" customHeight="1">
      <c r="A306" s="1" t="str">
        <f>IF(AND('Mortgage Inputs'!$B$12,300&lt;=IF('Mortgage Inputs'!$B$12,'Mortgage Inputs'!$B$7,0)*12+600,ISNUMBER(G305),G305&gt;0.005),300,"")</f>
        <v/>
      </c>
      <c r="B306" s="4" t="str">
        <f>IF(A306="","",DATE(YEAR('Mortgage Inputs'!$B$8),MONTH('Mortgage Inputs'!$B$8)+A306,DAY('Mortgage Inputs'!$B$8)))</f>
        <v/>
      </c>
      <c r="C306" s="2" t="str">
        <f t="shared" si="13"/>
        <v/>
      </c>
      <c r="D306" s="2" t="str">
        <f t="shared" si="14"/>
        <v/>
      </c>
      <c r="E306" s="2" t="str">
        <f>IF(A306="","",MAX(0,(C306-MIN(D306,C306))*'Mortgage Inputs'!$B$15))</f>
        <v/>
      </c>
      <c r="F306" s="2" t="str">
        <f>IF(A306="","",IF(AND('Offset Inputs'!$B$5&gt;='Mortgage Inputs'!$B$5,'Mortgage Inputs'!$B$5&gt;0),C306,MIN(C306,MAX(0,'Mortgage Inputs'!$B$17-E306))))</f>
        <v/>
      </c>
      <c r="G306" s="2" t="str">
        <f t="shared" si="12"/>
        <v/>
      </c>
      <c r="H306" s="2" t="str">
        <f>IF(A306="","",IF(AND('Offset Inputs'!$B$5&gt;='Mortgage Inputs'!$B$5,'Mortgage Inputs'!$B$5&gt;0),'Offset Inputs'!$B$5-'Mortgage Inputs'!$B$5,D306+'Offset Inputs'!$B$6))</f>
        <v/>
      </c>
    </row>
    <row r="307" spans="1:8" ht="22" customHeight="1">
      <c r="A307" s="1" t="str">
        <f>IF(AND('Mortgage Inputs'!$B$12,301&lt;=IF('Mortgage Inputs'!$B$12,'Mortgage Inputs'!$B$7,0)*12+600,ISNUMBER(G306),G306&gt;0.005),301,"")</f>
        <v/>
      </c>
      <c r="B307" s="4" t="str">
        <f>IF(A307="","",DATE(YEAR('Mortgage Inputs'!$B$8),MONTH('Mortgage Inputs'!$B$8)+A307,DAY('Mortgage Inputs'!$B$8)))</f>
        <v/>
      </c>
      <c r="C307" s="2" t="str">
        <f t="shared" si="13"/>
        <v/>
      </c>
      <c r="D307" s="2" t="str">
        <f t="shared" si="14"/>
        <v/>
      </c>
      <c r="E307" s="2" t="str">
        <f>IF(A307="","",MAX(0,(C307-MIN(D307,C307))*'Mortgage Inputs'!$B$15))</f>
        <v/>
      </c>
      <c r="F307" s="2" t="str">
        <f>IF(A307="","",IF(AND('Offset Inputs'!$B$5&gt;='Mortgage Inputs'!$B$5,'Mortgage Inputs'!$B$5&gt;0),C307,MIN(C307,MAX(0,'Mortgage Inputs'!$B$17-E307))))</f>
        <v/>
      </c>
      <c r="G307" s="2" t="str">
        <f t="shared" si="12"/>
        <v/>
      </c>
      <c r="H307" s="2" t="str">
        <f>IF(A307="","",IF(AND('Offset Inputs'!$B$5&gt;='Mortgage Inputs'!$B$5,'Mortgage Inputs'!$B$5&gt;0),'Offset Inputs'!$B$5-'Mortgage Inputs'!$B$5,D307+'Offset Inputs'!$B$6))</f>
        <v/>
      </c>
    </row>
    <row r="308" spans="1:8" ht="22" customHeight="1">
      <c r="A308" s="1" t="str">
        <f>IF(AND('Mortgage Inputs'!$B$12,302&lt;=IF('Mortgage Inputs'!$B$12,'Mortgage Inputs'!$B$7,0)*12+600,ISNUMBER(G307),G307&gt;0.005),302,"")</f>
        <v/>
      </c>
      <c r="B308" s="4" t="str">
        <f>IF(A308="","",DATE(YEAR('Mortgage Inputs'!$B$8),MONTH('Mortgage Inputs'!$B$8)+A308,DAY('Mortgage Inputs'!$B$8)))</f>
        <v/>
      </c>
      <c r="C308" s="2" t="str">
        <f t="shared" si="13"/>
        <v/>
      </c>
      <c r="D308" s="2" t="str">
        <f t="shared" si="14"/>
        <v/>
      </c>
      <c r="E308" s="2" t="str">
        <f>IF(A308="","",MAX(0,(C308-MIN(D308,C308))*'Mortgage Inputs'!$B$15))</f>
        <v/>
      </c>
      <c r="F308" s="2" t="str">
        <f>IF(A308="","",IF(AND('Offset Inputs'!$B$5&gt;='Mortgage Inputs'!$B$5,'Mortgage Inputs'!$B$5&gt;0),C308,MIN(C308,MAX(0,'Mortgage Inputs'!$B$17-E308))))</f>
        <v/>
      </c>
      <c r="G308" s="2" t="str">
        <f t="shared" si="12"/>
        <v/>
      </c>
      <c r="H308" s="2" t="str">
        <f>IF(A308="","",IF(AND('Offset Inputs'!$B$5&gt;='Mortgage Inputs'!$B$5,'Mortgage Inputs'!$B$5&gt;0),'Offset Inputs'!$B$5-'Mortgage Inputs'!$B$5,D308+'Offset Inputs'!$B$6))</f>
        <v/>
      </c>
    </row>
    <row r="309" spans="1:8" ht="22" customHeight="1">
      <c r="A309" s="1" t="str">
        <f>IF(AND('Mortgage Inputs'!$B$12,303&lt;=IF('Mortgage Inputs'!$B$12,'Mortgage Inputs'!$B$7,0)*12+600,ISNUMBER(G308),G308&gt;0.005),303,"")</f>
        <v/>
      </c>
      <c r="B309" s="4" t="str">
        <f>IF(A309="","",DATE(YEAR('Mortgage Inputs'!$B$8),MONTH('Mortgage Inputs'!$B$8)+A309,DAY('Mortgage Inputs'!$B$8)))</f>
        <v/>
      </c>
      <c r="C309" s="2" t="str">
        <f t="shared" si="13"/>
        <v/>
      </c>
      <c r="D309" s="2" t="str">
        <f t="shared" si="14"/>
        <v/>
      </c>
      <c r="E309" s="2" t="str">
        <f>IF(A309="","",MAX(0,(C309-MIN(D309,C309))*'Mortgage Inputs'!$B$15))</f>
        <v/>
      </c>
      <c r="F309" s="2" t="str">
        <f>IF(A309="","",IF(AND('Offset Inputs'!$B$5&gt;='Mortgage Inputs'!$B$5,'Mortgage Inputs'!$B$5&gt;0),C309,MIN(C309,MAX(0,'Mortgage Inputs'!$B$17-E309))))</f>
        <v/>
      </c>
      <c r="G309" s="2" t="str">
        <f t="shared" si="12"/>
        <v/>
      </c>
      <c r="H309" s="2" t="str">
        <f>IF(A309="","",IF(AND('Offset Inputs'!$B$5&gt;='Mortgage Inputs'!$B$5,'Mortgage Inputs'!$B$5&gt;0),'Offset Inputs'!$B$5-'Mortgage Inputs'!$B$5,D309+'Offset Inputs'!$B$6))</f>
        <v/>
      </c>
    </row>
    <row r="310" spans="1:8" ht="22" customHeight="1">
      <c r="A310" s="1" t="str">
        <f>IF(AND('Mortgage Inputs'!$B$12,304&lt;=IF('Mortgage Inputs'!$B$12,'Mortgage Inputs'!$B$7,0)*12+600,ISNUMBER(G309),G309&gt;0.005),304,"")</f>
        <v/>
      </c>
      <c r="B310" s="4" t="str">
        <f>IF(A310="","",DATE(YEAR('Mortgage Inputs'!$B$8),MONTH('Mortgage Inputs'!$B$8)+A310,DAY('Mortgage Inputs'!$B$8)))</f>
        <v/>
      </c>
      <c r="C310" s="2" t="str">
        <f t="shared" si="13"/>
        <v/>
      </c>
      <c r="D310" s="2" t="str">
        <f t="shared" si="14"/>
        <v/>
      </c>
      <c r="E310" s="2" t="str">
        <f>IF(A310="","",MAX(0,(C310-MIN(D310,C310))*'Mortgage Inputs'!$B$15))</f>
        <v/>
      </c>
      <c r="F310" s="2" t="str">
        <f>IF(A310="","",IF(AND('Offset Inputs'!$B$5&gt;='Mortgage Inputs'!$B$5,'Mortgage Inputs'!$B$5&gt;0),C310,MIN(C310,MAX(0,'Mortgage Inputs'!$B$17-E310))))</f>
        <v/>
      </c>
      <c r="G310" s="2" t="str">
        <f t="shared" si="12"/>
        <v/>
      </c>
      <c r="H310" s="2" t="str">
        <f>IF(A310="","",IF(AND('Offset Inputs'!$B$5&gt;='Mortgage Inputs'!$B$5,'Mortgage Inputs'!$B$5&gt;0),'Offset Inputs'!$B$5-'Mortgage Inputs'!$B$5,D310+'Offset Inputs'!$B$6))</f>
        <v/>
      </c>
    </row>
    <row r="311" spans="1:8" ht="22" customHeight="1">
      <c r="A311" s="1" t="str">
        <f>IF(AND('Mortgage Inputs'!$B$12,305&lt;=IF('Mortgage Inputs'!$B$12,'Mortgage Inputs'!$B$7,0)*12+600,ISNUMBER(G310),G310&gt;0.005),305,"")</f>
        <v/>
      </c>
      <c r="B311" s="4" t="str">
        <f>IF(A311="","",DATE(YEAR('Mortgage Inputs'!$B$8),MONTH('Mortgage Inputs'!$B$8)+A311,DAY('Mortgage Inputs'!$B$8)))</f>
        <v/>
      </c>
      <c r="C311" s="2" t="str">
        <f t="shared" si="13"/>
        <v/>
      </c>
      <c r="D311" s="2" t="str">
        <f t="shared" si="14"/>
        <v/>
      </c>
      <c r="E311" s="2" t="str">
        <f>IF(A311="","",MAX(0,(C311-MIN(D311,C311))*'Mortgage Inputs'!$B$15))</f>
        <v/>
      </c>
      <c r="F311" s="2" t="str">
        <f>IF(A311="","",IF(AND('Offset Inputs'!$B$5&gt;='Mortgage Inputs'!$B$5,'Mortgage Inputs'!$B$5&gt;0),C311,MIN(C311,MAX(0,'Mortgage Inputs'!$B$17-E311))))</f>
        <v/>
      </c>
      <c r="G311" s="2" t="str">
        <f t="shared" si="12"/>
        <v/>
      </c>
      <c r="H311" s="2" t="str">
        <f>IF(A311="","",IF(AND('Offset Inputs'!$B$5&gt;='Mortgage Inputs'!$B$5,'Mortgage Inputs'!$B$5&gt;0),'Offset Inputs'!$B$5-'Mortgage Inputs'!$B$5,D311+'Offset Inputs'!$B$6))</f>
        <v/>
      </c>
    </row>
    <row r="312" spans="1:8" ht="22" customHeight="1">
      <c r="A312" s="1" t="str">
        <f>IF(AND('Mortgage Inputs'!$B$12,306&lt;=IF('Mortgage Inputs'!$B$12,'Mortgage Inputs'!$B$7,0)*12+600,ISNUMBER(G311),G311&gt;0.005),306,"")</f>
        <v/>
      </c>
      <c r="B312" s="4" t="str">
        <f>IF(A312="","",DATE(YEAR('Mortgage Inputs'!$B$8),MONTH('Mortgage Inputs'!$B$8)+A312,DAY('Mortgage Inputs'!$B$8)))</f>
        <v/>
      </c>
      <c r="C312" s="2" t="str">
        <f t="shared" si="13"/>
        <v/>
      </c>
      <c r="D312" s="2" t="str">
        <f t="shared" si="14"/>
        <v/>
      </c>
      <c r="E312" s="2" t="str">
        <f>IF(A312="","",MAX(0,(C312-MIN(D312,C312))*'Mortgage Inputs'!$B$15))</f>
        <v/>
      </c>
      <c r="F312" s="2" t="str">
        <f>IF(A312="","",IF(AND('Offset Inputs'!$B$5&gt;='Mortgage Inputs'!$B$5,'Mortgage Inputs'!$B$5&gt;0),C312,MIN(C312,MAX(0,'Mortgage Inputs'!$B$17-E312))))</f>
        <v/>
      </c>
      <c r="G312" s="2" t="str">
        <f t="shared" si="12"/>
        <v/>
      </c>
      <c r="H312" s="2" t="str">
        <f>IF(A312="","",IF(AND('Offset Inputs'!$B$5&gt;='Mortgage Inputs'!$B$5,'Mortgage Inputs'!$B$5&gt;0),'Offset Inputs'!$B$5-'Mortgage Inputs'!$B$5,D312+'Offset Inputs'!$B$6))</f>
        <v/>
      </c>
    </row>
    <row r="313" spans="1:8" ht="22" customHeight="1">
      <c r="A313" s="1" t="str">
        <f>IF(AND('Mortgage Inputs'!$B$12,307&lt;=IF('Mortgage Inputs'!$B$12,'Mortgage Inputs'!$B$7,0)*12+600,ISNUMBER(G312),G312&gt;0.005),307,"")</f>
        <v/>
      </c>
      <c r="B313" s="4" t="str">
        <f>IF(A313="","",DATE(YEAR('Mortgage Inputs'!$B$8),MONTH('Mortgage Inputs'!$B$8)+A313,DAY('Mortgage Inputs'!$B$8)))</f>
        <v/>
      </c>
      <c r="C313" s="2" t="str">
        <f t="shared" si="13"/>
        <v/>
      </c>
      <c r="D313" s="2" t="str">
        <f t="shared" si="14"/>
        <v/>
      </c>
      <c r="E313" s="2" t="str">
        <f>IF(A313="","",MAX(0,(C313-MIN(D313,C313))*'Mortgage Inputs'!$B$15))</f>
        <v/>
      </c>
      <c r="F313" s="2" t="str">
        <f>IF(A313="","",IF(AND('Offset Inputs'!$B$5&gt;='Mortgage Inputs'!$B$5,'Mortgage Inputs'!$B$5&gt;0),C313,MIN(C313,MAX(0,'Mortgage Inputs'!$B$17-E313))))</f>
        <v/>
      </c>
      <c r="G313" s="2" t="str">
        <f t="shared" si="12"/>
        <v/>
      </c>
      <c r="H313" s="2" t="str">
        <f>IF(A313="","",IF(AND('Offset Inputs'!$B$5&gt;='Mortgage Inputs'!$B$5,'Mortgage Inputs'!$B$5&gt;0),'Offset Inputs'!$B$5-'Mortgage Inputs'!$B$5,D313+'Offset Inputs'!$B$6))</f>
        <v/>
      </c>
    </row>
    <row r="314" spans="1:8" ht="22" customHeight="1">
      <c r="A314" s="1" t="str">
        <f>IF(AND('Mortgage Inputs'!$B$12,308&lt;=IF('Mortgage Inputs'!$B$12,'Mortgage Inputs'!$B$7,0)*12+600,ISNUMBER(G313),G313&gt;0.005),308,"")</f>
        <v/>
      </c>
      <c r="B314" s="4" t="str">
        <f>IF(A314="","",DATE(YEAR('Mortgage Inputs'!$B$8),MONTH('Mortgage Inputs'!$B$8)+A314,DAY('Mortgage Inputs'!$B$8)))</f>
        <v/>
      </c>
      <c r="C314" s="2" t="str">
        <f t="shared" si="13"/>
        <v/>
      </c>
      <c r="D314" s="2" t="str">
        <f t="shared" si="14"/>
        <v/>
      </c>
      <c r="E314" s="2" t="str">
        <f>IF(A314="","",MAX(0,(C314-MIN(D314,C314))*'Mortgage Inputs'!$B$15))</f>
        <v/>
      </c>
      <c r="F314" s="2" t="str">
        <f>IF(A314="","",IF(AND('Offset Inputs'!$B$5&gt;='Mortgage Inputs'!$B$5,'Mortgage Inputs'!$B$5&gt;0),C314,MIN(C314,MAX(0,'Mortgage Inputs'!$B$17-E314))))</f>
        <v/>
      </c>
      <c r="G314" s="2" t="str">
        <f t="shared" si="12"/>
        <v/>
      </c>
      <c r="H314" s="2" t="str">
        <f>IF(A314="","",IF(AND('Offset Inputs'!$B$5&gt;='Mortgage Inputs'!$B$5,'Mortgage Inputs'!$B$5&gt;0),'Offset Inputs'!$B$5-'Mortgage Inputs'!$B$5,D314+'Offset Inputs'!$B$6))</f>
        <v/>
      </c>
    </row>
    <row r="315" spans="1:8" ht="22" customHeight="1">
      <c r="A315" s="1" t="str">
        <f>IF(AND('Mortgage Inputs'!$B$12,309&lt;=IF('Mortgage Inputs'!$B$12,'Mortgage Inputs'!$B$7,0)*12+600,ISNUMBER(G314),G314&gt;0.005),309,"")</f>
        <v/>
      </c>
      <c r="B315" s="4" t="str">
        <f>IF(A315="","",DATE(YEAR('Mortgage Inputs'!$B$8),MONTH('Mortgage Inputs'!$B$8)+A315,DAY('Mortgage Inputs'!$B$8)))</f>
        <v/>
      </c>
      <c r="C315" s="2" t="str">
        <f t="shared" si="13"/>
        <v/>
      </c>
      <c r="D315" s="2" t="str">
        <f t="shared" si="14"/>
        <v/>
      </c>
      <c r="E315" s="2" t="str">
        <f>IF(A315="","",MAX(0,(C315-MIN(D315,C315))*'Mortgage Inputs'!$B$15))</f>
        <v/>
      </c>
      <c r="F315" s="2" t="str">
        <f>IF(A315="","",IF(AND('Offset Inputs'!$B$5&gt;='Mortgage Inputs'!$B$5,'Mortgage Inputs'!$B$5&gt;0),C315,MIN(C315,MAX(0,'Mortgage Inputs'!$B$17-E315))))</f>
        <v/>
      </c>
      <c r="G315" s="2" t="str">
        <f t="shared" si="12"/>
        <v/>
      </c>
      <c r="H315" s="2" t="str">
        <f>IF(A315="","",IF(AND('Offset Inputs'!$B$5&gt;='Mortgage Inputs'!$B$5,'Mortgage Inputs'!$B$5&gt;0),'Offset Inputs'!$B$5-'Mortgage Inputs'!$B$5,D315+'Offset Inputs'!$B$6))</f>
        <v/>
      </c>
    </row>
    <row r="316" spans="1:8" ht="22" customHeight="1">
      <c r="A316" s="1" t="str">
        <f>IF(AND('Mortgage Inputs'!$B$12,310&lt;=IF('Mortgage Inputs'!$B$12,'Mortgage Inputs'!$B$7,0)*12+600,ISNUMBER(G315),G315&gt;0.005),310,"")</f>
        <v/>
      </c>
      <c r="B316" s="4" t="str">
        <f>IF(A316="","",DATE(YEAR('Mortgage Inputs'!$B$8),MONTH('Mortgage Inputs'!$B$8)+A316,DAY('Mortgage Inputs'!$B$8)))</f>
        <v/>
      </c>
      <c r="C316" s="2" t="str">
        <f t="shared" si="13"/>
        <v/>
      </c>
      <c r="D316" s="2" t="str">
        <f t="shared" si="14"/>
        <v/>
      </c>
      <c r="E316" s="2" t="str">
        <f>IF(A316="","",MAX(0,(C316-MIN(D316,C316))*'Mortgage Inputs'!$B$15))</f>
        <v/>
      </c>
      <c r="F316" s="2" t="str">
        <f>IF(A316="","",IF(AND('Offset Inputs'!$B$5&gt;='Mortgage Inputs'!$B$5,'Mortgage Inputs'!$B$5&gt;0),C316,MIN(C316,MAX(0,'Mortgage Inputs'!$B$17-E316))))</f>
        <v/>
      </c>
      <c r="G316" s="2" t="str">
        <f t="shared" si="12"/>
        <v/>
      </c>
      <c r="H316" s="2" t="str">
        <f>IF(A316="","",IF(AND('Offset Inputs'!$B$5&gt;='Mortgage Inputs'!$B$5,'Mortgage Inputs'!$B$5&gt;0),'Offset Inputs'!$B$5-'Mortgage Inputs'!$B$5,D316+'Offset Inputs'!$B$6))</f>
        <v/>
      </c>
    </row>
    <row r="317" spans="1:8" ht="22" customHeight="1">
      <c r="A317" s="1" t="str">
        <f>IF(AND('Mortgage Inputs'!$B$12,311&lt;=IF('Mortgage Inputs'!$B$12,'Mortgage Inputs'!$B$7,0)*12+600,ISNUMBER(G316),G316&gt;0.005),311,"")</f>
        <v/>
      </c>
      <c r="B317" s="4" t="str">
        <f>IF(A317="","",DATE(YEAR('Mortgage Inputs'!$B$8),MONTH('Mortgage Inputs'!$B$8)+A317,DAY('Mortgage Inputs'!$B$8)))</f>
        <v/>
      </c>
      <c r="C317" s="2" t="str">
        <f t="shared" si="13"/>
        <v/>
      </c>
      <c r="D317" s="2" t="str">
        <f t="shared" si="14"/>
        <v/>
      </c>
      <c r="E317" s="2" t="str">
        <f>IF(A317="","",MAX(0,(C317-MIN(D317,C317))*'Mortgage Inputs'!$B$15))</f>
        <v/>
      </c>
      <c r="F317" s="2" t="str">
        <f>IF(A317="","",IF(AND('Offset Inputs'!$B$5&gt;='Mortgage Inputs'!$B$5,'Mortgage Inputs'!$B$5&gt;0),C317,MIN(C317,MAX(0,'Mortgage Inputs'!$B$17-E317))))</f>
        <v/>
      </c>
      <c r="G317" s="2" t="str">
        <f t="shared" si="12"/>
        <v/>
      </c>
      <c r="H317" s="2" t="str">
        <f>IF(A317="","",IF(AND('Offset Inputs'!$B$5&gt;='Mortgage Inputs'!$B$5,'Mortgage Inputs'!$B$5&gt;0),'Offset Inputs'!$B$5-'Mortgage Inputs'!$B$5,D317+'Offset Inputs'!$B$6))</f>
        <v/>
      </c>
    </row>
    <row r="318" spans="1:8" ht="22" customHeight="1">
      <c r="A318" s="1" t="str">
        <f>IF(AND('Mortgage Inputs'!$B$12,312&lt;=IF('Mortgage Inputs'!$B$12,'Mortgage Inputs'!$B$7,0)*12+600,ISNUMBER(G317),G317&gt;0.005),312,"")</f>
        <v/>
      </c>
      <c r="B318" s="4" t="str">
        <f>IF(A318="","",DATE(YEAR('Mortgage Inputs'!$B$8),MONTH('Mortgage Inputs'!$B$8)+A318,DAY('Mortgage Inputs'!$B$8)))</f>
        <v/>
      </c>
      <c r="C318" s="2" t="str">
        <f t="shared" si="13"/>
        <v/>
      </c>
      <c r="D318" s="2" t="str">
        <f t="shared" si="14"/>
        <v/>
      </c>
      <c r="E318" s="2" t="str">
        <f>IF(A318="","",MAX(0,(C318-MIN(D318,C318))*'Mortgage Inputs'!$B$15))</f>
        <v/>
      </c>
      <c r="F318" s="2" t="str">
        <f>IF(A318="","",IF(AND('Offset Inputs'!$B$5&gt;='Mortgage Inputs'!$B$5,'Mortgage Inputs'!$B$5&gt;0),C318,MIN(C318,MAX(0,'Mortgage Inputs'!$B$17-E318))))</f>
        <v/>
      </c>
      <c r="G318" s="2" t="str">
        <f t="shared" si="12"/>
        <v/>
      </c>
      <c r="H318" s="2" t="str">
        <f>IF(A318="","",IF(AND('Offset Inputs'!$B$5&gt;='Mortgage Inputs'!$B$5,'Mortgage Inputs'!$B$5&gt;0),'Offset Inputs'!$B$5-'Mortgage Inputs'!$B$5,D318+'Offset Inputs'!$B$6))</f>
        <v/>
      </c>
    </row>
    <row r="319" spans="1:8" ht="22" customHeight="1">
      <c r="A319" s="1" t="str">
        <f>IF(AND('Mortgage Inputs'!$B$12,313&lt;=IF('Mortgage Inputs'!$B$12,'Mortgage Inputs'!$B$7,0)*12+600,ISNUMBER(G318),G318&gt;0.005),313,"")</f>
        <v/>
      </c>
      <c r="B319" s="4" t="str">
        <f>IF(A319="","",DATE(YEAR('Mortgage Inputs'!$B$8),MONTH('Mortgage Inputs'!$B$8)+A319,DAY('Mortgage Inputs'!$B$8)))</f>
        <v/>
      </c>
      <c r="C319" s="2" t="str">
        <f t="shared" si="13"/>
        <v/>
      </c>
      <c r="D319" s="2" t="str">
        <f t="shared" si="14"/>
        <v/>
      </c>
      <c r="E319" s="2" t="str">
        <f>IF(A319="","",MAX(0,(C319-MIN(D319,C319))*'Mortgage Inputs'!$B$15))</f>
        <v/>
      </c>
      <c r="F319" s="2" t="str">
        <f>IF(A319="","",IF(AND('Offset Inputs'!$B$5&gt;='Mortgage Inputs'!$B$5,'Mortgage Inputs'!$B$5&gt;0),C319,MIN(C319,MAX(0,'Mortgage Inputs'!$B$17-E319))))</f>
        <v/>
      </c>
      <c r="G319" s="2" t="str">
        <f t="shared" si="12"/>
        <v/>
      </c>
      <c r="H319" s="2" t="str">
        <f>IF(A319="","",IF(AND('Offset Inputs'!$B$5&gt;='Mortgage Inputs'!$B$5,'Mortgage Inputs'!$B$5&gt;0),'Offset Inputs'!$B$5-'Mortgage Inputs'!$B$5,D319+'Offset Inputs'!$B$6))</f>
        <v/>
      </c>
    </row>
    <row r="320" spans="1:8" ht="22" customHeight="1">
      <c r="A320" s="1" t="str">
        <f>IF(AND('Mortgage Inputs'!$B$12,314&lt;=IF('Mortgage Inputs'!$B$12,'Mortgage Inputs'!$B$7,0)*12+600,ISNUMBER(G319),G319&gt;0.005),314,"")</f>
        <v/>
      </c>
      <c r="B320" s="4" t="str">
        <f>IF(A320="","",DATE(YEAR('Mortgage Inputs'!$B$8),MONTH('Mortgage Inputs'!$B$8)+A320,DAY('Mortgage Inputs'!$B$8)))</f>
        <v/>
      </c>
      <c r="C320" s="2" t="str">
        <f t="shared" si="13"/>
        <v/>
      </c>
      <c r="D320" s="2" t="str">
        <f t="shared" si="14"/>
        <v/>
      </c>
      <c r="E320" s="2" t="str">
        <f>IF(A320="","",MAX(0,(C320-MIN(D320,C320))*'Mortgage Inputs'!$B$15))</f>
        <v/>
      </c>
      <c r="F320" s="2" t="str">
        <f>IF(A320="","",IF(AND('Offset Inputs'!$B$5&gt;='Mortgage Inputs'!$B$5,'Mortgage Inputs'!$B$5&gt;0),C320,MIN(C320,MAX(0,'Mortgage Inputs'!$B$17-E320))))</f>
        <v/>
      </c>
      <c r="G320" s="2" t="str">
        <f t="shared" si="12"/>
        <v/>
      </c>
      <c r="H320" s="2" t="str">
        <f>IF(A320="","",IF(AND('Offset Inputs'!$B$5&gt;='Mortgage Inputs'!$B$5,'Mortgage Inputs'!$B$5&gt;0),'Offset Inputs'!$B$5-'Mortgage Inputs'!$B$5,D320+'Offset Inputs'!$B$6))</f>
        <v/>
      </c>
    </row>
    <row r="321" spans="1:8" ht="22" customHeight="1">
      <c r="A321" s="1" t="str">
        <f>IF(AND('Mortgage Inputs'!$B$12,315&lt;=IF('Mortgage Inputs'!$B$12,'Mortgage Inputs'!$B$7,0)*12+600,ISNUMBER(G320),G320&gt;0.005),315,"")</f>
        <v/>
      </c>
      <c r="B321" s="4" t="str">
        <f>IF(A321="","",DATE(YEAR('Mortgage Inputs'!$B$8),MONTH('Mortgage Inputs'!$B$8)+A321,DAY('Mortgage Inputs'!$B$8)))</f>
        <v/>
      </c>
      <c r="C321" s="2" t="str">
        <f t="shared" si="13"/>
        <v/>
      </c>
      <c r="D321" s="2" t="str">
        <f t="shared" si="14"/>
        <v/>
      </c>
      <c r="E321" s="2" t="str">
        <f>IF(A321="","",MAX(0,(C321-MIN(D321,C321))*'Mortgage Inputs'!$B$15))</f>
        <v/>
      </c>
      <c r="F321" s="2" t="str">
        <f>IF(A321="","",IF(AND('Offset Inputs'!$B$5&gt;='Mortgage Inputs'!$B$5,'Mortgage Inputs'!$B$5&gt;0),C321,MIN(C321,MAX(0,'Mortgage Inputs'!$B$17-E321))))</f>
        <v/>
      </c>
      <c r="G321" s="2" t="str">
        <f t="shared" si="12"/>
        <v/>
      </c>
      <c r="H321" s="2" t="str">
        <f>IF(A321="","",IF(AND('Offset Inputs'!$B$5&gt;='Mortgage Inputs'!$B$5,'Mortgage Inputs'!$B$5&gt;0),'Offset Inputs'!$B$5-'Mortgage Inputs'!$B$5,D321+'Offset Inputs'!$B$6))</f>
        <v/>
      </c>
    </row>
    <row r="322" spans="1:8" ht="22" customHeight="1">
      <c r="A322" s="1" t="str">
        <f>IF(AND('Mortgage Inputs'!$B$12,316&lt;=IF('Mortgage Inputs'!$B$12,'Mortgage Inputs'!$B$7,0)*12+600,ISNUMBER(G321),G321&gt;0.005),316,"")</f>
        <v/>
      </c>
      <c r="B322" s="4" t="str">
        <f>IF(A322="","",DATE(YEAR('Mortgage Inputs'!$B$8),MONTH('Mortgage Inputs'!$B$8)+A322,DAY('Mortgage Inputs'!$B$8)))</f>
        <v/>
      </c>
      <c r="C322" s="2" t="str">
        <f t="shared" si="13"/>
        <v/>
      </c>
      <c r="D322" s="2" t="str">
        <f t="shared" si="14"/>
        <v/>
      </c>
      <c r="E322" s="2" t="str">
        <f>IF(A322="","",MAX(0,(C322-MIN(D322,C322))*'Mortgage Inputs'!$B$15))</f>
        <v/>
      </c>
      <c r="F322" s="2" t="str">
        <f>IF(A322="","",IF(AND('Offset Inputs'!$B$5&gt;='Mortgage Inputs'!$B$5,'Mortgage Inputs'!$B$5&gt;0),C322,MIN(C322,MAX(0,'Mortgage Inputs'!$B$17-E322))))</f>
        <v/>
      </c>
      <c r="G322" s="2" t="str">
        <f t="shared" si="12"/>
        <v/>
      </c>
      <c r="H322" s="2" t="str">
        <f>IF(A322="","",IF(AND('Offset Inputs'!$B$5&gt;='Mortgage Inputs'!$B$5,'Mortgage Inputs'!$B$5&gt;0),'Offset Inputs'!$B$5-'Mortgage Inputs'!$B$5,D322+'Offset Inputs'!$B$6))</f>
        <v/>
      </c>
    </row>
    <row r="323" spans="1:8" ht="22" customHeight="1">
      <c r="A323" s="1" t="str">
        <f>IF(AND('Mortgage Inputs'!$B$12,317&lt;=IF('Mortgage Inputs'!$B$12,'Mortgage Inputs'!$B$7,0)*12+600,ISNUMBER(G322),G322&gt;0.005),317,"")</f>
        <v/>
      </c>
      <c r="B323" s="4" t="str">
        <f>IF(A323="","",DATE(YEAR('Mortgage Inputs'!$B$8),MONTH('Mortgage Inputs'!$B$8)+A323,DAY('Mortgage Inputs'!$B$8)))</f>
        <v/>
      </c>
      <c r="C323" s="2" t="str">
        <f t="shared" si="13"/>
        <v/>
      </c>
      <c r="D323" s="2" t="str">
        <f t="shared" si="14"/>
        <v/>
      </c>
      <c r="E323" s="2" t="str">
        <f>IF(A323="","",MAX(0,(C323-MIN(D323,C323))*'Mortgage Inputs'!$B$15))</f>
        <v/>
      </c>
      <c r="F323" s="2" t="str">
        <f>IF(A323="","",IF(AND('Offset Inputs'!$B$5&gt;='Mortgage Inputs'!$B$5,'Mortgage Inputs'!$B$5&gt;0),C323,MIN(C323,MAX(0,'Mortgage Inputs'!$B$17-E323))))</f>
        <v/>
      </c>
      <c r="G323" s="2" t="str">
        <f t="shared" si="12"/>
        <v/>
      </c>
      <c r="H323" s="2" t="str">
        <f>IF(A323="","",IF(AND('Offset Inputs'!$B$5&gt;='Mortgage Inputs'!$B$5,'Mortgage Inputs'!$B$5&gt;0),'Offset Inputs'!$B$5-'Mortgage Inputs'!$B$5,D323+'Offset Inputs'!$B$6))</f>
        <v/>
      </c>
    </row>
    <row r="324" spans="1:8" ht="22" customHeight="1">
      <c r="A324" s="1" t="str">
        <f>IF(AND('Mortgage Inputs'!$B$12,318&lt;=IF('Mortgage Inputs'!$B$12,'Mortgage Inputs'!$B$7,0)*12+600,ISNUMBER(G323),G323&gt;0.005),318,"")</f>
        <v/>
      </c>
      <c r="B324" s="4" t="str">
        <f>IF(A324="","",DATE(YEAR('Mortgage Inputs'!$B$8),MONTH('Mortgage Inputs'!$B$8)+A324,DAY('Mortgage Inputs'!$B$8)))</f>
        <v/>
      </c>
      <c r="C324" s="2" t="str">
        <f t="shared" si="13"/>
        <v/>
      </c>
      <c r="D324" s="2" t="str">
        <f t="shared" si="14"/>
        <v/>
      </c>
      <c r="E324" s="2" t="str">
        <f>IF(A324="","",MAX(0,(C324-MIN(D324,C324))*'Mortgage Inputs'!$B$15))</f>
        <v/>
      </c>
      <c r="F324" s="2" t="str">
        <f>IF(A324="","",IF(AND('Offset Inputs'!$B$5&gt;='Mortgage Inputs'!$B$5,'Mortgage Inputs'!$B$5&gt;0),C324,MIN(C324,MAX(0,'Mortgage Inputs'!$B$17-E324))))</f>
        <v/>
      </c>
      <c r="G324" s="2" t="str">
        <f t="shared" si="12"/>
        <v/>
      </c>
      <c r="H324" s="2" t="str">
        <f>IF(A324="","",IF(AND('Offset Inputs'!$B$5&gt;='Mortgage Inputs'!$B$5,'Mortgage Inputs'!$B$5&gt;0),'Offset Inputs'!$B$5-'Mortgage Inputs'!$B$5,D324+'Offset Inputs'!$B$6))</f>
        <v/>
      </c>
    </row>
    <row r="325" spans="1:8" ht="22" customHeight="1">
      <c r="A325" s="1" t="str">
        <f>IF(AND('Mortgage Inputs'!$B$12,319&lt;=IF('Mortgage Inputs'!$B$12,'Mortgage Inputs'!$B$7,0)*12+600,ISNUMBER(G324),G324&gt;0.005),319,"")</f>
        <v/>
      </c>
      <c r="B325" s="4" t="str">
        <f>IF(A325="","",DATE(YEAR('Mortgage Inputs'!$B$8),MONTH('Mortgage Inputs'!$B$8)+A325,DAY('Mortgage Inputs'!$B$8)))</f>
        <v/>
      </c>
      <c r="C325" s="2" t="str">
        <f t="shared" si="13"/>
        <v/>
      </c>
      <c r="D325" s="2" t="str">
        <f t="shared" si="14"/>
        <v/>
      </c>
      <c r="E325" s="2" t="str">
        <f>IF(A325="","",MAX(0,(C325-MIN(D325,C325))*'Mortgage Inputs'!$B$15))</f>
        <v/>
      </c>
      <c r="F325" s="2" t="str">
        <f>IF(A325="","",IF(AND('Offset Inputs'!$B$5&gt;='Mortgage Inputs'!$B$5,'Mortgage Inputs'!$B$5&gt;0),C325,MIN(C325,MAX(0,'Mortgage Inputs'!$B$17-E325))))</f>
        <v/>
      </c>
      <c r="G325" s="2" t="str">
        <f t="shared" si="12"/>
        <v/>
      </c>
      <c r="H325" s="2" t="str">
        <f>IF(A325="","",IF(AND('Offset Inputs'!$B$5&gt;='Mortgage Inputs'!$B$5,'Mortgage Inputs'!$B$5&gt;0),'Offset Inputs'!$B$5-'Mortgage Inputs'!$B$5,D325+'Offset Inputs'!$B$6))</f>
        <v/>
      </c>
    </row>
    <row r="326" spans="1:8" ht="22" customHeight="1">
      <c r="A326" s="1" t="str">
        <f>IF(AND('Mortgage Inputs'!$B$12,320&lt;=IF('Mortgage Inputs'!$B$12,'Mortgage Inputs'!$B$7,0)*12+600,ISNUMBER(G325),G325&gt;0.005),320,"")</f>
        <v/>
      </c>
      <c r="B326" s="4" t="str">
        <f>IF(A326="","",DATE(YEAR('Mortgage Inputs'!$B$8),MONTH('Mortgage Inputs'!$B$8)+A326,DAY('Mortgage Inputs'!$B$8)))</f>
        <v/>
      </c>
      <c r="C326" s="2" t="str">
        <f t="shared" si="13"/>
        <v/>
      </c>
      <c r="D326" s="2" t="str">
        <f t="shared" si="14"/>
        <v/>
      </c>
      <c r="E326" s="2" t="str">
        <f>IF(A326="","",MAX(0,(C326-MIN(D326,C326))*'Mortgage Inputs'!$B$15))</f>
        <v/>
      </c>
      <c r="F326" s="2" t="str">
        <f>IF(A326="","",IF(AND('Offset Inputs'!$B$5&gt;='Mortgage Inputs'!$B$5,'Mortgage Inputs'!$B$5&gt;0),C326,MIN(C326,MAX(0,'Mortgage Inputs'!$B$17-E326))))</f>
        <v/>
      </c>
      <c r="G326" s="2" t="str">
        <f t="shared" si="12"/>
        <v/>
      </c>
      <c r="H326" s="2" t="str">
        <f>IF(A326="","",IF(AND('Offset Inputs'!$B$5&gt;='Mortgage Inputs'!$B$5,'Mortgage Inputs'!$B$5&gt;0),'Offset Inputs'!$B$5-'Mortgage Inputs'!$B$5,D326+'Offset Inputs'!$B$6))</f>
        <v/>
      </c>
    </row>
    <row r="327" spans="1:8" ht="22" customHeight="1">
      <c r="A327" s="1" t="str">
        <f>IF(AND('Mortgage Inputs'!$B$12,321&lt;=IF('Mortgage Inputs'!$B$12,'Mortgage Inputs'!$B$7,0)*12+600,ISNUMBER(G326),G326&gt;0.005),321,"")</f>
        <v/>
      </c>
      <c r="B327" s="4" t="str">
        <f>IF(A327="","",DATE(YEAR('Mortgage Inputs'!$B$8),MONTH('Mortgage Inputs'!$B$8)+A327,DAY('Mortgage Inputs'!$B$8)))</f>
        <v/>
      </c>
      <c r="C327" s="2" t="str">
        <f t="shared" si="13"/>
        <v/>
      </c>
      <c r="D327" s="2" t="str">
        <f t="shared" si="14"/>
        <v/>
      </c>
      <c r="E327" s="2" t="str">
        <f>IF(A327="","",MAX(0,(C327-MIN(D327,C327))*'Mortgage Inputs'!$B$15))</f>
        <v/>
      </c>
      <c r="F327" s="2" t="str">
        <f>IF(A327="","",IF(AND('Offset Inputs'!$B$5&gt;='Mortgage Inputs'!$B$5,'Mortgage Inputs'!$B$5&gt;0),C327,MIN(C327,MAX(0,'Mortgage Inputs'!$B$17-E327))))</f>
        <v/>
      </c>
      <c r="G327" s="2" t="str">
        <f t="shared" ref="G327:G390" si="15">IF(A327="","",MAX(0,C327-F327))</f>
        <v/>
      </c>
      <c r="H327" s="2" t="str">
        <f>IF(A327="","",IF(AND('Offset Inputs'!$B$5&gt;='Mortgage Inputs'!$B$5,'Mortgage Inputs'!$B$5&gt;0),'Offset Inputs'!$B$5-'Mortgage Inputs'!$B$5,D327+'Offset Inputs'!$B$6))</f>
        <v/>
      </c>
    </row>
    <row r="328" spans="1:8" ht="22" customHeight="1">
      <c r="A328" s="1" t="str">
        <f>IF(AND('Mortgage Inputs'!$B$12,322&lt;=IF('Mortgage Inputs'!$B$12,'Mortgage Inputs'!$B$7,0)*12+600,ISNUMBER(G327),G327&gt;0.005),322,"")</f>
        <v/>
      </c>
      <c r="B328" s="4" t="str">
        <f>IF(A328="","",DATE(YEAR('Mortgage Inputs'!$B$8),MONTH('Mortgage Inputs'!$B$8)+A328,DAY('Mortgage Inputs'!$B$8)))</f>
        <v/>
      </c>
      <c r="C328" s="2" t="str">
        <f t="shared" ref="C328:C391" si="16">IF(A328="","",G327)</f>
        <v/>
      </c>
      <c r="D328" s="2" t="str">
        <f t="shared" ref="D328:D391" si="17">IF(A328="","",H327)</f>
        <v/>
      </c>
      <c r="E328" s="2" t="str">
        <f>IF(A328="","",MAX(0,(C328-MIN(D328,C328))*'Mortgage Inputs'!$B$15))</f>
        <v/>
      </c>
      <c r="F328" s="2" t="str">
        <f>IF(A328="","",IF(AND('Offset Inputs'!$B$5&gt;='Mortgage Inputs'!$B$5,'Mortgage Inputs'!$B$5&gt;0),C328,MIN(C328,MAX(0,'Mortgage Inputs'!$B$17-E328))))</f>
        <v/>
      </c>
      <c r="G328" s="2" t="str">
        <f t="shared" si="15"/>
        <v/>
      </c>
      <c r="H328" s="2" t="str">
        <f>IF(A328="","",IF(AND('Offset Inputs'!$B$5&gt;='Mortgage Inputs'!$B$5,'Mortgage Inputs'!$B$5&gt;0),'Offset Inputs'!$B$5-'Mortgage Inputs'!$B$5,D328+'Offset Inputs'!$B$6))</f>
        <v/>
      </c>
    </row>
    <row r="329" spans="1:8" ht="22" customHeight="1">
      <c r="A329" s="1" t="str">
        <f>IF(AND('Mortgage Inputs'!$B$12,323&lt;=IF('Mortgage Inputs'!$B$12,'Mortgage Inputs'!$B$7,0)*12+600,ISNUMBER(G328),G328&gt;0.005),323,"")</f>
        <v/>
      </c>
      <c r="B329" s="4" t="str">
        <f>IF(A329="","",DATE(YEAR('Mortgage Inputs'!$B$8),MONTH('Mortgage Inputs'!$B$8)+A329,DAY('Mortgage Inputs'!$B$8)))</f>
        <v/>
      </c>
      <c r="C329" s="2" t="str">
        <f t="shared" si="16"/>
        <v/>
      </c>
      <c r="D329" s="2" t="str">
        <f t="shared" si="17"/>
        <v/>
      </c>
      <c r="E329" s="2" t="str">
        <f>IF(A329="","",MAX(0,(C329-MIN(D329,C329))*'Mortgage Inputs'!$B$15))</f>
        <v/>
      </c>
      <c r="F329" s="2" t="str">
        <f>IF(A329="","",IF(AND('Offset Inputs'!$B$5&gt;='Mortgage Inputs'!$B$5,'Mortgage Inputs'!$B$5&gt;0),C329,MIN(C329,MAX(0,'Mortgage Inputs'!$B$17-E329))))</f>
        <v/>
      </c>
      <c r="G329" s="2" t="str">
        <f t="shared" si="15"/>
        <v/>
      </c>
      <c r="H329" s="2" t="str">
        <f>IF(A329="","",IF(AND('Offset Inputs'!$B$5&gt;='Mortgage Inputs'!$B$5,'Mortgage Inputs'!$B$5&gt;0),'Offset Inputs'!$B$5-'Mortgage Inputs'!$B$5,D329+'Offset Inputs'!$B$6))</f>
        <v/>
      </c>
    </row>
    <row r="330" spans="1:8" ht="22" customHeight="1">
      <c r="A330" s="1" t="str">
        <f>IF(AND('Mortgage Inputs'!$B$12,324&lt;=IF('Mortgage Inputs'!$B$12,'Mortgage Inputs'!$B$7,0)*12+600,ISNUMBER(G329),G329&gt;0.005),324,"")</f>
        <v/>
      </c>
      <c r="B330" s="4" t="str">
        <f>IF(A330="","",DATE(YEAR('Mortgage Inputs'!$B$8),MONTH('Mortgage Inputs'!$B$8)+A330,DAY('Mortgage Inputs'!$B$8)))</f>
        <v/>
      </c>
      <c r="C330" s="2" t="str">
        <f t="shared" si="16"/>
        <v/>
      </c>
      <c r="D330" s="2" t="str">
        <f t="shared" si="17"/>
        <v/>
      </c>
      <c r="E330" s="2" t="str">
        <f>IF(A330="","",MAX(0,(C330-MIN(D330,C330))*'Mortgage Inputs'!$B$15))</f>
        <v/>
      </c>
      <c r="F330" s="2" t="str">
        <f>IF(A330="","",IF(AND('Offset Inputs'!$B$5&gt;='Mortgage Inputs'!$B$5,'Mortgage Inputs'!$B$5&gt;0),C330,MIN(C330,MAX(0,'Mortgage Inputs'!$B$17-E330))))</f>
        <v/>
      </c>
      <c r="G330" s="2" t="str">
        <f t="shared" si="15"/>
        <v/>
      </c>
      <c r="H330" s="2" t="str">
        <f>IF(A330="","",IF(AND('Offset Inputs'!$B$5&gt;='Mortgage Inputs'!$B$5,'Mortgage Inputs'!$B$5&gt;0),'Offset Inputs'!$B$5-'Mortgage Inputs'!$B$5,D330+'Offset Inputs'!$B$6))</f>
        <v/>
      </c>
    </row>
    <row r="331" spans="1:8" ht="22" customHeight="1">
      <c r="A331" s="1" t="str">
        <f>IF(AND('Mortgage Inputs'!$B$12,325&lt;=IF('Mortgage Inputs'!$B$12,'Mortgage Inputs'!$B$7,0)*12+600,ISNUMBER(G330),G330&gt;0.005),325,"")</f>
        <v/>
      </c>
      <c r="B331" s="4" t="str">
        <f>IF(A331="","",DATE(YEAR('Mortgage Inputs'!$B$8),MONTH('Mortgage Inputs'!$B$8)+A331,DAY('Mortgage Inputs'!$B$8)))</f>
        <v/>
      </c>
      <c r="C331" s="2" t="str">
        <f t="shared" si="16"/>
        <v/>
      </c>
      <c r="D331" s="2" t="str">
        <f t="shared" si="17"/>
        <v/>
      </c>
      <c r="E331" s="2" t="str">
        <f>IF(A331="","",MAX(0,(C331-MIN(D331,C331))*'Mortgage Inputs'!$B$15))</f>
        <v/>
      </c>
      <c r="F331" s="2" t="str">
        <f>IF(A331="","",IF(AND('Offset Inputs'!$B$5&gt;='Mortgage Inputs'!$B$5,'Mortgage Inputs'!$B$5&gt;0),C331,MIN(C331,MAX(0,'Mortgage Inputs'!$B$17-E331))))</f>
        <v/>
      </c>
      <c r="G331" s="2" t="str">
        <f t="shared" si="15"/>
        <v/>
      </c>
      <c r="H331" s="2" t="str">
        <f>IF(A331="","",IF(AND('Offset Inputs'!$B$5&gt;='Mortgage Inputs'!$B$5,'Mortgage Inputs'!$B$5&gt;0),'Offset Inputs'!$B$5-'Mortgage Inputs'!$B$5,D331+'Offset Inputs'!$B$6))</f>
        <v/>
      </c>
    </row>
    <row r="332" spans="1:8" ht="22" customHeight="1">
      <c r="A332" s="1" t="str">
        <f>IF(AND('Mortgage Inputs'!$B$12,326&lt;=IF('Mortgage Inputs'!$B$12,'Mortgage Inputs'!$B$7,0)*12+600,ISNUMBER(G331),G331&gt;0.005),326,"")</f>
        <v/>
      </c>
      <c r="B332" s="4" t="str">
        <f>IF(A332="","",DATE(YEAR('Mortgage Inputs'!$B$8),MONTH('Mortgage Inputs'!$B$8)+A332,DAY('Mortgage Inputs'!$B$8)))</f>
        <v/>
      </c>
      <c r="C332" s="2" t="str">
        <f t="shared" si="16"/>
        <v/>
      </c>
      <c r="D332" s="2" t="str">
        <f t="shared" si="17"/>
        <v/>
      </c>
      <c r="E332" s="2" t="str">
        <f>IF(A332="","",MAX(0,(C332-MIN(D332,C332))*'Mortgage Inputs'!$B$15))</f>
        <v/>
      </c>
      <c r="F332" s="2" t="str">
        <f>IF(A332="","",IF(AND('Offset Inputs'!$B$5&gt;='Mortgage Inputs'!$B$5,'Mortgage Inputs'!$B$5&gt;0),C332,MIN(C332,MAX(0,'Mortgage Inputs'!$B$17-E332))))</f>
        <v/>
      </c>
      <c r="G332" s="2" t="str">
        <f t="shared" si="15"/>
        <v/>
      </c>
      <c r="H332" s="2" t="str">
        <f>IF(A332="","",IF(AND('Offset Inputs'!$B$5&gt;='Mortgage Inputs'!$B$5,'Mortgage Inputs'!$B$5&gt;0),'Offset Inputs'!$B$5-'Mortgage Inputs'!$B$5,D332+'Offset Inputs'!$B$6))</f>
        <v/>
      </c>
    </row>
    <row r="333" spans="1:8" ht="22" customHeight="1">
      <c r="A333" s="1" t="str">
        <f>IF(AND('Mortgage Inputs'!$B$12,327&lt;=IF('Mortgage Inputs'!$B$12,'Mortgage Inputs'!$B$7,0)*12+600,ISNUMBER(G332),G332&gt;0.005),327,"")</f>
        <v/>
      </c>
      <c r="B333" s="4" t="str">
        <f>IF(A333="","",DATE(YEAR('Mortgage Inputs'!$B$8),MONTH('Mortgage Inputs'!$B$8)+A333,DAY('Mortgage Inputs'!$B$8)))</f>
        <v/>
      </c>
      <c r="C333" s="2" t="str">
        <f t="shared" si="16"/>
        <v/>
      </c>
      <c r="D333" s="2" t="str">
        <f t="shared" si="17"/>
        <v/>
      </c>
      <c r="E333" s="2" t="str">
        <f>IF(A333="","",MAX(0,(C333-MIN(D333,C333))*'Mortgage Inputs'!$B$15))</f>
        <v/>
      </c>
      <c r="F333" s="2" t="str">
        <f>IF(A333="","",IF(AND('Offset Inputs'!$B$5&gt;='Mortgage Inputs'!$B$5,'Mortgage Inputs'!$B$5&gt;0),C333,MIN(C333,MAX(0,'Mortgage Inputs'!$B$17-E333))))</f>
        <v/>
      </c>
      <c r="G333" s="2" t="str">
        <f t="shared" si="15"/>
        <v/>
      </c>
      <c r="H333" s="2" t="str">
        <f>IF(A333="","",IF(AND('Offset Inputs'!$B$5&gt;='Mortgage Inputs'!$B$5,'Mortgage Inputs'!$B$5&gt;0),'Offset Inputs'!$B$5-'Mortgage Inputs'!$B$5,D333+'Offset Inputs'!$B$6))</f>
        <v/>
      </c>
    </row>
    <row r="334" spans="1:8" ht="22" customHeight="1">
      <c r="A334" s="1" t="str">
        <f>IF(AND('Mortgage Inputs'!$B$12,328&lt;=IF('Mortgage Inputs'!$B$12,'Mortgage Inputs'!$B$7,0)*12+600,ISNUMBER(G333),G333&gt;0.005),328,"")</f>
        <v/>
      </c>
      <c r="B334" s="4" t="str">
        <f>IF(A334="","",DATE(YEAR('Mortgage Inputs'!$B$8),MONTH('Mortgage Inputs'!$B$8)+A334,DAY('Mortgage Inputs'!$B$8)))</f>
        <v/>
      </c>
      <c r="C334" s="2" t="str">
        <f t="shared" si="16"/>
        <v/>
      </c>
      <c r="D334" s="2" t="str">
        <f t="shared" si="17"/>
        <v/>
      </c>
      <c r="E334" s="2" t="str">
        <f>IF(A334="","",MAX(0,(C334-MIN(D334,C334))*'Mortgage Inputs'!$B$15))</f>
        <v/>
      </c>
      <c r="F334" s="2" t="str">
        <f>IF(A334="","",IF(AND('Offset Inputs'!$B$5&gt;='Mortgage Inputs'!$B$5,'Mortgage Inputs'!$B$5&gt;0),C334,MIN(C334,MAX(0,'Mortgage Inputs'!$B$17-E334))))</f>
        <v/>
      </c>
      <c r="G334" s="2" t="str">
        <f t="shared" si="15"/>
        <v/>
      </c>
      <c r="H334" s="2" t="str">
        <f>IF(A334="","",IF(AND('Offset Inputs'!$B$5&gt;='Mortgage Inputs'!$B$5,'Mortgage Inputs'!$B$5&gt;0),'Offset Inputs'!$B$5-'Mortgage Inputs'!$B$5,D334+'Offset Inputs'!$B$6))</f>
        <v/>
      </c>
    </row>
    <row r="335" spans="1:8" ht="22" customHeight="1">
      <c r="A335" s="1" t="str">
        <f>IF(AND('Mortgage Inputs'!$B$12,329&lt;=IF('Mortgage Inputs'!$B$12,'Mortgage Inputs'!$B$7,0)*12+600,ISNUMBER(G334),G334&gt;0.005),329,"")</f>
        <v/>
      </c>
      <c r="B335" s="4" t="str">
        <f>IF(A335="","",DATE(YEAR('Mortgage Inputs'!$B$8),MONTH('Mortgage Inputs'!$B$8)+A335,DAY('Mortgage Inputs'!$B$8)))</f>
        <v/>
      </c>
      <c r="C335" s="2" t="str">
        <f t="shared" si="16"/>
        <v/>
      </c>
      <c r="D335" s="2" t="str">
        <f t="shared" si="17"/>
        <v/>
      </c>
      <c r="E335" s="2" t="str">
        <f>IF(A335="","",MAX(0,(C335-MIN(D335,C335))*'Mortgage Inputs'!$B$15))</f>
        <v/>
      </c>
      <c r="F335" s="2" t="str">
        <f>IF(A335="","",IF(AND('Offset Inputs'!$B$5&gt;='Mortgage Inputs'!$B$5,'Mortgage Inputs'!$B$5&gt;0),C335,MIN(C335,MAX(0,'Mortgage Inputs'!$B$17-E335))))</f>
        <v/>
      </c>
      <c r="G335" s="2" t="str">
        <f t="shared" si="15"/>
        <v/>
      </c>
      <c r="H335" s="2" t="str">
        <f>IF(A335="","",IF(AND('Offset Inputs'!$B$5&gt;='Mortgage Inputs'!$B$5,'Mortgage Inputs'!$B$5&gt;0),'Offset Inputs'!$B$5-'Mortgage Inputs'!$B$5,D335+'Offset Inputs'!$B$6))</f>
        <v/>
      </c>
    </row>
    <row r="336" spans="1:8" ht="22" customHeight="1">
      <c r="A336" s="1" t="str">
        <f>IF(AND('Mortgage Inputs'!$B$12,330&lt;=IF('Mortgage Inputs'!$B$12,'Mortgage Inputs'!$B$7,0)*12+600,ISNUMBER(G335),G335&gt;0.005),330,"")</f>
        <v/>
      </c>
      <c r="B336" s="4" t="str">
        <f>IF(A336="","",DATE(YEAR('Mortgage Inputs'!$B$8),MONTH('Mortgage Inputs'!$B$8)+A336,DAY('Mortgage Inputs'!$B$8)))</f>
        <v/>
      </c>
      <c r="C336" s="2" t="str">
        <f t="shared" si="16"/>
        <v/>
      </c>
      <c r="D336" s="2" t="str">
        <f t="shared" si="17"/>
        <v/>
      </c>
      <c r="E336" s="2" t="str">
        <f>IF(A336="","",MAX(0,(C336-MIN(D336,C336))*'Mortgage Inputs'!$B$15))</f>
        <v/>
      </c>
      <c r="F336" s="2" t="str">
        <f>IF(A336="","",IF(AND('Offset Inputs'!$B$5&gt;='Mortgage Inputs'!$B$5,'Mortgage Inputs'!$B$5&gt;0),C336,MIN(C336,MAX(0,'Mortgage Inputs'!$B$17-E336))))</f>
        <v/>
      </c>
      <c r="G336" s="2" t="str">
        <f t="shared" si="15"/>
        <v/>
      </c>
      <c r="H336" s="2" t="str">
        <f>IF(A336="","",IF(AND('Offset Inputs'!$B$5&gt;='Mortgage Inputs'!$B$5,'Mortgage Inputs'!$B$5&gt;0),'Offset Inputs'!$B$5-'Mortgage Inputs'!$B$5,D336+'Offset Inputs'!$B$6))</f>
        <v/>
      </c>
    </row>
    <row r="337" spans="1:8" ht="22" customHeight="1">
      <c r="A337" s="1" t="str">
        <f>IF(AND('Mortgage Inputs'!$B$12,331&lt;=IF('Mortgage Inputs'!$B$12,'Mortgage Inputs'!$B$7,0)*12+600,ISNUMBER(G336),G336&gt;0.005),331,"")</f>
        <v/>
      </c>
      <c r="B337" s="4" t="str">
        <f>IF(A337="","",DATE(YEAR('Mortgage Inputs'!$B$8),MONTH('Mortgage Inputs'!$B$8)+A337,DAY('Mortgage Inputs'!$B$8)))</f>
        <v/>
      </c>
      <c r="C337" s="2" t="str">
        <f t="shared" si="16"/>
        <v/>
      </c>
      <c r="D337" s="2" t="str">
        <f t="shared" si="17"/>
        <v/>
      </c>
      <c r="E337" s="2" t="str">
        <f>IF(A337="","",MAX(0,(C337-MIN(D337,C337))*'Mortgage Inputs'!$B$15))</f>
        <v/>
      </c>
      <c r="F337" s="2" t="str">
        <f>IF(A337="","",IF(AND('Offset Inputs'!$B$5&gt;='Mortgage Inputs'!$B$5,'Mortgage Inputs'!$B$5&gt;0),C337,MIN(C337,MAX(0,'Mortgage Inputs'!$B$17-E337))))</f>
        <v/>
      </c>
      <c r="G337" s="2" t="str">
        <f t="shared" si="15"/>
        <v/>
      </c>
      <c r="H337" s="2" t="str">
        <f>IF(A337="","",IF(AND('Offset Inputs'!$B$5&gt;='Mortgage Inputs'!$B$5,'Mortgage Inputs'!$B$5&gt;0),'Offset Inputs'!$B$5-'Mortgage Inputs'!$B$5,D337+'Offset Inputs'!$B$6))</f>
        <v/>
      </c>
    </row>
    <row r="338" spans="1:8" ht="22" customHeight="1">
      <c r="A338" s="1" t="str">
        <f>IF(AND('Mortgage Inputs'!$B$12,332&lt;=IF('Mortgage Inputs'!$B$12,'Mortgage Inputs'!$B$7,0)*12+600,ISNUMBER(G337),G337&gt;0.005),332,"")</f>
        <v/>
      </c>
      <c r="B338" s="4" t="str">
        <f>IF(A338="","",DATE(YEAR('Mortgage Inputs'!$B$8),MONTH('Mortgage Inputs'!$B$8)+A338,DAY('Mortgage Inputs'!$B$8)))</f>
        <v/>
      </c>
      <c r="C338" s="2" t="str">
        <f t="shared" si="16"/>
        <v/>
      </c>
      <c r="D338" s="2" t="str">
        <f t="shared" si="17"/>
        <v/>
      </c>
      <c r="E338" s="2" t="str">
        <f>IF(A338="","",MAX(0,(C338-MIN(D338,C338))*'Mortgage Inputs'!$B$15))</f>
        <v/>
      </c>
      <c r="F338" s="2" t="str">
        <f>IF(A338="","",IF(AND('Offset Inputs'!$B$5&gt;='Mortgage Inputs'!$B$5,'Mortgage Inputs'!$B$5&gt;0),C338,MIN(C338,MAX(0,'Mortgage Inputs'!$B$17-E338))))</f>
        <v/>
      </c>
      <c r="G338" s="2" t="str">
        <f t="shared" si="15"/>
        <v/>
      </c>
      <c r="H338" s="2" t="str">
        <f>IF(A338="","",IF(AND('Offset Inputs'!$B$5&gt;='Mortgage Inputs'!$B$5,'Mortgage Inputs'!$B$5&gt;0),'Offset Inputs'!$B$5-'Mortgage Inputs'!$B$5,D338+'Offset Inputs'!$B$6))</f>
        <v/>
      </c>
    </row>
    <row r="339" spans="1:8" ht="22" customHeight="1">
      <c r="A339" s="1" t="str">
        <f>IF(AND('Mortgage Inputs'!$B$12,333&lt;=IF('Mortgage Inputs'!$B$12,'Mortgage Inputs'!$B$7,0)*12+600,ISNUMBER(G338),G338&gt;0.005),333,"")</f>
        <v/>
      </c>
      <c r="B339" s="4" t="str">
        <f>IF(A339="","",DATE(YEAR('Mortgage Inputs'!$B$8),MONTH('Mortgage Inputs'!$B$8)+A339,DAY('Mortgage Inputs'!$B$8)))</f>
        <v/>
      </c>
      <c r="C339" s="2" t="str">
        <f t="shared" si="16"/>
        <v/>
      </c>
      <c r="D339" s="2" t="str">
        <f t="shared" si="17"/>
        <v/>
      </c>
      <c r="E339" s="2" t="str">
        <f>IF(A339="","",MAX(0,(C339-MIN(D339,C339))*'Mortgage Inputs'!$B$15))</f>
        <v/>
      </c>
      <c r="F339" s="2" t="str">
        <f>IF(A339="","",IF(AND('Offset Inputs'!$B$5&gt;='Mortgage Inputs'!$B$5,'Mortgage Inputs'!$B$5&gt;0),C339,MIN(C339,MAX(0,'Mortgage Inputs'!$B$17-E339))))</f>
        <v/>
      </c>
      <c r="G339" s="2" t="str">
        <f t="shared" si="15"/>
        <v/>
      </c>
      <c r="H339" s="2" t="str">
        <f>IF(A339="","",IF(AND('Offset Inputs'!$B$5&gt;='Mortgage Inputs'!$B$5,'Mortgage Inputs'!$B$5&gt;0),'Offset Inputs'!$B$5-'Mortgage Inputs'!$B$5,D339+'Offset Inputs'!$B$6))</f>
        <v/>
      </c>
    </row>
    <row r="340" spans="1:8" ht="22" customHeight="1">
      <c r="A340" s="1" t="str">
        <f>IF(AND('Mortgage Inputs'!$B$12,334&lt;=IF('Mortgage Inputs'!$B$12,'Mortgage Inputs'!$B$7,0)*12+600,ISNUMBER(G339),G339&gt;0.005),334,"")</f>
        <v/>
      </c>
      <c r="B340" s="4" t="str">
        <f>IF(A340="","",DATE(YEAR('Mortgage Inputs'!$B$8),MONTH('Mortgage Inputs'!$B$8)+A340,DAY('Mortgage Inputs'!$B$8)))</f>
        <v/>
      </c>
      <c r="C340" s="2" t="str">
        <f t="shared" si="16"/>
        <v/>
      </c>
      <c r="D340" s="2" t="str">
        <f t="shared" si="17"/>
        <v/>
      </c>
      <c r="E340" s="2" t="str">
        <f>IF(A340="","",MAX(0,(C340-MIN(D340,C340))*'Mortgage Inputs'!$B$15))</f>
        <v/>
      </c>
      <c r="F340" s="2" t="str">
        <f>IF(A340="","",IF(AND('Offset Inputs'!$B$5&gt;='Mortgage Inputs'!$B$5,'Mortgage Inputs'!$B$5&gt;0),C340,MIN(C340,MAX(0,'Mortgage Inputs'!$B$17-E340))))</f>
        <v/>
      </c>
      <c r="G340" s="2" t="str">
        <f t="shared" si="15"/>
        <v/>
      </c>
      <c r="H340" s="2" t="str">
        <f>IF(A340="","",IF(AND('Offset Inputs'!$B$5&gt;='Mortgage Inputs'!$B$5,'Mortgage Inputs'!$B$5&gt;0),'Offset Inputs'!$B$5-'Mortgage Inputs'!$B$5,D340+'Offset Inputs'!$B$6))</f>
        <v/>
      </c>
    </row>
    <row r="341" spans="1:8" ht="22" customHeight="1">
      <c r="A341" s="1" t="str">
        <f>IF(AND('Mortgage Inputs'!$B$12,335&lt;=IF('Mortgage Inputs'!$B$12,'Mortgage Inputs'!$B$7,0)*12+600,ISNUMBER(G340),G340&gt;0.005),335,"")</f>
        <v/>
      </c>
      <c r="B341" s="4" t="str">
        <f>IF(A341="","",DATE(YEAR('Mortgage Inputs'!$B$8),MONTH('Mortgage Inputs'!$B$8)+A341,DAY('Mortgage Inputs'!$B$8)))</f>
        <v/>
      </c>
      <c r="C341" s="2" t="str">
        <f t="shared" si="16"/>
        <v/>
      </c>
      <c r="D341" s="2" t="str">
        <f t="shared" si="17"/>
        <v/>
      </c>
      <c r="E341" s="2" t="str">
        <f>IF(A341="","",MAX(0,(C341-MIN(D341,C341))*'Mortgage Inputs'!$B$15))</f>
        <v/>
      </c>
      <c r="F341" s="2" t="str">
        <f>IF(A341="","",IF(AND('Offset Inputs'!$B$5&gt;='Mortgage Inputs'!$B$5,'Mortgage Inputs'!$B$5&gt;0),C341,MIN(C341,MAX(0,'Mortgage Inputs'!$B$17-E341))))</f>
        <v/>
      </c>
      <c r="G341" s="2" t="str">
        <f t="shared" si="15"/>
        <v/>
      </c>
      <c r="H341" s="2" t="str">
        <f>IF(A341="","",IF(AND('Offset Inputs'!$B$5&gt;='Mortgage Inputs'!$B$5,'Mortgage Inputs'!$B$5&gt;0),'Offset Inputs'!$B$5-'Mortgage Inputs'!$B$5,D341+'Offset Inputs'!$B$6))</f>
        <v/>
      </c>
    </row>
    <row r="342" spans="1:8" ht="22" customHeight="1">
      <c r="A342" s="1" t="str">
        <f>IF(AND('Mortgage Inputs'!$B$12,336&lt;=IF('Mortgage Inputs'!$B$12,'Mortgage Inputs'!$B$7,0)*12+600,ISNUMBER(G341),G341&gt;0.005),336,"")</f>
        <v/>
      </c>
      <c r="B342" s="4" t="str">
        <f>IF(A342="","",DATE(YEAR('Mortgage Inputs'!$B$8),MONTH('Mortgage Inputs'!$B$8)+A342,DAY('Mortgage Inputs'!$B$8)))</f>
        <v/>
      </c>
      <c r="C342" s="2" t="str">
        <f t="shared" si="16"/>
        <v/>
      </c>
      <c r="D342" s="2" t="str">
        <f t="shared" si="17"/>
        <v/>
      </c>
      <c r="E342" s="2" t="str">
        <f>IF(A342="","",MAX(0,(C342-MIN(D342,C342))*'Mortgage Inputs'!$B$15))</f>
        <v/>
      </c>
      <c r="F342" s="2" t="str">
        <f>IF(A342="","",IF(AND('Offset Inputs'!$B$5&gt;='Mortgage Inputs'!$B$5,'Mortgage Inputs'!$B$5&gt;0),C342,MIN(C342,MAX(0,'Mortgage Inputs'!$B$17-E342))))</f>
        <v/>
      </c>
      <c r="G342" s="2" t="str">
        <f t="shared" si="15"/>
        <v/>
      </c>
      <c r="H342" s="2" t="str">
        <f>IF(A342="","",IF(AND('Offset Inputs'!$B$5&gt;='Mortgage Inputs'!$B$5,'Mortgage Inputs'!$B$5&gt;0),'Offset Inputs'!$B$5-'Mortgage Inputs'!$B$5,D342+'Offset Inputs'!$B$6))</f>
        <v/>
      </c>
    </row>
    <row r="343" spans="1:8" ht="22" customHeight="1">
      <c r="A343" s="1" t="str">
        <f>IF(AND('Mortgage Inputs'!$B$12,337&lt;=IF('Mortgage Inputs'!$B$12,'Mortgage Inputs'!$B$7,0)*12+600,ISNUMBER(G342),G342&gt;0.005),337,"")</f>
        <v/>
      </c>
      <c r="B343" s="4" t="str">
        <f>IF(A343="","",DATE(YEAR('Mortgage Inputs'!$B$8),MONTH('Mortgage Inputs'!$B$8)+A343,DAY('Mortgage Inputs'!$B$8)))</f>
        <v/>
      </c>
      <c r="C343" s="2" t="str">
        <f t="shared" si="16"/>
        <v/>
      </c>
      <c r="D343" s="2" t="str">
        <f t="shared" si="17"/>
        <v/>
      </c>
      <c r="E343" s="2" t="str">
        <f>IF(A343="","",MAX(0,(C343-MIN(D343,C343))*'Mortgage Inputs'!$B$15))</f>
        <v/>
      </c>
      <c r="F343" s="2" t="str">
        <f>IF(A343="","",IF(AND('Offset Inputs'!$B$5&gt;='Mortgage Inputs'!$B$5,'Mortgage Inputs'!$B$5&gt;0),C343,MIN(C343,MAX(0,'Mortgage Inputs'!$B$17-E343))))</f>
        <v/>
      </c>
      <c r="G343" s="2" t="str">
        <f t="shared" si="15"/>
        <v/>
      </c>
      <c r="H343" s="2" t="str">
        <f>IF(A343="","",IF(AND('Offset Inputs'!$B$5&gt;='Mortgage Inputs'!$B$5,'Mortgage Inputs'!$B$5&gt;0),'Offset Inputs'!$B$5-'Mortgage Inputs'!$B$5,D343+'Offset Inputs'!$B$6))</f>
        <v/>
      </c>
    </row>
    <row r="344" spans="1:8" ht="22" customHeight="1">
      <c r="A344" s="1" t="str">
        <f>IF(AND('Mortgage Inputs'!$B$12,338&lt;=IF('Mortgage Inputs'!$B$12,'Mortgage Inputs'!$B$7,0)*12+600,ISNUMBER(G343),G343&gt;0.005),338,"")</f>
        <v/>
      </c>
      <c r="B344" s="4" t="str">
        <f>IF(A344="","",DATE(YEAR('Mortgage Inputs'!$B$8),MONTH('Mortgage Inputs'!$B$8)+A344,DAY('Mortgage Inputs'!$B$8)))</f>
        <v/>
      </c>
      <c r="C344" s="2" t="str">
        <f t="shared" si="16"/>
        <v/>
      </c>
      <c r="D344" s="2" t="str">
        <f t="shared" si="17"/>
        <v/>
      </c>
      <c r="E344" s="2" t="str">
        <f>IF(A344="","",MAX(0,(C344-MIN(D344,C344))*'Mortgage Inputs'!$B$15))</f>
        <v/>
      </c>
      <c r="F344" s="2" t="str">
        <f>IF(A344="","",IF(AND('Offset Inputs'!$B$5&gt;='Mortgage Inputs'!$B$5,'Mortgage Inputs'!$B$5&gt;0),C344,MIN(C344,MAX(0,'Mortgage Inputs'!$B$17-E344))))</f>
        <v/>
      </c>
      <c r="G344" s="2" t="str">
        <f t="shared" si="15"/>
        <v/>
      </c>
      <c r="H344" s="2" t="str">
        <f>IF(A344="","",IF(AND('Offset Inputs'!$B$5&gt;='Mortgage Inputs'!$B$5,'Mortgage Inputs'!$B$5&gt;0),'Offset Inputs'!$B$5-'Mortgage Inputs'!$B$5,D344+'Offset Inputs'!$B$6))</f>
        <v/>
      </c>
    </row>
    <row r="345" spans="1:8" ht="22" customHeight="1">
      <c r="A345" s="1" t="str">
        <f>IF(AND('Mortgage Inputs'!$B$12,339&lt;=IF('Mortgage Inputs'!$B$12,'Mortgage Inputs'!$B$7,0)*12+600,ISNUMBER(G344),G344&gt;0.005),339,"")</f>
        <v/>
      </c>
      <c r="B345" s="4" t="str">
        <f>IF(A345="","",DATE(YEAR('Mortgage Inputs'!$B$8),MONTH('Mortgage Inputs'!$B$8)+A345,DAY('Mortgage Inputs'!$B$8)))</f>
        <v/>
      </c>
      <c r="C345" s="2" t="str">
        <f t="shared" si="16"/>
        <v/>
      </c>
      <c r="D345" s="2" t="str">
        <f t="shared" si="17"/>
        <v/>
      </c>
      <c r="E345" s="2" t="str">
        <f>IF(A345="","",MAX(0,(C345-MIN(D345,C345))*'Mortgage Inputs'!$B$15))</f>
        <v/>
      </c>
      <c r="F345" s="2" t="str">
        <f>IF(A345="","",IF(AND('Offset Inputs'!$B$5&gt;='Mortgage Inputs'!$B$5,'Mortgage Inputs'!$B$5&gt;0),C345,MIN(C345,MAX(0,'Mortgage Inputs'!$B$17-E345))))</f>
        <v/>
      </c>
      <c r="G345" s="2" t="str">
        <f t="shared" si="15"/>
        <v/>
      </c>
      <c r="H345" s="2" t="str">
        <f>IF(A345="","",IF(AND('Offset Inputs'!$B$5&gt;='Mortgage Inputs'!$B$5,'Mortgage Inputs'!$B$5&gt;0),'Offset Inputs'!$B$5-'Mortgage Inputs'!$B$5,D345+'Offset Inputs'!$B$6))</f>
        <v/>
      </c>
    </row>
    <row r="346" spans="1:8" ht="22" customHeight="1">
      <c r="A346" s="1" t="str">
        <f>IF(AND('Mortgage Inputs'!$B$12,340&lt;=IF('Mortgage Inputs'!$B$12,'Mortgage Inputs'!$B$7,0)*12+600,ISNUMBER(G345),G345&gt;0.005),340,"")</f>
        <v/>
      </c>
      <c r="B346" s="4" t="str">
        <f>IF(A346="","",DATE(YEAR('Mortgage Inputs'!$B$8),MONTH('Mortgage Inputs'!$B$8)+A346,DAY('Mortgage Inputs'!$B$8)))</f>
        <v/>
      </c>
      <c r="C346" s="2" t="str">
        <f t="shared" si="16"/>
        <v/>
      </c>
      <c r="D346" s="2" t="str">
        <f t="shared" si="17"/>
        <v/>
      </c>
      <c r="E346" s="2" t="str">
        <f>IF(A346="","",MAX(0,(C346-MIN(D346,C346))*'Mortgage Inputs'!$B$15))</f>
        <v/>
      </c>
      <c r="F346" s="2" t="str">
        <f>IF(A346="","",IF(AND('Offset Inputs'!$B$5&gt;='Mortgage Inputs'!$B$5,'Mortgage Inputs'!$B$5&gt;0),C346,MIN(C346,MAX(0,'Mortgage Inputs'!$B$17-E346))))</f>
        <v/>
      </c>
      <c r="G346" s="2" t="str">
        <f t="shared" si="15"/>
        <v/>
      </c>
      <c r="H346" s="2" t="str">
        <f>IF(A346="","",IF(AND('Offset Inputs'!$B$5&gt;='Mortgage Inputs'!$B$5,'Mortgage Inputs'!$B$5&gt;0),'Offset Inputs'!$B$5-'Mortgage Inputs'!$B$5,D346+'Offset Inputs'!$B$6))</f>
        <v/>
      </c>
    </row>
    <row r="347" spans="1:8" ht="22" customHeight="1">
      <c r="A347" s="1" t="str">
        <f>IF(AND('Mortgage Inputs'!$B$12,341&lt;=IF('Mortgage Inputs'!$B$12,'Mortgage Inputs'!$B$7,0)*12+600,ISNUMBER(G346),G346&gt;0.005),341,"")</f>
        <v/>
      </c>
      <c r="B347" s="4" t="str">
        <f>IF(A347="","",DATE(YEAR('Mortgage Inputs'!$B$8),MONTH('Mortgage Inputs'!$B$8)+A347,DAY('Mortgage Inputs'!$B$8)))</f>
        <v/>
      </c>
      <c r="C347" s="2" t="str">
        <f t="shared" si="16"/>
        <v/>
      </c>
      <c r="D347" s="2" t="str">
        <f t="shared" si="17"/>
        <v/>
      </c>
      <c r="E347" s="2" t="str">
        <f>IF(A347="","",MAX(0,(C347-MIN(D347,C347))*'Mortgage Inputs'!$B$15))</f>
        <v/>
      </c>
      <c r="F347" s="2" t="str">
        <f>IF(A347="","",IF(AND('Offset Inputs'!$B$5&gt;='Mortgage Inputs'!$B$5,'Mortgage Inputs'!$B$5&gt;0),C347,MIN(C347,MAX(0,'Mortgage Inputs'!$B$17-E347))))</f>
        <v/>
      </c>
      <c r="G347" s="2" t="str">
        <f t="shared" si="15"/>
        <v/>
      </c>
      <c r="H347" s="2" t="str">
        <f>IF(A347="","",IF(AND('Offset Inputs'!$B$5&gt;='Mortgage Inputs'!$B$5,'Mortgage Inputs'!$B$5&gt;0),'Offset Inputs'!$B$5-'Mortgage Inputs'!$B$5,D347+'Offset Inputs'!$B$6))</f>
        <v/>
      </c>
    </row>
    <row r="348" spans="1:8" ht="22" customHeight="1">
      <c r="A348" s="1" t="str">
        <f>IF(AND('Mortgage Inputs'!$B$12,342&lt;=IF('Mortgage Inputs'!$B$12,'Mortgage Inputs'!$B$7,0)*12+600,ISNUMBER(G347),G347&gt;0.005),342,"")</f>
        <v/>
      </c>
      <c r="B348" s="4" t="str">
        <f>IF(A348="","",DATE(YEAR('Mortgage Inputs'!$B$8),MONTH('Mortgage Inputs'!$B$8)+A348,DAY('Mortgage Inputs'!$B$8)))</f>
        <v/>
      </c>
      <c r="C348" s="2" t="str">
        <f t="shared" si="16"/>
        <v/>
      </c>
      <c r="D348" s="2" t="str">
        <f t="shared" si="17"/>
        <v/>
      </c>
      <c r="E348" s="2" t="str">
        <f>IF(A348="","",MAX(0,(C348-MIN(D348,C348))*'Mortgage Inputs'!$B$15))</f>
        <v/>
      </c>
      <c r="F348" s="2" t="str">
        <f>IF(A348="","",IF(AND('Offset Inputs'!$B$5&gt;='Mortgage Inputs'!$B$5,'Mortgage Inputs'!$B$5&gt;0),C348,MIN(C348,MAX(0,'Mortgage Inputs'!$B$17-E348))))</f>
        <v/>
      </c>
      <c r="G348" s="2" t="str">
        <f t="shared" si="15"/>
        <v/>
      </c>
      <c r="H348" s="2" t="str">
        <f>IF(A348="","",IF(AND('Offset Inputs'!$B$5&gt;='Mortgage Inputs'!$B$5,'Mortgage Inputs'!$B$5&gt;0),'Offset Inputs'!$B$5-'Mortgage Inputs'!$B$5,D348+'Offset Inputs'!$B$6))</f>
        <v/>
      </c>
    </row>
    <row r="349" spans="1:8" ht="22" customHeight="1">
      <c r="A349" s="1" t="str">
        <f>IF(AND('Mortgage Inputs'!$B$12,343&lt;=IF('Mortgage Inputs'!$B$12,'Mortgage Inputs'!$B$7,0)*12+600,ISNUMBER(G348),G348&gt;0.005),343,"")</f>
        <v/>
      </c>
      <c r="B349" s="4" t="str">
        <f>IF(A349="","",DATE(YEAR('Mortgage Inputs'!$B$8),MONTH('Mortgage Inputs'!$B$8)+A349,DAY('Mortgage Inputs'!$B$8)))</f>
        <v/>
      </c>
      <c r="C349" s="2" t="str">
        <f t="shared" si="16"/>
        <v/>
      </c>
      <c r="D349" s="2" t="str">
        <f t="shared" si="17"/>
        <v/>
      </c>
      <c r="E349" s="2" t="str">
        <f>IF(A349="","",MAX(0,(C349-MIN(D349,C349))*'Mortgage Inputs'!$B$15))</f>
        <v/>
      </c>
      <c r="F349" s="2" t="str">
        <f>IF(A349="","",IF(AND('Offset Inputs'!$B$5&gt;='Mortgage Inputs'!$B$5,'Mortgage Inputs'!$B$5&gt;0),C349,MIN(C349,MAX(0,'Mortgage Inputs'!$B$17-E349))))</f>
        <v/>
      </c>
      <c r="G349" s="2" t="str">
        <f t="shared" si="15"/>
        <v/>
      </c>
      <c r="H349" s="2" t="str">
        <f>IF(A349="","",IF(AND('Offset Inputs'!$B$5&gt;='Mortgage Inputs'!$B$5,'Mortgage Inputs'!$B$5&gt;0),'Offset Inputs'!$B$5-'Mortgage Inputs'!$B$5,D349+'Offset Inputs'!$B$6))</f>
        <v/>
      </c>
    </row>
    <row r="350" spans="1:8" ht="22" customHeight="1">
      <c r="A350" s="1" t="str">
        <f>IF(AND('Mortgage Inputs'!$B$12,344&lt;=IF('Mortgage Inputs'!$B$12,'Mortgage Inputs'!$B$7,0)*12+600,ISNUMBER(G349),G349&gt;0.005),344,"")</f>
        <v/>
      </c>
      <c r="B350" s="4" t="str">
        <f>IF(A350="","",DATE(YEAR('Mortgage Inputs'!$B$8),MONTH('Mortgage Inputs'!$B$8)+A350,DAY('Mortgage Inputs'!$B$8)))</f>
        <v/>
      </c>
      <c r="C350" s="2" t="str">
        <f t="shared" si="16"/>
        <v/>
      </c>
      <c r="D350" s="2" t="str">
        <f t="shared" si="17"/>
        <v/>
      </c>
      <c r="E350" s="2" t="str">
        <f>IF(A350="","",MAX(0,(C350-MIN(D350,C350))*'Mortgage Inputs'!$B$15))</f>
        <v/>
      </c>
      <c r="F350" s="2" t="str">
        <f>IF(A350="","",IF(AND('Offset Inputs'!$B$5&gt;='Mortgage Inputs'!$B$5,'Mortgage Inputs'!$B$5&gt;0),C350,MIN(C350,MAX(0,'Mortgage Inputs'!$B$17-E350))))</f>
        <v/>
      </c>
      <c r="G350" s="2" t="str">
        <f t="shared" si="15"/>
        <v/>
      </c>
      <c r="H350" s="2" t="str">
        <f>IF(A350="","",IF(AND('Offset Inputs'!$B$5&gt;='Mortgage Inputs'!$B$5,'Mortgage Inputs'!$B$5&gt;0),'Offset Inputs'!$B$5-'Mortgage Inputs'!$B$5,D350+'Offset Inputs'!$B$6))</f>
        <v/>
      </c>
    </row>
    <row r="351" spans="1:8" ht="22" customHeight="1">
      <c r="A351" s="1" t="str">
        <f>IF(AND('Mortgage Inputs'!$B$12,345&lt;=IF('Mortgage Inputs'!$B$12,'Mortgage Inputs'!$B$7,0)*12+600,ISNUMBER(G350),G350&gt;0.005),345,"")</f>
        <v/>
      </c>
      <c r="B351" s="4" t="str">
        <f>IF(A351="","",DATE(YEAR('Mortgage Inputs'!$B$8),MONTH('Mortgage Inputs'!$B$8)+A351,DAY('Mortgage Inputs'!$B$8)))</f>
        <v/>
      </c>
      <c r="C351" s="2" t="str">
        <f t="shared" si="16"/>
        <v/>
      </c>
      <c r="D351" s="2" t="str">
        <f t="shared" si="17"/>
        <v/>
      </c>
      <c r="E351" s="2" t="str">
        <f>IF(A351="","",MAX(0,(C351-MIN(D351,C351))*'Mortgage Inputs'!$B$15))</f>
        <v/>
      </c>
      <c r="F351" s="2" t="str">
        <f>IF(A351="","",IF(AND('Offset Inputs'!$B$5&gt;='Mortgage Inputs'!$B$5,'Mortgage Inputs'!$B$5&gt;0),C351,MIN(C351,MAX(0,'Mortgage Inputs'!$B$17-E351))))</f>
        <v/>
      </c>
      <c r="G351" s="2" t="str">
        <f t="shared" si="15"/>
        <v/>
      </c>
      <c r="H351" s="2" t="str">
        <f>IF(A351="","",IF(AND('Offset Inputs'!$B$5&gt;='Mortgage Inputs'!$B$5,'Mortgage Inputs'!$B$5&gt;0),'Offset Inputs'!$B$5-'Mortgage Inputs'!$B$5,D351+'Offset Inputs'!$B$6))</f>
        <v/>
      </c>
    </row>
    <row r="352" spans="1:8" ht="22" customHeight="1">
      <c r="A352" s="1" t="str">
        <f>IF(AND('Mortgage Inputs'!$B$12,346&lt;=IF('Mortgage Inputs'!$B$12,'Mortgage Inputs'!$B$7,0)*12+600,ISNUMBER(G351),G351&gt;0.005),346,"")</f>
        <v/>
      </c>
      <c r="B352" s="4" t="str">
        <f>IF(A352="","",DATE(YEAR('Mortgage Inputs'!$B$8),MONTH('Mortgage Inputs'!$B$8)+A352,DAY('Mortgage Inputs'!$B$8)))</f>
        <v/>
      </c>
      <c r="C352" s="2" t="str">
        <f t="shared" si="16"/>
        <v/>
      </c>
      <c r="D352" s="2" t="str">
        <f t="shared" si="17"/>
        <v/>
      </c>
      <c r="E352" s="2" t="str">
        <f>IF(A352="","",MAX(0,(C352-MIN(D352,C352))*'Mortgage Inputs'!$B$15))</f>
        <v/>
      </c>
      <c r="F352" s="2" t="str">
        <f>IF(A352="","",IF(AND('Offset Inputs'!$B$5&gt;='Mortgage Inputs'!$B$5,'Mortgage Inputs'!$B$5&gt;0),C352,MIN(C352,MAX(0,'Mortgage Inputs'!$B$17-E352))))</f>
        <v/>
      </c>
      <c r="G352" s="2" t="str">
        <f t="shared" si="15"/>
        <v/>
      </c>
      <c r="H352" s="2" t="str">
        <f>IF(A352="","",IF(AND('Offset Inputs'!$B$5&gt;='Mortgage Inputs'!$B$5,'Mortgage Inputs'!$B$5&gt;0),'Offset Inputs'!$B$5-'Mortgage Inputs'!$B$5,D352+'Offset Inputs'!$B$6))</f>
        <v/>
      </c>
    </row>
    <row r="353" spans="1:8" ht="22" customHeight="1">
      <c r="A353" s="1" t="str">
        <f>IF(AND('Mortgage Inputs'!$B$12,347&lt;=IF('Mortgage Inputs'!$B$12,'Mortgage Inputs'!$B$7,0)*12+600,ISNUMBER(G352),G352&gt;0.005),347,"")</f>
        <v/>
      </c>
      <c r="B353" s="4" t="str">
        <f>IF(A353="","",DATE(YEAR('Mortgage Inputs'!$B$8),MONTH('Mortgage Inputs'!$B$8)+A353,DAY('Mortgage Inputs'!$B$8)))</f>
        <v/>
      </c>
      <c r="C353" s="2" t="str">
        <f t="shared" si="16"/>
        <v/>
      </c>
      <c r="D353" s="2" t="str">
        <f t="shared" si="17"/>
        <v/>
      </c>
      <c r="E353" s="2" t="str">
        <f>IF(A353="","",MAX(0,(C353-MIN(D353,C353))*'Mortgage Inputs'!$B$15))</f>
        <v/>
      </c>
      <c r="F353" s="2" t="str">
        <f>IF(A353="","",IF(AND('Offset Inputs'!$B$5&gt;='Mortgage Inputs'!$B$5,'Mortgage Inputs'!$B$5&gt;0),C353,MIN(C353,MAX(0,'Mortgage Inputs'!$B$17-E353))))</f>
        <v/>
      </c>
      <c r="G353" s="2" t="str">
        <f t="shared" si="15"/>
        <v/>
      </c>
      <c r="H353" s="2" t="str">
        <f>IF(A353="","",IF(AND('Offset Inputs'!$B$5&gt;='Mortgage Inputs'!$B$5,'Mortgage Inputs'!$B$5&gt;0),'Offset Inputs'!$B$5-'Mortgage Inputs'!$B$5,D353+'Offset Inputs'!$B$6))</f>
        <v/>
      </c>
    </row>
    <row r="354" spans="1:8" ht="22" customHeight="1">
      <c r="A354" s="1" t="str">
        <f>IF(AND('Mortgage Inputs'!$B$12,348&lt;=IF('Mortgage Inputs'!$B$12,'Mortgage Inputs'!$B$7,0)*12+600,ISNUMBER(G353),G353&gt;0.005),348,"")</f>
        <v/>
      </c>
      <c r="B354" s="4" t="str">
        <f>IF(A354="","",DATE(YEAR('Mortgage Inputs'!$B$8),MONTH('Mortgage Inputs'!$B$8)+A354,DAY('Mortgage Inputs'!$B$8)))</f>
        <v/>
      </c>
      <c r="C354" s="2" t="str">
        <f t="shared" si="16"/>
        <v/>
      </c>
      <c r="D354" s="2" t="str">
        <f t="shared" si="17"/>
        <v/>
      </c>
      <c r="E354" s="2" t="str">
        <f>IF(A354="","",MAX(0,(C354-MIN(D354,C354))*'Mortgage Inputs'!$B$15))</f>
        <v/>
      </c>
      <c r="F354" s="2" t="str">
        <f>IF(A354="","",IF(AND('Offset Inputs'!$B$5&gt;='Mortgage Inputs'!$B$5,'Mortgage Inputs'!$B$5&gt;0),C354,MIN(C354,MAX(0,'Mortgage Inputs'!$B$17-E354))))</f>
        <v/>
      </c>
      <c r="G354" s="2" t="str">
        <f t="shared" si="15"/>
        <v/>
      </c>
      <c r="H354" s="2" t="str">
        <f>IF(A354="","",IF(AND('Offset Inputs'!$B$5&gt;='Mortgage Inputs'!$B$5,'Mortgage Inputs'!$B$5&gt;0),'Offset Inputs'!$B$5-'Mortgage Inputs'!$B$5,D354+'Offset Inputs'!$B$6))</f>
        <v/>
      </c>
    </row>
    <row r="355" spans="1:8" ht="22" customHeight="1">
      <c r="A355" s="1" t="str">
        <f>IF(AND('Mortgage Inputs'!$B$12,349&lt;=IF('Mortgage Inputs'!$B$12,'Mortgage Inputs'!$B$7,0)*12+600,ISNUMBER(G354),G354&gt;0.005),349,"")</f>
        <v/>
      </c>
      <c r="B355" s="4" t="str">
        <f>IF(A355="","",DATE(YEAR('Mortgage Inputs'!$B$8),MONTH('Mortgage Inputs'!$B$8)+A355,DAY('Mortgage Inputs'!$B$8)))</f>
        <v/>
      </c>
      <c r="C355" s="2" t="str">
        <f t="shared" si="16"/>
        <v/>
      </c>
      <c r="D355" s="2" t="str">
        <f t="shared" si="17"/>
        <v/>
      </c>
      <c r="E355" s="2" t="str">
        <f>IF(A355="","",MAX(0,(C355-MIN(D355,C355))*'Mortgage Inputs'!$B$15))</f>
        <v/>
      </c>
      <c r="F355" s="2" t="str">
        <f>IF(A355="","",IF(AND('Offset Inputs'!$B$5&gt;='Mortgage Inputs'!$B$5,'Mortgage Inputs'!$B$5&gt;0),C355,MIN(C355,MAX(0,'Mortgage Inputs'!$B$17-E355))))</f>
        <v/>
      </c>
      <c r="G355" s="2" t="str">
        <f t="shared" si="15"/>
        <v/>
      </c>
      <c r="H355" s="2" t="str">
        <f>IF(A355="","",IF(AND('Offset Inputs'!$B$5&gt;='Mortgage Inputs'!$B$5,'Mortgage Inputs'!$B$5&gt;0),'Offset Inputs'!$B$5-'Mortgage Inputs'!$B$5,D355+'Offset Inputs'!$B$6))</f>
        <v/>
      </c>
    </row>
    <row r="356" spans="1:8" ht="22" customHeight="1">
      <c r="A356" s="1" t="str">
        <f>IF(AND('Mortgage Inputs'!$B$12,350&lt;=IF('Mortgage Inputs'!$B$12,'Mortgage Inputs'!$B$7,0)*12+600,ISNUMBER(G355),G355&gt;0.005),350,"")</f>
        <v/>
      </c>
      <c r="B356" s="4" t="str">
        <f>IF(A356="","",DATE(YEAR('Mortgage Inputs'!$B$8),MONTH('Mortgage Inputs'!$B$8)+A356,DAY('Mortgage Inputs'!$B$8)))</f>
        <v/>
      </c>
      <c r="C356" s="2" t="str">
        <f t="shared" si="16"/>
        <v/>
      </c>
      <c r="D356" s="2" t="str">
        <f t="shared" si="17"/>
        <v/>
      </c>
      <c r="E356" s="2" t="str">
        <f>IF(A356="","",MAX(0,(C356-MIN(D356,C356))*'Mortgage Inputs'!$B$15))</f>
        <v/>
      </c>
      <c r="F356" s="2" t="str">
        <f>IF(A356="","",IF(AND('Offset Inputs'!$B$5&gt;='Mortgage Inputs'!$B$5,'Mortgage Inputs'!$B$5&gt;0),C356,MIN(C356,MAX(0,'Mortgage Inputs'!$B$17-E356))))</f>
        <v/>
      </c>
      <c r="G356" s="2" t="str">
        <f t="shared" si="15"/>
        <v/>
      </c>
      <c r="H356" s="2" t="str">
        <f>IF(A356="","",IF(AND('Offset Inputs'!$B$5&gt;='Mortgage Inputs'!$B$5,'Mortgage Inputs'!$B$5&gt;0),'Offset Inputs'!$B$5-'Mortgage Inputs'!$B$5,D356+'Offset Inputs'!$B$6))</f>
        <v/>
      </c>
    </row>
    <row r="357" spans="1:8" ht="22" customHeight="1">
      <c r="A357" s="1" t="str">
        <f>IF(AND('Mortgage Inputs'!$B$12,351&lt;=IF('Mortgage Inputs'!$B$12,'Mortgage Inputs'!$B$7,0)*12+600,ISNUMBER(G356),G356&gt;0.005),351,"")</f>
        <v/>
      </c>
      <c r="B357" s="4" t="str">
        <f>IF(A357="","",DATE(YEAR('Mortgage Inputs'!$B$8),MONTH('Mortgage Inputs'!$B$8)+A357,DAY('Mortgage Inputs'!$B$8)))</f>
        <v/>
      </c>
      <c r="C357" s="2" t="str">
        <f t="shared" si="16"/>
        <v/>
      </c>
      <c r="D357" s="2" t="str">
        <f t="shared" si="17"/>
        <v/>
      </c>
      <c r="E357" s="2" t="str">
        <f>IF(A357="","",MAX(0,(C357-MIN(D357,C357))*'Mortgage Inputs'!$B$15))</f>
        <v/>
      </c>
      <c r="F357" s="2" t="str">
        <f>IF(A357="","",IF(AND('Offset Inputs'!$B$5&gt;='Mortgage Inputs'!$B$5,'Mortgage Inputs'!$B$5&gt;0),C357,MIN(C357,MAX(0,'Mortgage Inputs'!$B$17-E357))))</f>
        <v/>
      </c>
      <c r="G357" s="2" t="str">
        <f t="shared" si="15"/>
        <v/>
      </c>
      <c r="H357" s="2" t="str">
        <f>IF(A357="","",IF(AND('Offset Inputs'!$B$5&gt;='Mortgage Inputs'!$B$5,'Mortgage Inputs'!$B$5&gt;0),'Offset Inputs'!$B$5-'Mortgage Inputs'!$B$5,D357+'Offset Inputs'!$B$6))</f>
        <v/>
      </c>
    </row>
    <row r="358" spans="1:8" ht="22" customHeight="1">
      <c r="A358" s="1" t="str">
        <f>IF(AND('Mortgage Inputs'!$B$12,352&lt;=IF('Mortgage Inputs'!$B$12,'Mortgage Inputs'!$B$7,0)*12+600,ISNUMBER(G357),G357&gt;0.005),352,"")</f>
        <v/>
      </c>
      <c r="B358" s="4" t="str">
        <f>IF(A358="","",DATE(YEAR('Mortgage Inputs'!$B$8),MONTH('Mortgage Inputs'!$B$8)+A358,DAY('Mortgage Inputs'!$B$8)))</f>
        <v/>
      </c>
      <c r="C358" s="2" t="str">
        <f t="shared" si="16"/>
        <v/>
      </c>
      <c r="D358" s="2" t="str">
        <f t="shared" si="17"/>
        <v/>
      </c>
      <c r="E358" s="2" t="str">
        <f>IF(A358="","",MAX(0,(C358-MIN(D358,C358))*'Mortgage Inputs'!$B$15))</f>
        <v/>
      </c>
      <c r="F358" s="2" t="str">
        <f>IF(A358="","",IF(AND('Offset Inputs'!$B$5&gt;='Mortgage Inputs'!$B$5,'Mortgage Inputs'!$B$5&gt;0),C358,MIN(C358,MAX(0,'Mortgage Inputs'!$B$17-E358))))</f>
        <v/>
      </c>
      <c r="G358" s="2" t="str">
        <f t="shared" si="15"/>
        <v/>
      </c>
      <c r="H358" s="2" t="str">
        <f>IF(A358="","",IF(AND('Offset Inputs'!$B$5&gt;='Mortgage Inputs'!$B$5,'Mortgage Inputs'!$B$5&gt;0),'Offset Inputs'!$B$5-'Mortgage Inputs'!$B$5,D358+'Offset Inputs'!$B$6))</f>
        <v/>
      </c>
    </row>
    <row r="359" spans="1:8" ht="22" customHeight="1">
      <c r="A359" s="1" t="str">
        <f>IF(AND('Mortgage Inputs'!$B$12,353&lt;=IF('Mortgage Inputs'!$B$12,'Mortgage Inputs'!$B$7,0)*12+600,ISNUMBER(G358),G358&gt;0.005),353,"")</f>
        <v/>
      </c>
      <c r="B359" s="4" t="str">
        <f>IF(A359="","",DATE(YEAR('Mortgage Inputs'!$B$8),MONTH('Mortgage Inputs'!$B$8)+A359,DAY('Mortgage Inputs'!$B$8)))</f>
        <v/>
      </c>
      <c r="C359" s="2" t="str">
        <f t="shared" si="16"/>
        <v/>
      </c>
      <c r="D359" s="2" t="str">
        <f t="shared" si="17"/>
        <v/>
      </c>
      <c r="E359" s="2" t="str">
        <f>IF(A359="","",MAX(0,(C359-MIN(D359,C359))*'Mortgage Inputs'!$B$15))</f>
        <v/>
      </c>
      <c r="F359" s="2" t="str">
        <f>IF(A359="","",IF(AND('Offset Inputs'!$B$5&gt;='Mortgage Inputs'!$B$5,'Mortgage Inputs'!$B$5&gt;0),C359,MIN(C359,MAX(0,'Mortgage Inputs'!$B$17-E359))))</f>
        <v/>
      </c>
      <c r="G359" s="2" t="str">
        <f t="shared" si="15"/>
        <v/>
      </c>
      <c r="H359" s="2" t="str">
        <f>IF(A359="","",IF(AND('Offset Inputs'!$B$5&gt;='Mortgage Inputs'!$B$5,'Mortgage Inputs'!$B$5&gt;0),'Offset Inputs'!$B$5-'Mortgage Inputs'!$B$5,D359+'Offset Inputs'!$B$6))</f>
        <v/>
      </c>
    </row>
    <row r="360" spans="1:8" ht="22" customHeight="1">
      <c r="A360" s="1" t="str">
        <f>IF(AND('Mortgage Inputs'!$B$12,354&lt;=IF('Mortgage Inputs'!$B$12,'Mortgage Inputs'!$B$7,0)*12+600,ISNUMBER(G359),G359&gt;0.005),354,"")</f>
        <v/>
      </c>
      <c r="B360" s="4" t="str">
        <f>IF(A360="","",DATE(YEAR('Mortgage Inputs'!$B$8),MONTH('Mortgage Inputs'!$B$8)+A360,DAY('Mortgage Inputs'!$B$8)))</f>
        <v/>
      </c>
      <c r="C360" s="2" t="str">
        <f t="shared" si="16"/>
        <v/>
      </c>
      <c r="D360" s="2" t="str">
        <f t="shared" si="17"/>
        <v/>
      </c>
      <c r="E360" s="2" t="str">
        <f>IF(A360="","",MAX(0,(C360-MIN(D360,C360))*'Mortgage Inputs'!$B$15))</f>
        <v/>
      </c>
      <c r="F360" s="2" t="str">
        <f>IF(A360="","",IF(AND('Offset Inputs'!$B$5&gt;='Mortgage Inputs'!$B$5,'Mortgage Inputs'!$B$5&gt;0),C360,MIN(C360,MAX(0,'Mortgage Inputs'!$B$17-E360))))</f>
        <v/>
      </c>
      <c r="G360" s="2" t="str">
        <f t="shared" si="15"/>
        <v/>
      </c>
      <c r="H360" s="2" t="str">
        <f>IF(A360="","",IF(AND('Offset Inputs'!$B$5&gt;='Mortgage Inputs'!$B$5,'Mortgage Inputs'!$B$5&gt;0),'Offset Inputs'!$B$5-'Mortgage Inputs'!$B$5,D360+'Offset Inputs'!$B$6))</f>
        <v/>
      </c>
    </row>
    <row r="361" spans="1:8" ht="22" customHeight="1">
      <c r="A361" s="1" t="str">
        <f>IF(AND('Mortgage Inputs'!$B$12,355&lt;=IF('Mortgage Inputs'!$B$12,'Mortgage Inputs'!$B$7,0)*12+600,ISNUMBER(G360),G360&gt;0.005),355,"")</f>
        <v/>
      </c>
      <c r="B361" s="4" t="str">
        <f>IF(A361="","",DATE(YEAR('Mortgage Inputs'!$B$8),MONTH('Mortgage Inputs'!$B$8)+A361,DAY('Mortgage Inputs'!$B$8)))</f>
        <v/>
      </c>
      <c r="C361" s="2" t="str">
        <f t="shared" si="16"/>
        <v/>
      </c>
      <c r="D361" s="2" t="str">
        <f t="shared" si="17"/>
        <v/>
      </c>
      <c r="E361" s="2" t="str">
        <f>IF(A361="","",MAX(0,(C361-MIN(D361,C361))*'Mortgage Inputs'!$B$15))</f>
        <v/>
      </c>
      <c r="F361" s="2" t="str">
        <f>IF(A361="","",IF(AND('Offset Inputs'!$B$5&gt;='Mortgage Inputs'!$B$5,'Mortgage Inputs'!$B$5&gt;0),C361,MIN(C361,MAX(0,'Mortgage Inputs'!$B$17-E361))))</f>
        <v/>
      </c>
      <c r="G361" s="2" t="str">
        <f t="shared" si="15"/>
        <v/>
      </c>
      <c r="H361" s="2" t="str">
        <f>IF(A361="","",IF(AND('Offset Inputs'!$B$5&gt;='Mortgage Inputs'!$B$5,'Mortgage Inputs'!$B$5&gt;0),'Offset Inputs'!$B$5-'Mortgage Inputs'!$B$5,D361+'Offset Inputs'!$B$6))</f>
        <v/>
      </c>
    </row>
    <row r="362" spans="1:8" ht="22" customHeight="1">
      <c r="A362" s="1" t="str">
        <f>IF(AND('Mortgage Inputs'!$B$12,356&lt;=IF('Mortgage Inputs'!$B$12,'Mortgage Inputs'!$B$7,0)*12+600,ISNUMBER(G361),G361&gt;0.005),356,"")</f>
        <v/>
      </c>
      <c r="B362" s="4" t="str">
        <f>IF(A362="","",DATE(YEAR('Mortgage Inputs'!$B$8),MONTH('Mortgage Inputs'!$B$8)+A362,DAY('Mortgage Inputs'!$B$8)))</f>
        <v/>
      </c>
      <c r="C362" s="2" t="str">
        <f t="shared" si="16"/>
        <v/>
      </c>
      <c r="D362" s="2" t="str">
        <f t="shared" si="17"/>
        <v/>
      </c>
      <c r="E362" s="2" t="str">
        <f>IF(A362="","",MAX(0,(C362-MIN(D362,C362))*'Mortgage Inputs'!$B$15))</f>
        <v/>
      </c>
      <c r="F362" s="2" t="str">
        <f>IF(A362="","",IF(AND('Offset Inputs'!$B$5&gt;='Mortgage Inputs'!$B$5,'Mortgage Inputs'!$B$5&gt;0),C362,MIN(C362,MAX(0,'Mortgage Inputs'!$B$17-E362))))</f>
        <v/>
      </c>
      <c r="G362" s="2" t="str">
        <f t="shared" si="15"/>
        <v/>
      </c>
      <c r="H362" s="2" t="str">
        <f>IF(A362="","",IF(AND('Offset Inputs'!$B$5&gt;='Mortgage Inputs'!$B$5,'Mortgage Inputs'!$B$5&gt;0),'Offset Inputs'!$B$5-'Mortgage Inputs'!$B$5,D362+'Offset Inputs'!$B$6))</f>
        <v/>
      </c>
    </row>
    <row r="363" spans="1:8" ht="22" customHeight="1">
      <c r="A363" s="1" t="str">
        <f>IF(AND('Mortgage Inputs'!$B$12,357&lt;=IF('Mortgage Inputs'!$B$12,'Mortgage Inputs'!$B$7,0)*12+600,ISNUMBER(G362),G362&gt;0.005),357,"")</f>
        <v/>
      </c>
      <c r="B363" s="4" t="str">
        <f>IF(A363="","",DATE(YEAR('Mortgage Inputs'!$B$8),MONTH('Mortgage Inputs'!$B$8)+A363,DAY('Mortgage Inputs'!$B$8)))</f>
        <v/>
      </c>
      <c r="C363" s="2" t="str">
        <f t="shared" si="16"/>
        <v/>
      </c>
      <c r="D363" s="2" t="str">
        <f t="shared" si="17"/>
        <v/>
      </c>
      <c r="E363" s="2" t="str">
        <f>IF(A363="","",MAX(0,(C363-MIN(D363,C363))*'Mortgage Inputs'!$B$15))</f>
        <v/>
      </c>
      <c r="F363" s="2" t="str">
        <f>IF(A363="","",IF(AND('Offset Inputs'!$B$5&gt;='Mortgage Inputs'!$B$5,'Mortgage Inputs'!$B$5&gt;0),C363,MIN(C363,MAX(0,'Mortgage Inputs'!$B$17-E363))))</f>
        <v/>
      </c>
      <c r="G363" s="2" t="str">
        <f t="shared" si="15"/>
        <v/>
      </c>
      <c r="H363" s="2" t="str">
        <f>IF(A363="","",IF(AND('Offset Inputs'!$B$5&gt;='Mortgage Inputs'!$B$5,'Mortgage Inputs'!$B$5&gt;0),'Offset Inputs'!$B$5-'Mortgage Inputs'!$B$5,D363+'Offset Inputs'!$B$6))</f>
        <v/>
      </c>
    </row>
    <row r="364" spans="1:8" ht="22" customHeight="1">
      <c r="A364" s="1" t="str">
        <f>IF(AND('Mortgage Inputs'!$B$12,358&lt;=IF('Mortgage Inputs'!$B$12,'Mortgage Inputs'!$B$7,0)*12+600,ISNUMBER(G363),G363&gt;0.005),358,"")</f>
        <v/>
      </c>
      <c r="B364" s="4" t="str">
        <f>IF(A364="","",DATE(YEAR('Mortgage Inputs'!$B$8),MONTH('Mortgage Inputs'!$B$8)+A364,DAY('Mortgage Inputs'!$B$8)))</f>
        <v/>
      </c>
      <c r="C364" s="2" t="str">
        <f t="shared" si="16"/>
        <v/>
      </c>
      <c r="D364" s="2" t="str">
        <f t="shared" si="17"/>
        <v/>
      </c>
      <c r="E364" s="2" t="str">
        <f>IF(A364="","",MAX(0,(C364-MIN(D364,C364))*'Mortgage Inputs'!$B$15))</f>
        <v/>
      </c>
      <c r="F364" s="2" t="str">
        <f>IF(A364="","",IF(AND('Offset Inputs'!$B$5&gt;='Mortgage Inputs'!$B$5,'Mortgage Inputs'!$B$5&gt;0),C364,MIN(C364,MAX(0,'Mortgage Inputs'!$B$17-E364))))</f>
        <v/>
      </c>
      <c r="G364" s="2" t="str">
        <f t="shared" si="15"/>
        <v/>
      </c>
      <c r="H364" s="2" t="str">
        <f>IF(A364="","",IF(AND('Offset Inputs'!$B$5&gt;='Mortgage Inputs'!$B$5,'Mortgage Inputs'!$B$5&gt;0),'Offset Inputs'!$B$5-'Mortgage Inputs'!$B$5,D364+'Offset Inputs'!$B$6))</f>
        <v/>
      </c>
    </row>
    <row r="365" spans="1:8" ht="22" customHeight="1">
      <c r="A365" s="1" t="str">
        <f>IF(AND('Mortgage Inputs'!$B$12,359&lt;=IF('Mortgage Inputs'!$B$12,'Mortgage Inputs'!$B$7,0)*12+600,ISNUMBER(G364),G364&gt;0.005),359,"")</f>
        <v/>
      </c>
      <c r="B365" s="4" t="str">
        <f>IF(A365="","",DATE(YEAR('Mortgage Inputs'!$B$8),MONTH('Mortgage Inputs'!$B$8)+A365,DAY('Mortgage Inputs'!$B$8)))</f>
        <v/>
      </c>
      <c r="C365" s="2" t="str">
        <f t="shared" si="16"/>
        <v/>
      </c>
      <c r="D365" s="2" t="str">
        <f t="shared" si="17"/>
        <v/>
      </c>
      <c r="E365" s="2" t="str">
        <f>IF(A365="","",MAX(0,(C365-MIN(D365,C365))*'Mortgage Inputs'!$B$15))</f>
        <v/>
      </c>
      <c r="F365" s="2" t="str">
        <f>IF(A365="","",IF(AND('Offset Inputs'!$B$5&gt;='Mortgage Inputs'!$B$5,'Mortgage Inputs'!$B$5&gt;0),C365,MIN(C365,MAX(0,'Mortgage Inputs'!$B$17-E365))))</f>
        <v/>
      </c>
      <c r="G365" s="2" t="str">
        <f t="shared" si="15"/>
        <v/>
      </c>
      <c r="H365" s="2" t="str">
        <f>IF(A365="","",IF(AND('Offset Inputs'!$B$5&gt;='Mortgage Inputs'!$B$5,'Mortgage Inputs'!$B$5&gt;0),'Offset Inputs'!$B$5-'Mortgage Inputs'!$B$5,D365+'Offset Inputs'!$B$6))</f>
        <v/>
      </c>
    </row>
    <row r="366" spans="1:8" ht="22" customHeight="1">
      <c r="A366" s="1" t="str">
        <f>IF(AND('Mortgage Inputs'!$B$12,360&lt;=IF('Mortgage Inputs'!$B$12,'Mortgage Inputs'!$B$7,0)*12+600,ISNUMBER(G365),G365&gt;0.005),360,"")</f>
        <v/>
      </c>
      <c r="B366" s="4" t="str">
        <f>IF(A366="","",DATE(YEAR('Mortgage Inputs'!$B$8),MONTH('Mortgage Inputs'!$B$8)+A366,DAY('Mortgage Inputs'!$B$8)))</f>
        <v/>
      </c>
      <c r="C366" s="2" t="str">
        <f t="shared" si="16"/>
        <v/>
      </c>
      <c r="D366" s="2" t="str">
        <f t="shared" si="17"/>
        <v/>
      </c>
      <c r="E366" s="2" t="str">
        <f>IF(A366="","",MAX(0,(C366-MIN(D366,C366))*'Mortgage Inputs'!$B$15))</f>
        <v/>
      </c>
      <c r="F366" s="2" t="str">
        <f>IF(A366="","",IF(AND('Offset Inputs'!$B$5&gt;='Mortgage Inputs'!$B$5,'Mortgage Inputs'!$B$5&gt;0),C366,MIN(C366,MAX(0,'Mortgage Inputs'!$B$17-E366))))</f>
        <v/>
      </c>
      <c r="G366" s="2" t="str">
        <f t="shared" si="15"/>
        <v/>
      </c>
      <c r="H366" s="2" t="str">
        <f>IF(A366="","",IF(AND('Offset Inputs'!$B$5&gt;='Mortgage Inputs'!$B$5,'Mortgage Inputs'!$B$5&gt;0),'Offset Inputs'!$B$5-'Mortgage Inputs'!$B$5,D366+'Offset Inputs'!$B$6))</f>
        <v/>
      </c>
    </row>
    <row r="367" spans="1:8" ht="22" customHeight="1">
      <c r="A367" s="1" t="str">
        <f>IF(AND('Mortgage Inputs'!$B$12,361&lt;=IF('Mortgage Inputs'!$B$12,'Mortgage Inputs'!$B$7,0)*12+600,ISNUMBER(G366),G366&gt;0.005),361,"")</f>
        <v/>
      </c>
      <c r="B367" s="4" t="str">
        <f>IF(A367="","",DATE(YEAR('Mortgage Inputs'!$B$8),MONTH('Mortgage Inputs'!$B$8)+A367,DAY('Mortgage Inputs'!$B$8)))</f>
        <v/>
      </c>
      <c r="C367" s="2" t="str">
        <f t="shared" si="16"/>
        <v/>
      </c>
      <c r="D367" s="2" t="str">
        <f t="shared" si="17"/>
        <v/>
      </c>
      <c r="E367" s="2" t="str">
        <f>IF(A367="","",MAX(0,(C367-MIN(D367,C367))*'Mortgage Inputs'!$B$15))</f>
        <v/>
      </c>
      <c r="F367" s="2" t="str">
        <f>IF(A367="","",IF(AND('Offset Inputs'!$B$5&gt;='Mortgage Inputs'!$B$5,'Mortgage Inputs'!$B$5&gt;0),C367,MIN(C367,MAX(0,'Mortgage Inputs'!$B$17-E367))))</f>
        <v/>
      </c>
      <c r="G367" s="2" t="str">
        <f t="shared" si="15"/>
        <v/>
      </c>
      <c r="H367" s="2" t="str">
        <f>IF(A367="","",IF(AND('Offset Inputs'!$B$5&gt;='Mortgage Inputs'!$B$5,'Mortgage Inputs'!$B$5&gt;0),'Offset Inputs'!$B$5-'Mortgage Inputs'!$B$5,D367+'Offset Inputs'!$B$6))</f>
        <v/>
      </c>
    </row>
    <row r="368" spans="1:8" ht="22" customHeight="1">
      <c r="A368" s="1" t="str">
        <f>IF(AND('Mortgage Inputs'!$B$12,362&lt;=IF('Mortgage Inputs'!$B$12,'Mortgage Inputs'!$B$7,0)*12+600,ISNUMBER(G367),G367&gt;0.005),362,"")</f>
        <v/>
      </c>
      <c r="B368" s="4" t="str">
        <f>IF(A368="","",DATE(YEAR('Mortgage Inputs'!$B$8),MONTH('Mortgage Inputs'!$B$8)+A368,DAY('Mortgage Inputs'!$B$8)))</f>
        <v/>
      </c>
      <c r="C368" s="2" t="str">
        <f t="shared" si="16"/>
        <v/>
      </c>
      <c r="D368" s="2" t="str">
        <f t="shared" si="17"/>
        <v/>
      </c>
      <c r="E368" s="2" t="str">
        <f>IF(A368="","",MAX(0,(C368-MIN(D368,C368))*'Mortgage Inputs'!$B$15))</f>
        <v/>
      </c>
      <c r="F368" s="2" t="str">
        <f>IF(A368="","",IF(AND('Offset Inputs'!$B$5&gt;='Mortgage Inputs'!$B$5,'Mortgage Inputs'!$B$5&gt;0),C368,MIN(C368,MAX(0,'Mortgage Inputs'!$B$17-E368))))</f>
        <v/>
      </c>
      <c r="G368" s="2" t="str">
        <f t="shared" si="15"/>
        <v/>
      </c>
      <c r="H368" s="2" t="str">
        <f>IF(A368="","",IF(AND('Offset Inputs'!$B$5&gt;='Mortgage Inputs'!$B$5,'Mortgage Inputs'!$B$5&gt;0),'Offset Inputs'!$B$5-'Mortgage Inputs'!$B$5,D368+'Offset Inputs'!$B$6))</f>
        <v/>
      </c>
    </row>
    <row r="369" spans="1:8" ht="22" customHeight="1">
      <c r="A369" s="1" t="str">
        <f>IF(AND('Mortgage Inputs'!$B$12,363&lt;=IF('Mortgage Inputs'!$B$12,'Mortgage Inputs'!$B$7,0)*12+600,ISNUMBER(G368),G368&gt;0.005),363,"")</f>
        <v/>
      </c>
      <c r="B369" s="4" t="str">
        <f>IF(A369="","",DATE(YEAR('Mortgage Inputs'!$B$8),MONTH('Mortgage Inputs'!$B$8)+A369,DAY('Mortgage Inputs'!$B$8)))</f>
        <v/>
      </c>
      <c r="C369" s="2" t="str">
        <f t="shared" si="16"/>
        <v/>
      </c>
      <c r="D369" s="2" t="str">
        <f t="shared" si="17"/>
        <v/>
      </c>
      <c r="E369" s="2" t="str">
        <f>IF(A369="","",MAX(0,(C369-MIN(D369,C369))*'Mortgage Inputs'!$B$15))</f>
        <v/>
      </c>
      <c r="F369" s="2" t="str">
        <f>IF(A369="","",IF(AND('Offset Inputs'!$B$5&gt;='Mortgage Inputs'!$B$5,'Mortgage Inputs'!$B$5&gt;0),C369,MIN(C369,MAX(0,'Mortgage Inputs'!$B$17-E369))))</f>
        <v/>
      </c>
      <c r="G369" s="2" t="str">
        <f t="shared" si="15"/>
        <v/>
      </c>
      <c r="H369" s="2" t="str">
        <f>IF(A369="","",IF(AND('Offset Inputs'!$B$5&gt;='Mortgage Inputs'!$B$5,'Mortgage Inputs'!$B$5&gt;0),'Offset Inputs'!$B$5-'Mortgage Inputs'!$B$5,D369+'Offset Inputs'!$B$6))</f>
        <v/>
      </c>
    </row>
    <row r="370" spans="1:8" ht="22" customHeight="1">
      <c r="A370" s="1" t="str">
        <f>IF(AND('Mortgage Inputs'!$B$12,364&lt;=IF('Mortgage Inputs'!$B$12,'Mortgage Inputs'!$B$7,0)*12+600,ISNUMBER(G369),G369&gt;0.005),364,"")</f>
        <v/>
      </c>
      <c r="B370" s="4" t="str">
        <f>IF(A370="","",DATE(YEAR('Mortgage Inputs'!$B$8),MONTH('Mortgage Inputs'!$B$8)+A370,DAY('Mortgage Inputs'!$B$8)))</f>
        <v/>
      </c>
      <c r="C370" s="2" t="str">
        <f t="shared" si="16"/>
        <v/>
      </c>
      <c r="D370" s="2" t="str">
        <f t="shared" si="17"/>
        <v/>
      </c>
      <c r="E370" s="2" t="str">
        <f>IF(A370="","",MAX(0,(C370-MIN(D370,C370))*'Mortgage Inputs'!$B$15))</f>
        <v/>
      </c>
      <c r="F370" s="2" t="str">
        <f>IF(A370="","",IF(AND('Offset Inputs'!$B$5&gt;='Mortgage Inputs'!$B$5,'Mortgage Inputs'!$B$5&gt;0),C370,MIN(C370,MAX(0,'Mortgage Inputs'!$B$17-E370))))</f>
        <v/>
      </c>
      <c r="G370" s="2" t="str">
        <f t="shared" si="15"/>
        <v/>
      </c>
      <c r="H370" s="2" t="str">
        <f>IF(A370="","",IF(AND('Offset Inputs'!$B$5&gt;='Mortgage Inputs'!$B$5,'Mortgage Inputs'!$B$5&gt;0),'Offset Inputs'!$B$5-'Mortgage Inputs'!$B$5,D370+'Offset Inputs'!$B$6))</f>
        <v/>
      </c>
    </row>
    <row r="371" spans="1:8" ht="22" customHeight="1">
      <c r="A371" s="1" t="str">
        <f>IF(AND('Mortgage Inputs'!$B$12,365&lt;=IF('Mortgage Inputs'!$B$12,'Mortgage Inputs'!$B$7,0)*12+600,ISNUMBER(G370),G370&gt;0.005),365,"")</f>
        <v/>
      </c>
      <c r="B371" s="4" t="str">
        <f>IF(A371="","",DATE(YEAR('Mortgage Inputs'!$B$8),MONTH('Mortgage Inputs'!$B$8)+A371,DAY('Mortgage Inputs'!$B$8)))</f>
        <v/>
      </c>
      <c r="C371" s="2" t="str">
        <f t="shared" si="16"/>
        <v/>
      </c>
      <c r="D371" s="2" t="str">
        <f t="shared" si="17"/>
        <v/>
      </c>
      <c r="E371" s="2" t="str">
        <f>IF(A371="","",MAX(0,(C371-MIN(D371,C371))*'Mortgage Inputs'!$B$15))</f>
        <v/>
      </c>
      <c r="F371" s="2" t="str">
        <f>IF(A371="","",IF(AND('Offset Inputs'!$B$5&gt;='Mortgage Inputs'!$B$5,'Mortgage Inputs'!$B$5&gt;0),C371,MIN(C371,MAX(0,'Mortgage Inputs'!$B$17-E371))))</f>
        <v/>
      </c>
      <c r="G371" s="2" t="str">
        <f t="shared" si="15"/>
        <v/>
      </c>
      <c r="H371" s="2" t="str">
        <f>IF(A371="","",IF(AND('Offset Inputs'!$B$5&gt;='Mortgage Inputs'!$B$5,'Mortgage Inputs'!$B$5&gt;0),'Offset Inputs'!$B$5-'Mortgage Inputs'!$B$5,D371+'Offset Inputs'!$B$6))</f>
        <v/>
      </c>
    </row>
    <row r="372" spans="1:8" ht="22" customHeight="1">
      <c r="A372" s="1" t="str">
        <f>IF(AND('Mortgage Inputs'!$B$12,366&lt;=IF('Mortgage Inputs'!$B$12,'Mortgage Inputs'!$B$7,0)*12+600,ISNUMBER(G371),G371&gt;0.005),366,"")</f>
        <v/>
      </c>
      <c r="B372" s="4" t="str">
        <f>IF(A372="","",DATE(YEAR('Mortgage Inputs'!$B$8),MONTH('Mortgage Inputs'!$B$8)+A372,DAY('Mortgage Inputs'!$B$8)))</f>
        <v/>
      </c>
      <c r="C372" s="2" t="str">
        <f t="shared" si="16"/>
        <v/>
      </c>
      <c r="D372" s="2" t="str">
        <f t="shared" si="17"/>
        <v/>
      </c>
      <c r="E372" s="2" t="str">
        <f>IF(A372="","",MAX(0,(C372-MIN(D372,C372))*'Mortgage Inputs'!$B$15))</f>
        <v/>
      </c>
      <c r="F372" s="2" t="str">
        <f>IF(A372="","",IF(AND('Offset Inputs'!$B$5&gt;='Mortgage Inputs'!$B$5,'Mortgage Inputs'!$B$5&gt;0),C372,MIN(C372,MAX(0,'Mortgage Inputs'!$B$17-E372))))</f>
        <v/>
      </c>
      <c r="G372" s="2" t="str">
        <f t="shared" si="15"/>
        <v/>
      </c>
      <c r="H372" s="2" t="str">
        <f>IF(A372="","",IF(AND('Offset Inputs'!$B$5&gt;='Mortgage Inputs'!$B$5,'Mortgage Inputs'!$B$5&gt;0),'Offset Inputs'!$B$5-'Mortgage Inputs'!$B$5,D372+'Offset Inputs'!$B$6))</f>
        <v/>
      </c>
    </row>
    <row r="373" spans="1:8" ht="22" customHeight="1">
      <c r="A373" s="1" t="str">
        <f>IF(AND('Mortgage Inputs'!$B$12,367&lt;=IF('Mortgage Inputs'!$B$12,'Mortgage Inputs'!$B$7,0)*12+600,ISNUMBER(G372),G372&gt;0.005),367,"")</f>
        <v/>
      </c>
      <c r="B373" s="4" t="str">
        <f>IF(A373="","",DATE(YEAR('Mortgage Inputs'!$B$8),MONTH('Mortgage Inputs'!$B$8)+A373,DAY('Mortgage Inputs'!$B$8)))</f>
        <v/>
      </c>
      <c r="C373" s="2" t="str">
        <f t="shared" si="16"/>
        <v/>
      </c>
      <c r="D373" s="2" t="str">
        <f t="shared" si="17"/>
        <v/>
      </c>
      <c r="E373" s="2" t="str">
        <f>IF(A373="","",MAX(0,(C373-MIN(D373,C373))*'Mortgage Inputs'!$B$15))</f>
        <v/>
      </c>
      <c r="F373" s="2" t="str">
        <f>IF(A373="","",IF(AND('Offset Inputs'!$B$5&gt;='Mortgage Inputs'!$B$5,'Mortgage Inputs'!$B$5&gt;0),C373,MIN(C373,MAX(0,'Mortgage Inputs'!$B$17-E373))))</f>
        <v/>
      </c>
      <c r="G373" s="2" t="str">
        <f t="shared" si="15"/>
        <v/>
      </c>
      <c r="H373" s="2" t="str">
        <f>IF(A373="","",IF(AND('Offset Inputs'!$B$5&gt;='Mortgage Inputs'!$B$5,'Mortgage Inputs'!$B$5&gt;0),'Offset Inputs'!$B$5-'Mortgage Inputs'!$B$5,D373+'Offset Inputs'!$B$6))</f>
        <v/>
      </c>
    </row>
    <row r="374" spans="1:8" ht="22" customHeight="1">
      <c r="A374" s="1" t="str">
        <f>IF(AND('Mortgage Inputs'!$B$12,368&lt;=IF('Mortgage Inputs'!$B$12,'Mortgage Inputs'!$B$7,0)*12+600,ISNUMBER(G373),G373&gt;0.005),368,"")</f>
        <v/>
      </c>
      <c r="B374" s="4" t="str">
        <f>IF(A374="","",DATE(YEAR('Mortgage Inputs'!$B$8),MONTH('Mortgage Inputs'!$B$8)+A374,DAY('Mortgage Inputs'!$B$8)))</f>
        <v/>
      </c>
      <c r="C374" s="2" t="str">
        <f t="shared" si="16"/>
        <v/>
      </c>
      <c r="D374" s="2" t="str">
        <f t="shared" si="17"/>
        <v/>
      </c>
      <c r="E374" s="2" t="str">
        <f>IF(A374="","",MAX(0,(C374-MIN(D374,C374))*'Mortgage Inputs'!$B$15))</f>
        <v/>
      </c>
      <c r="F374" s="2" t="str">
        <f>IF(A374="","",IF(AND('Offset Inputs'!$B$5&gt;='Mortgage Inputs'!$B$5,'Mortgage Inputs'!$B$5&gt;0),C374,MIN(C374,MAX(0,'Mortgage Inputs'!$B$17-E374))))</f>
        <v/>
      </c>
      <c r="G374" s="2" t="str">
        <f t="shared" si="15"/>
        <v/>
      </c>
      <c r="H374" s="2" t="str">
        <f>IF(A374="","",IF(AND('Offset Inputs'!$B$5&gt;='Mortgage Inputs'!$B$5,'Mortgage Inputs'!$B$5&gt;0),'Offset Inputs'!$B$5-'Mortgage Inputs'!$B$5,D374+'Offset Inputs'!$B$6))</f>
        <v/>
      </c>
    </row>
    <row r="375" spans="1:8" ht="22" customHeight="1">
      <c r="A375" s="1" t="str">
        <f>IF(AND('Mortgage Inputs'!$B$12,369&lt;=IF('Mortgage Inputs'!$B$12,'Mortgage Inputs'!$B$7,0)*12+600,ISNUMBER(G374),G374&gt;0.005),369,"")</f>
        <v/>
      </c>
      <c r="B375" s="4" t="str">
        <f>IF(A375="","",DATE(YEAR('Mortgage Inputs'!$B$8),MONTH('Mortgage Inputs'!$B$8)+A375,DAY('Mortgage Inputs'!$B$8)))</f>
        <v/>
      </c>
      <c r="C375" s="2" t="str">
        <f t="shared" si="16"/>
        <v/>
      </c>
      <c r="D375" s="2" t="str">
        <f t="shared" si="17"/>
        <v/>
      </c>
      <c r="E375" s="2" t="str">
        <f>IF(A375="","",MAX(0,(C375-MIN(D375,C375))*'Mortgage Inputs'!$B$15))</f>
        <v/>
      </c>
      <c r="F375" s="2" t="str">
        <f>IF(A375="","",IF(AND('Offset Inputs'!$B$5&gt;='Mortgage Inputs'!$B$5,'Mortgage Inputs'!$B$5&gt;0),C375,MIN(C375,MAX(0,'Mortgage Inputs'!$B$17-E375))))</f>
        <v/>
      </c>
      <c r="G375" s="2" t="str">
        <f t="shared" si="15"/>
        <v/>
      </c>
      <c r="H375" s="2" t="str">
        <f>IF(A375="","",IF(AND('Offset Inputs'!$B$5&gt;='Mortgage Inputs'!$B$5,'Mortgage Inputs'!$B$5&gt;0),'Offset Inputs'!$B$5-'Mortgage Inputs'!$B$5,D375+'Offset Inputs'!$B$6))</f>
        <v/>
      </c>
    </row>
    <row r="376" spans="1:8" ht="22" customHeight="1">
      <c r="A376" s="1" t="str">
        <f>IF(AND('Mortgage Inputs'!$B$12,370&lt;=IF('Mortgage Inputs'!$B$12,'Mortgage Inputs'!$B$7,0)*12+600,ISNUMBER(G375),G375&gt;0.005),370,"")</f>
        <v/>
      </c>
      <c r="B376" s="4" t="str">
        <f>IF(A376="","",DATE(YEAR('Mortgage Inputs'!$B$8),MONTH('Mortgage Inputs'!$B$8)+A376,DAY('Mortgage Inputs'!$B$8)))</f>
        <v/>
      </c>
      <c r="C376" s="2" t="str">
        <f t="shared" si="16"/>
        <v/>
      </c>
      <c r="D376" s="2" t="str">
        <f t="shared" si="17"/>
        <v/>
      </c>
      <c r="E376" s="2" t="str">
        <f>IF(A376="","",MAX(0,(C376-MIN(D376,C376))*'Mortgage Inputs'!$B$15))</f>
        <v/>
      </c>
      <c r="F376" s="2" t="str">
        <f>IF(A376="","",IF(AND('Offset Inputs'!$B$5&gt;='Mortgage Inputs'!$B$5,'Mortgage Inputs'!$B$5&gt;0),C376,MIN(C376,MAX(0,'Mortgage Inputs'!$B$17-E376))))</f>
        <v/>
      </c>
      <c r="G376" s="2" t="str">
        <f t="shared" si="15"/>
        <v/>
      </c>
      <c r="H376" s="2" t="str">
        <f>IF(A376="","",IF(AND('Offset Inputs'!$B$5&gt;='Mortgage Inputs'!$B$5,'Mortgage Inputs'!$B$5&gt;0),'Offset Inputs'!$B$5-'Mortgage Inputs'!$B$5,D376+'Offset Inputs'!$B$6))</f>
        <v/>
      </c>
    </row>
    <row r="377" spans="1:8" ht="22" customHeight="1">
      <c r="A377" s="1" t="str">
        <f>IF(AND('Mortgage Inputs'!$B$12,371&lt;=IF('Mortgage Inputs'!$B$12,'Mortgage Inputs'!$B$7,0)*12+600,ISNUMBER(G376),G376&gt;0.005),371,"")</f>
        <v/>
      </c>
      <c r="B377" s="4" t="str">
        <f>IF(A377="","",DATE(YEAR('Mortgage Inputs'!$B$8),MONTH('Mortgage Inputs'!$B$8)+A377,DAY('Mortgage Inputs'!$B$8)))</f>
        <v/>
      </c>
      <c r="C377" s="2" t="str">
        <f t="shared" si="16"/>
        <v/>
      </c>
      <c r="D377" s="2" t="str">
        <f t="shared" si="17"/>
        <v/>
      </c>
      <c r="E377" s="2" t="str">
        <f>IF(A377="","",MAX(0,(C377-MIN(D377,C377))*'Mortgage Inputs'!$B$15))</f>
        <v/>
      </c>
      <c r="F377" s="2" t="str">
        <f>IF(A377="","",IF(AND('Offset Inputs'!$B$5&gt;='Mortgage Inputs'!$B$5,'Mortgage Inputs'!$B$5&gt;0),C377,MIN(C377,MAX(0,'Mortgage Inputs'!$B$17-E377))))</f>
        <v/>
      </c>
      <c r="G377" s="2" t="str">
        <f t="shared" si="15"/>
        <v/>
      </c>
      <c r="H377" s="2" t="str">
        <f>IF(A377="","",IF(AND('Offset Inputs'!$B$5&gt;='Mortgage Inputs'!$B$5,'Mortgage Inputs'!$B$5&gt;0),'Offset Inputs'!$B$5-'Mortgage Inputs'!$B$5,D377+'Offset Inputs'!$B$6))</f>
        <v/>
      </c>
    </row>
    <row r="378" spans="1:8" ht="22" customHeight="1">
      <c r="A378" s="1" t="str">
        <f>IF(AND('Mortgage Inputs'!$B$12,372&lt;=IF('Mortgage Inputs'!$B$12,'Mortgage Inputs'!$B$7,0)*12+600,ISNUMBER(G377),G377&gt;0.005),372,"")</f>
        <v/>
      </c>
      <c r="B378" s="4" t="str">
        <f>IF(A378="","",DATE(YEAR('Mortgage Inputs'!$B$8),MONTH('Mortgage Inputs'!$B$8)+A378,DAY('Mortgage Inputs'!$B$8)))</f>
        <v/>
      </c>
      <c r="C378" s="2" t="str">
        <f t="shared" si="16"/>
        <v/>
      </c>
      <c r="D378" s="2" t="str">
        <f t="shared" si="17"/>
        <v/>
      </c>
      <c r="E378" s="2" t="str">
        <f>IF(A378="","",MAX(0,(C378-MIN(D378,C378))*'Mortgage Inputs'!$B$15))</f>
        <v/>
      </c>
      <c r="F378" s="2" t="str">
        <f>IF(A378="","",IF(AND('Offset Inputs'!$B$5&gt;='Mortgage Inputs'!$B$5,'Mortgage Inputs'!$B$5&gt;0),C378,MIN(C378,MAX(0,'Mortgage Inputs'!$B$17-E378))))</f>
        <v/>
      </c>
      <c r="G378" s="2" t="str">
        <f t="shared" si="15"/>
        <v/>
      </c>
      <c r="H378" s="2" t="str">
        <f>IF(A378="","",IF(AND('Offset Inputs'!$B$5&gt;='Mortgage Inputs'!$B$5,'Mortgage Inputs'!$B$5&gt;0),'Offset Inputs'!$B$5-'Mortgage Inputs'!$B$5,D378+'Offset Inputs'!$B$6))</f>
        <v/>
      </c>
    </row>
    <row r="379" spans="1:8" ht="22" customHeight="1">
      <c r="A379" s="1" t="str">
        <f>IF(AND('Mortgage Inputs'!$B$12,373&lt;=IF('Mortgage Inputs'!$B$12,'Mortgage Inputs'!$B$7,0)*12+600,ISNUMBER(G378),G378&gt;0.005),373,"")</f>
        <v/>
      </c>
      <c r="B379" s="4" t="str">
        <f>IF(A379="","",DATE(YEAR('Mortgage Inputs'!$B$8),MONTH('Mortgage Inputs'!$B$8)+A379,DAY('Mortgage Inputs'!$B$8)))</f>
        <v/>
      </c>
      <c r="C379" s="2" t="str">
        <f t="shared" si="16"/>
        <v/>
      </c>
      <c r="D379" s="2" t="str">
        <f t="shared" si="17"/>
        <v/>
      </c>
      <c r="E379" s="2" t="str">
        <f>IF(A379="","",MAX(0,(C379-MIN(D379,C379))*'Mortgage Inputs'!$B$15))</f>
        <v/>
      </c>
      <c r="F379" s="2" t="str">
        <f>IF(A379="","",IF(AND('Offset Inputs'!$B$5&gt;='Mortgage Inputs'!$B$5,'Mortgage Inputs'!$B$5&gt;0),C379,MIN(C379,MAX(0,'Mortgage Inputs'!$B$17-E379))))</f>
        <v/>
      </c>
      <c r="G379" s="2" t="str">
        <f t="shared" si="15"/>
        <v/>
      </c>
      <c r="H379" s="2" t="str">
        <f>IF(A379="","",IF(AND('Offset Inputs'!$B$5&gt;='Mortgage Inputs'!$B$5,'Mortgage Inputs'!$B$5&gt;0),'Offset Inputs'!$B$5-'Mortgage Inputs'!$B$5,D379+'Offset Inputs'!$B$6))</f>
        <v/>
      </c>
    </row>
    <row r="380" spans="1:8" ht="22" customHeight="1">
      <c r="A380" s="1" t="str">
        <f>IF(AND('Mortgage Inputs'!$B$12,374&lt;=IF('Mortgage Inputs'!$B$12,'Mortgage Inputs'!$B$7,0)*12+600,ISNUMBER(G379),G379&gt;0.005),374,"")</f>
        <v/>
      </c>
      <c r="B380" s="4" t="str">
        <f>IF(A380="","",DATE(YEAR('Mortgage Inputs'!$B$8),MONTH('Mortgage Inputs'!$B$8)+A380,DAY('Mortgage Inputs'!$B$8)))</f>
        <v/>
      </c>
      <c r="C380" s="2" t="str">
        <f t="shared" si="16"/>
        <v/>
      </c>
      <c r="D380" s="2" t="str">
        <f t="shared" si="17"/>
        <v/>
      </c>
      <c r="E380" s="2" t="str">
        <f>IF(A380="","",MAX(0,(C380-MIN(D380,C380))*'Mortgage Inputs'!$B$15))</f>
        <v/>
      </c>
      <c r="F380" s="2" t="str">
        <f>IF(A380="","",IF(AND('Offset Inputs'!$B$5&gt;='Mortgage Inputs'!$B$5,'Mortgage Inputs'!$B$5&gt;0),C380,MIN(C380,MAX(0,'Mortgage Inputs'!$B$17-E380))))</f>
        <v/>
      </c>
      <c r="G380" s="2" t="str">
        <f t="shared" si="15"/>
        <v/>
      </c>
      <c r="H380" s="2" t="str">
        <f>IF(A380="","",IF(AND('Offset Inputs'!$B$5&gt;='Mortgage Inputs'!$B$5,'Mortgage Inputs'!$B$5&gt;0),'Offset Inputs'!$B$5-'Mortgage Inputs'!$B$5,D380+'Offset Inputs'!$B$6))</f>
        <v/>
      </c>
    </row>
    <row r="381" spans="1:8" ht="22" customHeight="1">
      <c r="A381" s="1" t="str">
        <f>IF(AND('Mortgage Inputs'!$B$12,375&lt;=IF('Mortgage Inputs'!$B$12,'Mortgage Inputs'!$B$7,0)*12+600,ISNUMBER(G380),G380&gt;0.005),375,"")</f>
        <v/>
      </c>
      <c r="B381" s="4" t="str">
        <f>IF(A381="","",DATE(YEAR('Mortgage Inputs'!$B$8),MONTH('Mortgage Inputs'!$B$8)+A381,DAY('Mortgage Inputs'!$B$8)))</f>
        <v/>
      </c>
      <c r="C381" s="2" t="str">
        <f t="shared" si="16"/>
        <v/>
      </c>
      <c r="D381" s="2" t="str">
        <f t="shared" si="17"/>
        <v/>
      </c>
      <c r="E381" s="2" t="str">
        <f>IF(A381="","",MAX(0,(C381-MIN(D381,C381))*'Mortgage Inputs'!$B$15))</f>
        <v/>
      </c>
      <c r="F381" s="2" t="str">
        <f>IF(A381="","",IF(AND('Offset Inputs'!$B$5&gt;='Mortgage Inputs'!$B$5,'Mortgage Inputs'!$B$5&gt;0),C381,MIN(C381,MAX(0,'Mortgage Inputs'!$B$17-E381))))</f>
        <v/>
      </c>
      <c r="G381" s="2" t="str">
        <f t="shared" si="15"/>
        <v/>
      </c>
      <c r="H381" s="2" t="str">
        <f>IF(A381="","",IF(AND('Offset Inputs'!$B$5&gt;='Mortgage Inputs'!$B$5,'Mortgage Inputs'!$B$5&gt;0),'Offset Inputs'!$B$5-'Mortgage Inputs'!$B$5,D381+'Offset Inputs'!$B$6))</f>
        <v/>
      </c>
    </row>
    <row r="382" spans="1:8" ht="22" customHeight="1">
      <c r="A382" s="1" t="str">
        <f>IF(AND('Mortgage Inputs'!$B$12,376&lt;=IF('Mortgage Inputs'!$B$12,'Mortgage Inputs'!$B$7,0)*12+600,ISNUMBER(G381),G381&gt;0.005),376,"")</f>
        <v/>
      </c>
      <c r="B382" s="4" t="str">
        <f>IF(A382="","",DATE(YEAR('Mortgage Inputs'!$B$8),MONTH('Mortgage Inputs'!$B$8)+A382,DAY('Mortgage Inputs'!$B$8)))</f>
        <v/>
      </c>
      <c r="C382" s="2" t="str">
        <f t="shared" si="16"/>
        <v/>
      </c>
      <c r="D382" s="2" t="str">
        <f t="shared" si="17"/>
        <v/>
      </c>
      <c r="E382" s="2" t="str">
        <f>IF(A382="","",MAX(0,(C382-MIN(D382,C382))*'Mortgage Inputs'!$B$15))</f>
        <v/>
      </c>
      <c r="F382" s="2" t="str">
        <f>IF(A382="","",IF(AND('Offset Inputs'!$B$5&gt;='Mortgage Inputs'!$B$5,'Mortgage Inputs'!$B$5&gt;0),C382,MIN(C382,MAX(0,'Mortgage Inputs'!$B$17-E382))))</f>
        <v/>
      </c>
      <c r="G382" s="2" t="str">
        <f t="shared" si="15"/>
        <v/>
      </c>
      <c r="H382" s="2" t="str">
        <f>IF(A382="","",IF(AND('Offset Inputs'!$B$5&gt;='Mortgage Inputs'!$B$5,'Mortgage Inputs'!$B$5&gt;0),'Offset Inputs'!$B$5-'Mortgage Inputs'!$B$5,D382+'Offset Inputs'!$B$6))</f>
        <v/>
      </c>
    </row>
    <row r="383" spans="1:8" ht="22" customHeight="1">
      <c r="A383" s="1" t="str">
        <f>IF(AND('Mortgage Inputs'!$B$12,377&lt;=IF('Mortgage Inputs'!$B$12,'Mortgage Inputs'!$B$7,0)*12+600,ISNUMBER(G382),G382&gt;0.005),377,"")</f>
        <v/>
      </c>
      <c r="B383" s="4" t="str">
        <f>IF(A383="","",DATE(YEAR('Mortgage Inputs'!$B$8),MONTH('Mortgage Inputs'!$B$8)+A383,DAY('Mortgage Inputs'!$B$8)))</f>
        <v/>
      </c>
      <c r="C383" s="2" t="str">
        <f t="shared" si="16"/>
        <v/>
      </c>
      <c r="D383" s="2" t="str">
        <f t="shared" si="17"/>
        <v/>
      </c>
      <c r="E383" s="2" t="str">
        <f>IF(A383="","",MAX(0,(C383-MIN(D383,C383))*'Mortgage Inputs'!$B$15))</f>
        <v/>
      </c>
      <c r="F383" s="2" t="str">
        <f>IF(A383="","",IF(AND('Offset Inputs'!$B$5&gt;='Mortgage Inputs'!$B$5,'Mortgage Inputs'!$B$5&gt;0),C383,MIN(C383,MAX(0,'Mortgage Inputs'!$B$17-E383))))</f>
        <v/>
      </c>
      <c r="G383" s="2" t="str">
        <f t="shared" si="15"/>
        <v/>
      </c>
      <c r="H383" s="2" t="str">
        <f>IF(A383="","",IF(AND('Offset Inputs'!$B$5&gt;='Mortgage Inputs'!$B$5,'Mortgage Inputs'!$B$5&gt;0),'Offset Inputs'!$B$5-'Mortgage Inputs'!$B$5,D383+'Offset Inputs'!$B$6))</f>
        <v/>
      </c>
    </row>
    <row r="384" spans="1:8" ht="22" customHeight="1">
      <c r="A384" s="1" t="str">
        <f>IF(AND('Mortgage Inputs'!$B$12,378&lt;=IF('Mortgage Inputs'!$B$12,'Mortgage Inputs'!$B$7,0)*12+600,ISNUMBER(G383),G383&gt;0.005),378,"")</f>
        <v/>
      </c>
      <c r="B384" s="4" t="str">
        <f>IF(A384="","",DATE(YEAR('Mortgage Inputs'!$B$8),MONTH('Mortgage Inputs'!$B$8)+A384,DAY('Mortgage Inputs'!$B$8)))</f>
        <v/>
      </c>
      <c r="C384" s="2" t="str">
        <f t="shared" si="16"/>
        <v/>
      </c>
      <c r="D384" s="2" t="str">
        <f t="shared" si="17"/>
        <v/>
      </c>
      <c r="E384" s="2" t="str">
        <f>IF(A384="","",MAX(0,(C384-MIN(D384,C384))*'Mortgage Inputs'!$B$15))</f>
        <v/>
      </c>
      <c r="F384" s="2" t="str">
        <f>IF(A384="","",IF(AND('Offset Inputs'!$B$5&gt;='Mortgage Inputs'!$B$5,'Mortgage Inputs'!$B$5&gt;0),C384,MIN(C384,MAX(0,'Mortgage Inputs'!$B$17-E384))))</f>
        <v/>
      </c>
      <c r="G384" s="2" t="str">
        <f t="shared" si="15"/>
        <v/>
      </c>
      <c r="H384" s="2" t="str">
        <f>IF(A384="","",IF(AND('Offset Inputs'!$B$5&gt;='Mortgage Inputs'!$B$5,'Mortgage Inputs'!$B$5&gt;0),'Offset Inputs'!$B$5-'Mortgage Inputs'!$B$5,D384+'Offset Inputs'!$B$6))</f>
        <v/>
      </c>
    </row>
    <row r="385" spans="1:8" ht="22" customHeight="1">
      <c r="A385" s="1" t="str">
        <f>IF(AND('Mortgage Inputs'!$B$12,379&lt;=IF('Mortgage Inputs'!$B$12,'Mortgage Inputs'!$B$7,0)*12+600,ISNUMBER(G384),G384&gt;0.005),379,"")</f>
        <v/>
      </c>
      <c r="B385" s="4" t="str">
        <f>IF(A385="","",DATE(YEAR('Mortgage Inputs'!$B$8),MONTH('Mortgage Inputs'!$B$8)+A385,DAY('Mortgage Inputs'!$B$8)))</f>
        <v/>
      </c>
      <c r="C385" s="2" t="str">
        <f t="shared" si="16"/>
        <v/>
      </c>
      <c r="D385" s="2" t="str">
        <f t="shared" si="17"/>
        <v/>
      </c>
      <c r="E385" s="2" t="str">
        <f>IF(A385="","",MAX(0,(C385-MIN(D385,C385))*'Mortgage Inputs'!$B$15))</f>
        <v/>
      </c>
      <c r="F385" s="2" t="str">
        <f>IF(A385="","",IF(AND('Offset Inputs'!$B$5&gt;='Mortgage Inputs'!$B$5,'Mortgage Inputs'!$B$5&gt;0),C385,MIN(C385,MAX(0,'Mortgage Inputs'!$B$17-E385))))</f>
        <v/>
      </c>
      <c r="G385" s="2" t="str">
        <f t="shared" si="15"/>
        <v/>
      </c>
      <c r="H385" s="2" t="str">
        <f>IF(A385="","",IF(AND('Offset Inputs'!$B$5&gt;='Mortgage Inputs'!$B$5,'Mortgage Inputs'!$B$5&gt;0),'Offset Inputs'!$B$5-'Mortgage Inputs'!$B$5,D385+'Offset Inputs'!$B$6))</f>
        <v/>
      </c>
    </row>
    <row r="386" spans="1:8" ht="22" customHeight="1">
      <c r="A386" s="1" t="str">
        <f>IF(AND('Mortgage Inputs'!$B$12,380&lt;=IF('Mortgage Inputs'!$B$12,'Mortgage Inputs'!$B$7,0)*12+600,ISNUMBER(G385),G385&gt;0.005),380,"")</f>
        <v/>
      </c>
      <c r="B386" s="4" t="str">
        <f>IF(A386="","",DATE(YEAR('Mortgage Inputs'!$B$8),MONTH('Mortgage Inputs'!$B$8)+A386,DAY('Mortgage Inputs'!$B$8)))</f>
        <v/>
      </c>
      <c r="C386" s="2" t="str">
        <f t="shared" si="16"/>
        <v/>
      </c>
      <c r="D386" s="2" t="str">
        <f t="shared" si="17"/>
        <v/>
      </c>
      <c r="E386" s="2" t="str">
        <f>IF(A386="","",MAX(0,(C386-MIN(D386,C386))*'Mortgage Inputs'!$B$15))</f>
        <v/>
      </c>
      <c r="F386" s="2" t="str">
        <f>IF(A386="","",IF(AND('Offset Inputs'!$B$5&gt;='Mortgage Inputs'!$B$5,'Mortgage Inputs'!$B$5&gt;0),C386,MIN(C386,MAX(0,'Mortgage Inputs'!$B$17-E386))))</f>
        <v/>
      </c>
      <c r="G386" s="2" t="str">
        <f t="shared" si="15"/>
        <v/>
      </c>
      <c r="H386" s="2" t="str">
        <f>IF(A386="","",IF(AND('Offset Inputs'!$B$5&gt;='Mortgage Inputs'!$B$5,'Mortgage Inputs'!$B$5&gt;0),'Offset Inputs'!$B$5-'Mortgage Inputs'!$B$5,D386+'Offset Inputs'!$B$6))</f>
        <v/>
      </c>
    </row>
    <row r="387" spans="1:8" ht="22" customHeight="1">
      <c r="A387" s="1" t="str">
        <f>IF(AND('Mortgage Inputs'!$B$12,381&lt;=IF('Mortgage Inputs'!$B$12,'Mortgage Inputs'!$B$7,0)*12+600,ISNUMBER(G386),G386&gt;0.005),381,"")</f>
        <v/>
      </c>
      <c r="B387" s="4" t="str">
        <f>IF(A387="","",DATE(YEAR('Mortgage Inputs'!$B$8),MONTH('Mortgage Inputs'!$B$8)+A387,DAY('Mortgage Inputs'!$B$8)))</f>
        <v/>
      </c>
      <c r="C387" s="2" t="str">
        <f t="shared" si="16"/>
        <v/>
      </c>
      <c r="D387" s="2" t="str">
        <f t="shared" si="17"/>
        <v/>
      </c>
      <c r="E387" s="2" t="str">
        <f>IF(A387="","",MAX(0,(C387-MIN(D387,C387))*'Mortgage Inputs'!$B$15))</f>
        <v/>
      </c>
      <c r="F387" s="2" t="str">
        <f>IF(A387="","",IF(AND('Offset Inputs'!$B$5&gt;='Mortgage Inputs'!$B$5,'Mortgage Inputs'!$B$5&gt;0),C387,MIN(C387,MAX(0,'Mortgage Inputs'!$B$17-E387))))</f>
        <v/>
      </c>
      <c r="G387" s="2" t="str">
        <f t="shared" si="15"/>
        <v/>
      </c>
      <c r="H387" s="2" t="str">
        <f>IF(A387="","",IF(AND('Offset Inputs'!$B$5&gt;='Mortgage Inputs'!$B$5,'Mortgage Inputs'!$B$5&gt;0),'Offset Inputs'!$B$5-'Mortgage Inputs'!$B$5,D387+'Offset Inputs'!$B$6))</f>
        <v/>
      </c>
    </row>
    <row r="388" spans="1:8" ht="22" customHeight="1">
      <c r="A388" s="1" t="str">
        <f>IF(AND('Mortgage Inputs'!$B$12,382&lt;=IF('Mortgage Inputs'!$B$12,'Mortgage Inputs'!$B$7,0)*12+600,ISNUMBER(G387),G387&gt;0.005),382,"")</f>
        <v/>
      </c>
      <c r="B388" s="4" t="str">
        <f>IF(A388="","",DATE(YEAR('Mortgage Inputs'!$B$8),MONTH('Mortgage Inputs'!$B$8)+A388,DAY('Mortgage Inputs'!$B$8)))</f>
        <v/>
      </c>
      <c r="C388" s="2" t="str">
        <f t="shared" si="16"/>
        <v/>
      </c>
      <c r="D388" s="2" t="str">
        <f t="shared" si="17"/>
        <v/>
      </c>
      <c r="E388" s="2" t="str">
        <f>IF(A388="","",MAX(0,(C388-MIN(D388,C388))*'Mortgage Inputs'!$B$15))</f>
        <v/>
      </c>
      <c r="F388" s="2" t="str">
        <f>IF(A388="","",IF(AND('Offset Inputs'!$B$5&gt;='Mortgage Inputs'!$B$5,'Mortgage Inputs'!$B$5&gt;0),C388,MIN(C388,MAX(0,'Mortgage Inputs'!$B$17-E388))))</f>
        <v/>
      </c>
      <c r="G388" s="2" t="str">
        <f t="shared" si="15"/>
        <v/>
      </c>
      <c r="H388" s="2" t="str">
        <f>IF(A388="","",IF(AND('Offset Inputs'!$B$5&gt;='Mortgage Inputs'!$B$5,'Mortgage Inputs'!$B$5&gt;0),'Offset Inputs'!$B$5-'Mortgage Inputs'!$B$5,D388+'Offset Inputs'!$B$6))</f>
        <v/>
      </c>
    </row>
    <row r="389" spans="1:8" ht="22" customHeight="1">
      <c r="A389" s="1" t="str">
        <f>IF(AND('Mortgage Inputs'!$B$12,383&lt;=IF('Mortgage Inputs'!$B$12,'Mortgage Inputs'!$B$7,0)*12+600,ISNUMBER(G388),G388&gt;0.005),383,"")</f>
        <v/>
      </c>
      <c r="B389" s="4" t="str">
        <f>IF(A389="","",DATE(YEAR('Mortgage Inputs'!$B$8),MONTH('Mortgage Inputs'!$B$8)+A389,DAY('Mortgage Inputs'!$B$8)))</f>
        <v/>
      </c>
      <c r="C389" s="2" t="str">
        <f t="shared" si="16"/>
        <v/>
      </c>
      <c r="D389" s="2" t="str">
        <f t="shared" si="17"/>
        <v/>
      </c>
      <c r="E389" s="2" t="str">
        <f>IF(A389="","",MAX(0,(C389-MIN(D389,C389))*'Mortgage Inputs'!$B$15))</f>
        <v/>
      </c>
      <c r="F389" s="2" t="str">
        <f>IF(A389="","",IF(AND('Offset Inputs'!$B$5&gt;='Mortgage Inputs'!$B$5,'Mortgage Inputs'!$B$5&gt;0),C389,MIN(C389,MAX(0,'Mortgage Inputs'!$B$17-E389))))</f>
        <v/>
      </c>
      <c r="G389" s="2" t="str">
        <f t="shared" si="15"/>
        <v/>
      </c>
      <c r="H389" s="2" t="str">
        <f>IF(A389="","",IF(AND('Offset Inputs'!$B$5&gt;='Mortgage Inputs'!$B$5,'Mortgage Inputs'!$B$5&gt;0),'Offset Inputs'!$B$5-'Mortgage Inputs'!$B$5,D389+'Offset Inputs'!$B$6))</f>
        <v/>
      </c>
    </row>
    <row r="390" spans="1:8" ht="22" customHeight="1">
      <c r="A390" s="1" t="str">
        <f>IF(AND('Mortgage Inputs'!$B$12,384&lt;=IF('Mortgage Inputs'!$B$12,'Mortgage Inputs'!$B$7,0)*12+600,ISNUMBER(G389),G389&gt;0.005),384,"")</f>
        <v/>
      </c>
      <c r="B390" s="4" t="str">
        <f>IF(A390="","",DATE(YEAR('Mortgage Inputs'!$B$8),MONTH('Mortgage Inputs'!$B$8)+A390,DAY('Mortgage Inputs'!$B$8)))</f>
        <v/>
      </c>
      <c r="C390" s="2" t="str">
        <f t="shared" si="16"/>
        <v/>
      </c>
      <c r="D390" s="2" t="str">
        <f t="shared" si="17"/>
        <v/>
      </c>
      <c r="E390" s="2" t="str">
        <f>IF(A390="","",MAX(0,(C390-MIN(D390,C390))*'Mortgage Inputs'!$B$15))</f>
        <v/>
      </c>
      <c r="F390" s="2" t="str">
        <f>IF(A390="","",IF(AND('Offset Inputs'!$B$5&gt;='Mortgage Inputs'!$B$5,'Mortgage Inputs'!$B$5&gt;0),C390,MIN(C390,MAX(0,'Mortgage Inputs'!$B$17-E390))))</f>
        <v/>
      </c>
      <c r="G390" s="2" t="str">
        <f t="shared" si="15"/>
        <v/>
      </c>
      <c r="H390" s="2" t="str">
        <f>IF(A390="","",IF(AND('Offset Inputs'!$B$5&gt;='Mortgage Inputs'!$B$5,'Mortgage Inputs'!$B$5&gt;0),'Offset Inputs'!$B$5-'Mortgage Inputs'!$B$5,D390+'Offset Inputs'!$B$6))</f>
        <v/>
      </c>
    </row>
    <row r="391" spans="1:8" ht="22" customHeight="1">
      <c r="A391" s="1" t="str">
        <f>IF(AND('Mortgage Inputs'!$B$12,385&lt;=IF('Mortgage Inputs'!$B$12,'Mortgage Inputs'!$B$7,0)*12+600,ISNUMBER(G390),G390&gt;0.005),385,"")</f>
        <v/>
      </c>
      <c r="B391" s="4" t="str">
        <f>IF(A391="","",DATE(YEAR('Mortgage Inputs'!$B$8),MONTH('Mortgage Inputs'!$B$8)+A391,DAY('Mortgage Inputs'!$B$8)))</f>
        <v/>
      </c>
      <c r="C391" s="2" t="str">
        <f t="shared" si="16"/>
        <v/>
      </c>
      <c r="D391" s="2" t="str">
        <f t="shared" si="17"/>
        <v/>
      </c>
      <c r="E391" s="2" t="str">
        <f>IF(A391="","",MAX(0,(C391-MIN(D391,C391))*'Mortgage Inputs'!$B$15))</f>
        <v/>
      </c>
      <c r="F391" s="2" t="str">
        <f>IF(A391="","",IF(AND('Offset Inputs'!$B$5&gt;='Mortgage Inputs'!$B$5,'Mortgage Inputs'!$B$5&gt;0),C391,MIN(C391,MAX(0,'Mortgage Inputs'!$B$17-E391))))</f>
        <v/>
      </c>
      <c r="G391" s="2" t="str">
        <f t="shared" ref="G391:G454" si="18">IF(A391="","",MAX(0,C391-F391))</f>
        <v/>
      </c>
      <c r="H391" s="2" t="str">
        <f>IF(A391="","",IF(AND('Offset Inputs'!$B$5&gt;='Mortgage Inputs'!$B$5,'Mortgage Inputs'!$B$5&gt;0),'Offset Inputs'!$B$5-'Mortgage Inputs'!$B$5,D391+'Offset Inputs'!$B$6))</f>
        <v/>
      </c>
    </row>
    <row r="392" spans="1:8" ht="22" customHeight="1">
      <c r="A392" s="1" t="str">
        <f>IF(AND('Mortgage Inputs'!$B$12,386&lt;=IF('Mortgage Inputs'!$B$12,'Mortgage Inputs'!$B$7,0)*12+600,ISNUMBER(G391),G391&gt;0.005),386,"")</f>
        <v/>
      </c>
      <c r="B392" s="4" t="str">
        <f>IF(A392="","",DATE(YEAR('Mortgage Inputs'!$B$8),MONTH('Mortgage Inputs'!$B$8)+A392,DAY('Mortgage Inputs'!$B$8)))</f>
        <v/>
      </c>
      <c r="C392" s="2" t="str">
        <f t="shared" ref="C392:C455" si="19">IF(A392="","",G391)</f>
        <v/>
      </c>
      <c r="D392" s="2" t="str">
        <f t="shared" ref="D392:D455" si="20">IF(A392="","",H391)</f>
        <v/>
      </c>
      <c r="E392" s="2" t="str">
        <f>IF(A392="","",MAX(0,(C392-MIN(D392,C392))*'Mortgage Inputs'!$B$15))</f>
        <v/>
      </c>
      <c r="F392" s="2" t="str">
        <f>IF(A392="","",IF(AND('Offset Inputs'!$B$5&gt;='Mortgage Inputs'!$B$5,'Mortgage Inputs'!$B$5&gt;0),C392,MIN(C392,MAX(0,'Mortgage Inputs'!$B$17-E392))))</f>
        <v/>
      </c>
      <c r="G392" s="2" t="str">
        <f t="shared" si="18"/>
        <v/>
      </c>
      <c r="H392" s="2" t="str">
        <f>IF(A392="","",IF(AND('Offset Inputs'!$B$5&gt;='Mortgage Inputs'!$B$5,'Mortgage Inputs'!$B$5&gt;0),'Offset Inputs'!$B$5-'Mortgage Inputs'!$B$5,D392+'Offset Inputs'!$B$6))</f>
        <v/>
      </c>
    </row>
    <row r="393" spans="1:8" ht="22" customHeight="1">
      <c r="A393" s="1" t="str">
        <f>IF(AND('Mortgage Inputs'!$B$12,387&lt;=IF('Mortgage Inputs'!$B$12,'Mortgage Inputs'!$B$7,0)*12+600,ISNUMBER(G392),G392&gt;0.005),387,"")</f>
        <v/>
      </c>
      <c r="B393" s="4" t="str">
        <f>IF(A393="","",DATE(YEAR('Mortgage Inputs'!$B$8),MONTH('Mortgage Inputs'!$B$8)+A393,DAY('Mortgage Inputs'!$B$8)))</f>
        <v/>
      </c>
      <c r="C393" s="2" t="str">
        <f t="shared" si="19"/>
        <v/>
      </c>
      <c r="D393" s="2" t="str">
        <f t="shared" si="20"/>
        <v/>
      </c>
      <c r="E393" s="2" t="str">
        <f>IF(A393="","",MAX(0,(C393-MIN(D393,C393))*'Mortgage Inputs'!$B$15))</f>
        <v/>
      </c>
      <c r="F393" s="2" t="str">
        <f>IF(A393="","",IF(AND('Offset Inputs'!$B$5&gt;='Mortgage Inputs'!$B$5,'Mortgage Inputs'!$B$5&gt;0),C393,MIN(C393,MAX(0,'Mortgage Inputs'!$B$17-E393))))</f>
        <v/>
      </c>
      <c r="G393" s="2" t="str">
        <f t="shared" si="18"/>
        <v/>
      </c>
      <c r="H393" s="2" t="str">
        <f>IF(A393="","",IF(AND('Offset Inputs'!$B$5&gt;='Mortgage Inputs'!$B$5,'Mortgage Inputs'!$B$5&gt;0),'Offset Inputs'!$B$5-'Mortgage Inputs'!$B$5,D393+'Offset Inputs'!$B$6))</f>
        <v/>
      </c>
    </row>
    <row r="394" spans="1:8" ht="22" customHeight="1">
      <c r="A394" s="1" t="str">
        <f>IF(AND('Mortgage Inputs'!$B$12,388&lt;=IF('Mortgage Inputs'!$B$12,'Mortgage Inputs'!$B$7,0)*12+600,ISNUMBER(G393),G393&gt;0.005),388,"")</f>
        <v/>
      </c>
      <c r="B394" s="4" t="str">
        <f>IF(A394="","",DATE(YEAR('Mortgage Inputs'!$B$8),MONTH('Mortgage Inputs'!$B$8)+A394,DAY('Mortgage Inputs'!$B$8)))</f>
        <v/>
      </c>
      <c r="C394" s="2" t="str">
        <f t="shared" si="19"/>
        <v/>
      </c>
      <c r="D394" s="2" t="str">
        <f t="shared" si="20"/>
        <v/>
      </c>
      <c r="E394" s="2" t="str">
        <f>IF(A394="","",MAX(0,(C394-MIN(D394,C394))*'Mortgage Inputs'!$B$15))</f>
        <v/>
      </c>
      <c r="F394" s="2" t="str">
        <f>IF(A394="","",IF(AND('Offset Inputs'!$B$5&gt;='Mortgage Inputs'!$B$5,'Mortgage Inputs'!$B$5&gt;0),C394,MIN(C394,MAX(0,'Mortgage Inputs'!$B$17-E394))))</f>
        <v/>
      </c>
      <c r="G394" s="2" t="str">
        <f t="shared" si="18"/>
        <v/>
      </c>
      <c r="H394" s="2" t="str">
        <f>IF(A394="","",IF(AND('Offset Inputs'!$B$5&gt;='Mortgage Inputs'!$B$5,'Mortgage Inputs'!$B$5&gt;0),'Offset Inputs'!$B$5-'Mortgage Inputs'!$B$5,D394+'Offset Inputs'!$B$6))</f>
        <v/>
      </c>
    </row>
    <row r="395" spans="1:8" ht="22" customHeight="1">
      <c r="A395" s="1" t="str">
        <f>IF(AND('Mortgage Inputs'!$B$12,389&lt;=IF('Mortgage Inputs'!$B$12,'Mortgage Inputs'!$B$7,0)*12+600,ISNUMBER(G394),G394&gt;0.005),389,"")</f>
        <v/>
      </c>
      <c r="B395" s="4" t="str">
        <f>IF(A395="","",DATE(YEAR('Mortgage Inputs'!$B$8),MONTH('Mortgage Inputs'!$B$8)+A395,DAY('Mortgage Inputs'!$B$8)))</f>
        <v/>
      </c>
      <c r="C395" s="2" t="str">
        <f t="shared" si="19"/>
        <v/>
      </c>
      <c r="D395" s="2" t="str">
        <f t="shared" si="20"/>
        <v/>
      </c>
      <c r="E395" s="2" t="str">
        <f>IF(A395="","",MAX(0,(C395-MIN(D395,C395))*'Mortgage Inputs'!$B$15))</f>
        <v/>
      </c>
      <c r="F395" s="2" t="str">
        <f>IF(A395="","",IF(AND('Offset Inputs'!$B$5&gt;='Mortgage Inputs'!$B$5,'Mortgage Inputs'!$B$5&gt;0),C395,MIN(C395,MAX(0,'Mortgage Inputs'!$B$17-E395))))</f>
        <v/>
      </c>
      <c r="G395" s="2" t="str">
        <f t="shared" si="18"/>
        <v/>
      </c>
      <c r="H395" s="2" t="str">
        <f>IF(A395="","",IF(AND('Offset Inputs'!$B$5&gt;='Mortgage Inputs'!$B$5,'Mortgage Inputs'!$B$5&gt;0),'Offset Inputs'!$B$5-'Mortgage Inputs'!$B$5,D395+'Offset Inputs'!$B$6))</f>
        <v/>
      </c>
    </row>
    <row r="396" spans="1:8" ht="22" customHeight="1">
      <c r="A396" s="1" t="str">
        <f>IF(AND('Mortgage Inputs'!$B$12,390&lt;=IF('Mortgage Inputs'!$B$12,'Mortgage Inputs'!$B$7,0)*12+600,ISNUMBER(G395),G395&gt;0.005),390,"")</f>
        <v/>
      </c>
      <c r="B396" s="4" t="str">
        <f>IF(A396="","",DATE(YEAR('Mortgage Inputs'!$B$8),MONTH('Mortgage Inputs'!$B$8)+A396,DAY('Mortgage Inputs'!$B$8)))</f>
        <v/>
      </c>
      <c r="C396" s="2" t="str">
        <f t="shared" si="19"/>
        <v/>
      </c>
      <c r="D396" s="2" t="str">
        <f t="shared" si="20"/>
        <v/>
      </c>
      <c r="E396" s="2" t="str">
        <f>IF(A396="","",MAX(0,(C396-MIN(D396,C396))*'Mortgage Inputs'!$B$15))</f>
        <v/>
      </c>
      <c r="F396" s="2" t="str">
        <f>IF(A396="","",IF(AND('Offset Inputs'!$B$5&gt;='Mortgage Inputs'!$B$5,'Mortgage Inputs'!$B$5&gt;0),C396,MIN(C396,MAX(0,'Mortgage Inputs'!$B$17-E396))))</f>
        <v/>
      </c>
      <c r="G396" s="2" t="str">
        <f t="shared" si="18"/>
        <v/>
      </c>
      <c r="H396" s="2" t="str">
        <f>IF(A396="","",IF(AND('Offset Inputs'!$B$5&gt;='Mortgage Inputs'!$B$5,'Mortgage Inputs'!$B$5&gt;0),'Offset Inputs'!$B$5-'Mortgage Inputs'!$B$5,D396+'Offset Inputs'!$B$6))</f>
        <v/>
      </c>
    </row>
    <row r="397" spans="1:8" ht="22" customHeight="1">
      <c r="A397" s="1" t="str">
        <f>IF(AND('Mortgage Inputs'!$B$12,391&lt;=IF('Mortgage Inputs'!$B$12,'Mortgage Inputs'!$B$7,0)*12+600,ISNUMBER(G396),G396&gt;0.005),391,"")</f>
        <v/>
      </c>
      <c r="B397" s="4" t="str">
        <f>IF(A397="","",DATE(YEAR('Mortgage Inputs'!$B$8),MONTH('Mortgage Inputs'!$B$8)+A397,DAY('Mortgage Inputs'!$B$8)))</f>
        <v/>
      </c>
      <c r="C397" s="2" t="str">
        <f t="shared" si="19"/>
        <v/>
      </c>
      <c r="D397" s="2" t="str">
        <f t="shared" si="20"/>
        <v/>
      </c>
      <c r="E397" s="2" t="str">
        <f>IF(A397="","",MAX(0,(C397-MIN(D397,C397))*'Mortgage Inputs'!$B$15))</f>
        <v/>
      </c>
      <c r="F397" s="2" t="str">
        <f>IF(A397="","",IF(AND('Offset Inputs'!$B$5&gt;='Mortgage Inputs'!$B$5,'Mortgage Inputs'!$B$5&gt;0),C397,MIN(C397,MAX(0,'Mortgage Inputs'!$B$17-E397))))</f>
        <v/>
      </c>
      <c r="G397" s="2" t="str">
        <f t="shared" si="18"/>
        <v/>
      </c>
      <c r="H397" s="2" t="str">
        <f>IF(A397="","",IF(AND('Offset Inputs'!$B$5&gt;='Mortgage Inputs'!$B$5,'Mortgage Inputs'!$B$5&gt;0),'Offset Inputs'!$B$5-'Mortgage Inputs'!$B$5,D397+'Offset Inputs'!$B$6))</f>
        <v/>
      </c>
    </row>
    <row r="398" spans="1:8" ht="22" customHeight="1">
      <c r="A398" s="1" t="str">
        <f>IF(AND('Mortgage Inputs'!$B$12,392&lt;=IF('Mortgage Inputs'!$B$12,'Mortgage Inputs'!$B$7,0)*12+600,ISNUMBER(G397),G397&gt;0.005),392,"")</f>
        <v/>
      </c>
      <c r="B398" s="4" t="str">
        <f>IF(A398="","",DATE(YEAR('Mortgage Inputs'!$B$8),MONTH('Mortgage Inputs'!$B$8)+A398,DAY('Mortgage Inputs'!$B$8)))</f>
        <v/>
      </c>
      <c r="C398" s="2" t="str">
        <f t="shared" si="19"/>
        <v/>
      </c>
      <c r="D398" s="2" t="str">
        <f t="shared" si="20"/>
        <v/>
      </c>
      <c r="E398" s="2" t="str">
        <f>IF(A398="","",MAX(0,(C398-MIN(D398,C398))*'Mortgage Inputs'!$B$15))</f>
        <v/>
      </c>
      <c r="F398" s="2" t="str">
        <f>IF(A398="","",IF(AND('Offset Inputs'!$B$5&gt;='Mortgage Inputs'!$B$5,'Mortgage Inputs'!$B$5&gt;0),C398,MIN(C398,MAX(0,'Mortgage Inputs'!$B$17-E398))))</f>
        <v/>
      </c>
      <c r="G398" s="2" t="str">
        <f t="shared" si="18"/>
        <v/>
      </c>
      <c r="H398" s="2" t="str">
        <f>IF(A398="","",IF(AND('Offset Inputs'!$B$5&gt;='Mortgage Inputs'!$B$5,'Mortgage Inputs'!$B$5&gt;0),'Offset Inputs'!$B$5-'Mortgage Inputs'!$B$5,D398+'Offset Inputs'!$B$6))</f>
        <v/>
      </c>
    </row>
    <row r="399" spans="1:8" ht="22" customHeight="1">
      <c r="A399" s="1" t="str">
        <f>IF(AND('Mortgage Inputs'!$B$12,393&lt;=IF('Mortgage Inputs'!$B$12,'Mortgage Inputs'!$B$7,0)*12+600,ISNUMBER(G398),G398&gt;0.005),393,"")</f>
        <v/>
      </c>
      <c r="B399" s="4" t="str">
        <f>IF(A399="","",DATE(YEAR('Mortgage Inputs'!$B$8),MONTH('Mortgage Inputs'!$B$8)+A399,DAY('Mortgage Inputs'!$B$8)))</f>
        <v/>
      </c>
      <c r="C399" s="2" t="str">
        <f t="shared" si="19"/>
        <v/>
      </c>
      <c r="D399" s="2" t="str">
        <f t="shared" si="20"/>
        <v/>
      </c>
      <c r="E399" s="2" t="str">
        <f>IF(A399="","",MAX(0,(C399-MIN(D399,C399))*'Mortgage Inputs'!$B$15))</f>
        <v/>
      </c>
      <c r="F399" s="2" t="str">
        <f>IF(A399="","",IF(AND('Offset Inputs'!$B$5&gt;='Mortgage Inputs'!$B$5,'Mortgage Inputs'!$B$5&gt;0),C399,MIN(C399,MAX(0,'Mortgage Inputs'!$B$17-E399))))</f>
        <v/>
      </c>
      <c r="G399" s="2" t="str">
        <f t="shared" si="18"/>
        <v/>
      </c>
      <c r="H399" s="2" t="str">
        <f>IF(A399="","",IF(AND('Offset Inputs'!$B$5&gt;='Mortgage Inputs'!$B$5,'Mortgage Inputs'!$B$5&gt;0),'Offset Inputs'!$B$5-'Mortgage Inputs'!$B$5,D399+'Offset Inputs'!$B$6))</f>
        <v/>
      </c>
    </row>
    <row r="400" spans="1:8" ht="22" customHeight="1">
      <c r="A400" s="1" t="str">
        <f>IF(AND('Mortgage Inputs'!$B$12,394&lt;=IF('Mortgage Inputs'!$B$12,'Mortgage Inputs'!$B$7,0)*12+600,ISNUMBER(G399),G399&gt;0.005),394,"")</f>
        <v/>
      </c>
      <c r="B400" s="4" t="str">
        <f>IF(A400="","",DATE(YEAR('Mortgage Inputs'!$B$8),MONTH('Mortgage Inputs'!$B$8)+A400,DAY('Mortgage Inputs'!$B$8)))</f>
        <v/>
      </c>
      <c r="C400" s="2" t="str">
        <f t="shared" si="19"/>
        <v/>
      </c>
      <c r="D400" s="2" t="str">
        <f t="shared" si="20"/>
        <v/>
      </c>
      <c r="E400" s="2" t="str">
        <f>IF(A400="","",MAX(0,(C400-MIN(D400,C400))*'Mortgage Inputs'!$B$15))</f>
        <v/>
      </c>
      <c r="F400" s="2" t="str">
        <f>IF(A400="","",IF(AND('Offset Inputs'!$B$5&gt;='Mortgage Inputs'!$B$5,'Mortgage Inputs'!$B$5&gt;0),C400,MIN(C400,MAX(0,'Mortgage Inputs'!$B$17-E400))))</f>
        <v/>
      </c>
      <c r="G400" s="2" t="str">
        <f t="shared" si="18"/>
        <v/>
      </c>
      <c r="H400" s="2" t="str">
        <f>IF(A400="","",IF(AND('Offset Inputs'!$B$5&gt;='Mortgage Inputs'!$B$5,'Mortgage Inputs'!$B$5&gt;0),'Offset Inputs'!$B$5-'Mortgage Inputs'!$B$5,D400+'Offset Inputs'!$B$6))</f>
        <v/>
      </c>
    </row>
    <row r="401" spans="1:8" ht="22" customHeight="1">
      <c r="A401" s="1" t="str">
        <f>IF(AND('Mortgage Inputs'!$B$12,395&lt;=IF('Mortgage Inputs'!$B$12,'Mortgage Inputs'!$B$7,0)*12+600,ISNUMBER(G400),G400&gt;0.005),395,"")</f>
        <v/>
      </c>
      <c r="B401" s="4" t="str">
        <f>IF(A401="","",DATE(YEAR('Mortgage Inputs'!$B$8),MONTH('Mortgage Inputs'!$B$8)+A401,DAY('Mortgage Inputs'!$B$8)))</f>
        <v/>
      </c>
      <c r="C401" s="2" t="str">
        <f t="shared" si="19"/>
        <v/>
      </c>
      <c r="D401" s="2" t="str">
        <f t="shared" si="20"/>
        <v/>
      </c>
      <c r="E401" s="2" t="str">
        <f>IF(A401="","",MAX(0,(C401-MIN(D401,C401))*'Mortgage Inputs'!$B$15))</f>
        <v/>
      </c>
      <c r="F401" s="2" t="str">
        <f>IF(A401="","",IF(AND('Offset Inputs'!$B$5&gt;='Mortgage Inputs'!$B$5,'Mortgage Inputs'!$B$5&gt;0),C401,MIN(C401,MAX(0,'Mortgage Inputs'!$B$17-E401))))</f>
        <v/>
      </c>
      <c r="G401" s="2" t="str">
        <f t="shared" si="18"/>
        <v/>
      </c>
      <c r="H401" s="2" t="str">
        <f>IF(A401="","",IF(AND('Offset Inputs'!$B$5&gt;='Mortgage Inputs'!$B$5,'Mortgage Inputs'!$B$5&gt;0),'Offset Inputs'!$B$5-'Mortgage Inputs'!$B$5,D401+'Offset Inputs'!$B$6))</f>
        <v/>
      </c>
    </row>
    <row r="402" spans="1:8" ht="22" customHeight="1">
      <c r="A402" s="1" t="str">
        <f>IF(AND('Mortgage Inputs'!$B$12,396&lt;=IF('Mortgage Inputs'!$B$12,'Mortgage Inputs'!$B$7,0)*12+600,ISNUMBER(G401),G401&gt;0.005),396,"")</f>
        <v/>
      </c>
      <c r="B402" s="4" t="str">
        <f>IF(A402="","",DATE(YEAR('Mortgage Inputs'!$B$8),MONTH('Mortgage Inputs'!$B$8)+A402,DAY('Mortgage Inputs'!$B$8)))</f>
        <v/>
      </c>
      <c r="C402" s="2" t="str">
        <f t="shared" si="19"/>
        <v/>
      </c>
      <c r="D402" s="2" t="str">
        <f t="shared" si="20"/>
        <v/>
      </c>
      <c r="E402" s="2" t="str">
        <f>IF(A402="","",MAX(0,(C402-MIN(D402,C402))*'Mortgage Inputs'!$B$15))</f>
        <v/>
      </c>
      <c r="F402" s="2" t="str">
        <f>IF(A402="","",IF(AND('Offset Inputs'!$B$5&gt;='Mortgage Inputs'!$B$5,'Mortgage Inputs'!$B$5&gt;0),C402,MIN(C402,MAX(0,'Mortgage Inputs'!$B$17-E402))))</f>
        <v/>
      </c>
      <c r="G402" s="2" t="str">
        <f t="shared" si="18"/>
        <v/>
      </c>
      <c r="H402" s="2" t="str">
        <f>IF(A402="","",IF(AND('Offset Inputs'!$B$5&gt;='Mortgage Inputs'!$B$5,'Mortgage Inputs'!$B$5&gt;0),'Offset Inputs'!$B$5-'Mortgage Inputs'!$B$5,D402+'Offset Inputs'!$B$6))</f>
        <v/>
      </c>
    </row>
    <row r="403" spans="1:8" ht="22" customHeight="1">
      <c r="A403" s="1" t="str">
        <f>IF(AND('Mortgage Inputs'!$B$12,397&lt;=IF('Mortgage Inputs'!$B$12,'Mortgage Inputs'!$B$7,0)*12+600,ISNUMBER(G402),G402&gt;0.005),397,"")</f>
        <v/>
      </c>
      <c r="B403" s="4" t="str">
        <f>IF(A403="","",DATE(YEAR('Mortgage Inputs'!$B$8),MONTH('Mortgage Inputs'!$B$8)+A403,DAY('Mortgage Inputs'!$B$8)))</f>
        <v/>
      </c>
      <c r="C403" s="2" t="str">
        <f t="shared" si="19"/>
        <v/>
      </c>
      <c r="D403" s="2" t="str">
        <f t="shared" si="20"/>
        <v/>
      </c>
      <c r="E403" s="2" t="str">
        <f>IF(A403="","",MAX(0,(C403-MIN(D403,C403))*'Mortgage Inputs'!$B$15))</f>
        <v/>
      </c>
      <c r="F403" s="2" t="str">
        <f>IF(A403="","",IF(AND('Offset Inputs'!$B$5&gt;='Mortgage Inputs'!$B$5,'Mortgage Inputs'!$B$5&gt;0),C403,MIN(C403,MAX(0,'Mortgage Inputs'!$B$17-E403))))</f>
        <v/>
      </c>
      <c r="G403" s="2" t="str">
        <f t="shared" si="18"/>
        <v/>
      </c>
      <c r="H403" s="2" t="str">
        <f>IF(A403="","",IF(AND('Offset Inputs'!$B$5&gt;='Mortgage Inputs'!$B$5,'Mortgage Inputs'!$B$5&gt;0),'Offset Inputs'!$B$5-'Mortgage Inputs'!$B$5,D403+'Offset Inputs'!$B$6))</f>
        <v/>
      </c>
    </row>
    <row r="404" spans="1:8" ht="22" customHeight="1">
      <c r="A404" s="1" t="str">
        <f>IF(AND('Mortgage Inputs'!$B$12,398&lt;=IF('Mortgage Inputs'!$B$12,'Mortgage Inputs'!$B$7,0)*12+600,ISNUMBER(G403),G403&gt;0.005),398,"")</f>
        <v/>
      </c>
      <c r="B404" s="4" t="str">
        <f>IF(A404="","",DATE(YEAR('Mortgage Inputs'!$B$8),MONTH('Mortgage Inputs'!$B$8)+A404,DAY('Mortgage Inputs'!$B$8)))</f>
        <v/>
      </c>
      <c r="C404" s="2" t="str">
        <f t="shared" si="19"/>
        <v/>
      </c>
      <c r="D404" s="2" t="str">
        <f t="shared" si="20"/>
        <v/>
      </c>
      <c r="E404" s="2" t="str">
        <f>IF(A404="","",MAX(0,(C404-MIN(D404,C404))*'Mortgage Inputs'!$B$15))</f>
        <v/>
      </c>
      <c r="F404" s="2" t="str">
        <f>IF(A404="","",IF(AND('Offset Inputs'!$B$5&gt;='Mortgage Inputs'!$B$5,'Mortgage Inputs'!$B$5&gt;0),C404,MIN(C404,MAX(0,'Mortgage Inputs'!$B$17-E404))))</f>
        <v/>
      </c>
      <c r="G404" s="2" t="str">
        <f t="shared" si="18"/>
        <v/>
      </c>
      <c r="H404" s="2" t="str">
        <f>IF(A404="","",IF(AND('Offset Inputs'!$B$5&gt;='Mortgage Inputs'!$B$5,'Mortgage Inputs'!$B$5&gt;0),'Offset Inputs'!$B$5-'Mortgage Inputs'!$B$5,D404+'Offset Inputs'!$B$6))</f>
        <v/>
      </c>
    </row>
    <row r="405" spans="1:8" ht="22" customHeight="1">
      <c r="A405" s="1" t="str">
        <f>IF(AND('Mortgage Inputs'!$B$12,399&lt;=IF('Mortgage Inputs'!$B$12,'Mortgage Inputs'!$B$7,0)*12+600,ISNUMBER(G404),G404&gt;0.005),399,"")</f>
        <v/>
      </c>
      <c r="B405" s="4" t="str">
        <f>IF(A405="","",DATE(YEAR('Mortgage Inputs'!$B$8),MONTH('Mortgage Inputs'!$B$8)+A405,DAY('Mortgage Inputs'!$B$8)))</f>
        <v/>
      </c>
      <c r="C405" s="2" t="str">
        <f t="shared" si="19"/>
        <v/>
      </c>
      <c r="D405" s="2" t="str">
        <f t="shared" si="20"/>
        <v/>
      </c>
      <c r="E405" s="2" t="str">
        <f>IF(A405="","",MAX(0,(C405-MIN(D405,C405))*'Mortgage Inputs'!$B$15))</f>
        <v/>
      </c>
      <c r="F405" s="2" t="str">
        <f>IF(A405="","",IF(AND('Offset Inputs'!$B$5&gt;='Mortgage Inputs'!$B$5,'Mortgage Inputs'!$B$5&gt;0),C405,MIN(C405,MAX(0,'Mortgage Inputs'!$B$17-E405))))</f>
        <v/>
      </c>
      <c r="G405" s="2" t="str">
        <f t="shared" si="18"/>
        <v/>
      </c>
      <c r="H405" s="2" t="str">
        <f>IF(A405="","",IF(AND('Offset Inputs'!$B$5&gt;='Mortgage Inputs'!$B$5,'Mortgage Inputs'!$B$5&gt;0),'Offset Inputs'!$B$5-'Mortgage Inputs'!$B$5,D405+'Offset Inputs'!$B$6))</f>
        <v/>
      </c>
    </row>
    <row r="406" spans="1:8" ht="22" customHeight="1">
      <c r="A406" s="1" t="str">
        <f>IF(AND('Mortgage Inputs'!$B$12,400&lt;=IF('Mortgage Inputs'!$B$12,'Mortgage Inputs'!$B$7,0)*12+600,ISNUMBER(G405),G405&gt;0.005),400,"")</f>
        <v/>
      </c>
      <c r="B406" s="4" t="str">
        <f>IF(A406="","",DATE(YEAR('Mortgage Inputs'!$B$8),MONTH('Mortgage Inputs'!$B$8)+A406,DAY('Mortgage Inputs'!$B$8)))</f>
        <v/>
      </c>
      <c r="C406" s="2" t="str">
        <f t="shared" si="19"/>
        <v/>
      </c>
      <c r="D406" s="2" t="str">
        <f t="shared" si="20"/>
        <v/>
      </c>
      <c r="E406" s="2" t="str">
        <f>IF(A406="","",MAX(0,(C406-MIN(D406,C406))*'Mortgage Inputs'!$B$15))</f>
        <v/>
      </c>
      <c r="F406" s="2" t="str">
        <f>IF(A406="","",IF(AND('Offset Inputs'!$B$5&gt;='Mortgage Inputs'!$B$5,'Mortgage Inputs'!$B$5&gt;0),C406,MIN(C406,MAX(0,'Mortgage Inputs'!$B$17-E406))))</f>
        <v/>
      </c>
      <c r="G406" s="2" t="str">
        <f t="shared" si="18"/>
        <v/>
      </c>
      <c r="H406" s="2" t="str">
        <f>IF(A406="","",IF(AND('Offset Inputs'!$B$5&gt;='Mortgage Inputs'!$B$5,'Mortgage Inputs'!$B$5&gt;0),'Offset Inputs'!$B$5-'Mortgage Inputs'!$B$5,D406+'Offset Inputs'!$B$6))</f>
        <v/>
      </c>
    </row>
    <row r="407" spans="1:8" ht="22" customHeight="1">
      <c r="A407" s="1" t="str">
        <f>IF(AND('Mortgage Inputs'!$B$12,401&lt;=IF('Mortgage Inputs'!$B$12,'Mortgage Inputs'!$B$7,0)*12+600,ISNUMBER(G406),G406&gt;0.005),401,"")</f>
        <v/>
      </c>
      <c r="B407" s="4" t="str">
        <f>IF(A407="","",DATE(YEAR('Mortgage Inputs'!$B$8),MONTH('Mortgage Inputs'!$B$8)+A407,DAY('Mortgage Inputs'!$B$8)))</f>
        <v/>
      </c>
      <c r="C407" s="2" t="str">
        <f t="shared" si="19"/>
        <v/>
      </c>
      <c r="D407" s="2" t="str">
        <f t="shared" si="20"/>
        <v/>
      </c>
      <c r="E407" s="2" t="str">
        <f>IF(A407="","",MAX(0,(C407-MIN(D407,C407))*'Mortgage Inputs'!$B$15))</f>
        <v/>
      </c>
      <c r="F407" s="2" t="str">
        <f>IF(A407="","",IF(AND('Offset Inputs'!$B$5&gt;='Mortgage Inputs'!$B$5,'Mortgage Inputs'!$B$5&gt;0),C407,MIN(C407,MAX(0,'Mortgage Inputs'!$B$17-E407))))</f>
        <v/>
      </c>
      <c r="G407" s="2" t="str">
        <f t="shared" si="18"/>
        <v/>
      </c>
      <c r="H407" s="2" t="str">
        <f>IF(A407="","",IF(AND('Offset Inputs'!$B$5&gt;='Mortgage Inputs'!$B$5,'Mortgage Inputs'!$B$5&gt;0),'Offset Inputs'!$B$5-'Mortgage Inputs'!$B$5,D407+'Offset Inputs'!$B$6))</f>
        <v/>
      </c>
    </row>
    <row r="408" spans="1:8" ht="22" customHeight="1">
      <c r="A408" s="1" t="str">
        <f>IF(AND('Mortgage Inputs'!$B$12,402&lt;=IF('Mortgage Inputs'!$B$12,'Mortgage Inputs'!$B$7,0)*12+600,ISNUMBER(G407),G407&gt;0.005),402,"")</f>
        <v/>
      </c>
      <c r="B408" s="4" t="str">
        <f>IF(A408="","",DATE(YEAR('Mortgage Inputs'!$B$8),MONTH('Mortgage Inputs'!$B$8)+A408,DAY('Mortgage Inputs'!$B$8)))</f>
        <v/>
      </c>
      <c r="C408" s="2" t="str">
        <f t="shared" si="19"/>
        <v/>
      </c>
      <c r="D408" s="2" t="str">
        <f t="shared" si="20"/>
        <v/>
      </c>
      <c r="E408" s="2" t="str">
        <f>IF(A408="","",MAX(0,(C408-MIN(D408,C408))*'Mortgage Inputs'!$B$15))</f>
        <v/>
      </c>
      <c r="F408" s="2" t="str">
        <f>IF(A408="","",IF(AND('Offset Inputs'!$B$5&gt;='Mortgage Inputs'!$B$5,'Mortgage Inputs'!$B$5&gt;0),C408,MIN(C408,MAX(0,'Mortgage Inputs'!$B$17-E408))))</f>
        <v/>
      </c>
      <c r="G408" s="2" t="str">
        <f t="shared" si="18"/>
        <v/>
      </c>
      <c r="H408" s="2" t="str">
        <f>IF(A408="","",IF(AND('Offset Inputs'!$B$5&gt;='Mortgage Inputs'!$B$5,'Mortgage Inputs'!$B$5&gt;0),'Offset Inputs'!$B$5-'Mortgage Inputs'!$B$5,D408+'Offset Inputs'!$B$6))</f>
        <v/>
      </c>
    </row>
    <row r="409" spans="1:8" ht="22" customHeight="1">
      <c r="A409" s="1" t="str">
        <f>IF(AND('Mortgage Inputs'!$B$12,403&lt;=IF('Mortgage Inputs'!$B$12,'Mortgage Inputs'!$B$7,0)*12+600,ISNUMBER(G408),G408&gt;0.005),403,"")</f>
        <v/>
      </c>
      <c r="B409" s="4" t="str">
        <f>IF(A409="","",DATE(YEAR('Mortgage Inputs'!$B$8),MONTH('Mortgage Inputs'!$B$8)+A409,DAY('Mortgage Inputs'!$B$8)))</f>
        <v/>
      </c>
      <c r="C409" s="2" t="str">
        <f t="shared" si="19"/>
        <v/>
      </c>
      <c r="D409" s="2" t="str">
        <f t="shared" si="20"/>
        <v/>
      </c>
      <c r="E409" s="2" t="str">
        <f>IF(A409="","",MAX(0,(C409-MIN(D409,C409))*'Mortgage Inputs'!$B$15))</f>
        <v/>
      </c>
      <c r="F409" s="2" t="str">
        <f>IF(A409="","",IF(AND('Offset Inputs'!$B$5&gt;='Mortgage Inputs'!$B$5,'Mortgage Inputs'!$B$5&gt;0),C409,MIN(C409,MAX(0,'Mortgage Inputs'!$B$17-E409))))</f>
        <v/>
      </c>
      <c r="G409" s="2" t="str">
        <f t="shared" si="18"/>
        <v/>
      </c>
      <c r="H409" s="2" t="str">
        <f>IF(A409="","",IF(AND('Offset Inputs'!$B$5&gt;='Mortgage Inputs'!$B$5,'Mortgage Inputs'!$B$5&gt;0),'Offset Inputs'!$B$5-'Mortgage Inputs'!$B$5,D409+'Offset Inputs'!$B$6))</f>
        <v/>
      </c>
    </row>
    <row r="410" spans="1:8" ht="22" customHeight="1">
      <c r="A410" s="1" t="str">
        <f>IF(AND('Mortgage Inputs'!$B$12,404&lt;=IF('Mortgage Inputs'!$B$12,'Mortgage Inputs'!$B$7,0)*12+600,ISNUMBER(G409),G409&gt;0.005),404,"")</f>
        <v/>
      </c>
      <c r="B410" s="4" t="str">
        <f>IF(A410="","",DATE(YEAR('Mortgage Inputs'!$B$8),MONTH('Mortgage Inputs'!$B$8)+A410,DAY('Mortgage Inputs'!$B$8)))</f>
        <v/>
      </c>
      <c r="C410" s="2" t="str">
        <f t="shared" si="19"/>
        <v/>
      </c>
      <c r="D410" s="2" t="str">
        <f t="shared" si="20"/>
        <v/>
      </c>
      <c r="E410" s="2" t="str">
        <f>IF(A410="","",MAX(0,(C410-MIN(D410,C410))*'Mortgage Inputs'!$B$15))</f>
        <v/>
      </c>
      <c r="F410" s="2" t="str">
        <f>IF(A410="","",IF(AND('Offset Inputs'!$B$5&gt;='Mortgage Inputs'!$B$5,'Mortgage Inputs'!$B$5&gt;0),C410,MIN(C410,MAX(0,'Mortgage Inputs'!$B$17-E410))))</f>
        <v/>
      </c>
      <c r="G410" s="2" t="str">
        <f t="shared" si="18"/>
        <v/>
      </c>
      <c r="H410" s="2" t="str">
        <f>IF(A410="","",IF(AND('Offset Inputs'!$B$5&gt;='Mortgage Inputs'!$B$5,'Mortgage Inputs'!$B$5&gt;0),'Offset Inputs'!$B$5-'Mortgage Inputs'!$B$5,D410+'Offset Inputs'!$B$6))</f>
        <v/>
      </c>
    </row>
    <row r="411" spans="1:8" ht="22" customHeight="1">
      <c r="A411" s="1" t="str">
        <f>IF(AND('Mortgage Inputs'!$B$12,405&lt;=IF('Mortgage Inputs'!$B$12,'Mortgage Inputs'!$B$7,0)*12+600,ISNUMBER(G410),G410&gt;0.005),405,"")</f>
        <v/>
      </c>
      <c r="B411" s="4" t="str">
        <f>IF(A411="","",DATE(YEAR('Mortgage Inputs'!$B$8),MONTH('Mortgage Inputs'!$B$8)+A411,DAY('Mortgage Inputs'!$B$8)))</f>
        <v/>
      </c>
      <c r="C411" s="2" t="str">
        <f t="shared" si="19"/>
        <v/>
      </c>
      <c r="D411" s="2" t="str">
        <f t="shared" si="20"/>
        <v/>
      </c>
      <c r="E411" s="2" t="str">
        <f>IF(A411="","",MAX(0,(C411-MIN(D411,C411))*'Mortgage Inputs'!$B$15))</f>
        <v/>
      </c>
      <c r="F411" s="2" t="str">
        <f>IF(A411="","",IF(AND('Offset Inputs'!$B$5&gt;='Mortgage Inputs'!$B$5,'Mortgage Inputs'!$B$5&gt;0),C411,MIN(C411,MAX(0,'Mortgage Inputs'!$B$17-E411))))</f>
        <v/>
      </c>
      <c r="G411" s="2" t="str">
        <f t="shared" si="18"/>
        <v/>
      </c>
      <c r="H411" s="2" t="str">
        <f>IF(A411="","",IF(AND('Offset Inputs'!$B$5&gt;='Mortgage Inputs'!$B$5,'Mortgage Inputs'!$B$5&gt;0),'Offset Inputs'!$B$5-'Mortgage Inputs'!$B$5,D411+'Offset Inputs'!$B$6))</f>
        <v/>
      </c>
    </row>
    <row r="412" spans="1:8" ht="22" customHeight="1">
      <c r="A412" s="1" t="str">
        <f>IF(AND('Mortgage Inputs'!$B$12,406&lt;=IF('Mortgage Inputs'!$B$12,'Mortgage Inputs'!$B$7,0)*12+600,ISNUMBER(G411),G411&gt;0.005),406,"")</f>
        <v/>
      </c>
      <c r="B412" s="4" t="str">
        <f>IF(A412="","",DATE(YEAR('Mortgage Inputs'!$B$8),MONTH('Mortgage Inputs'!$B$8)+A412,DAY('Mortgage Inputs'!$B$8)))</f>
        <v/>
      </c>
      <c r="C412" s="2" t="str">
        <f t="shared" si="19"/>
        <v/>
      </c>
      <c r="D412" s="2" t="str">
        <f t="shared" si="20"/>
        <v/>
      </c>
      <c r="E412" s="2" t="str">
        <f>IF(A412="","",MAX(0,(C412-MIN(D412,C412))*'Mortgage Inputs'!$B$15))</f>
        <v/>
      </c>
      <c r="F412" s="2" t="str">
        <f>IF(A412="","",IF(AND('Offset Inputs'!$B$5&gt;='Mortgage Inputs'!$B$5,'Mortgage Inputs'!$B$5&gt;0),C412,MIN(C412,MAX(0,'Mortgage Inputs'!$B$17-E412))))</f>
        <v/>
      </c>
      <c r="G412" s="2" t="str">
        <f t="shared" si="18"/>
        <v/>
      </c>
      <c r="H412" s="2" t="str">
        <f>IF(A412="","",IF(AND('Offset Inputs'!$B$5&gt;='Mortgage Inputs'!$B$5,'Mortgage Inputs'!$B$5&gt;0),'Offset Inputs'!$B$5-'Mortgage Inputs'!$B$5,D412+'Offset Inputs'!$B$6))</f>
        <v/>
      </c>
    </row>
    <row r="413" spans="1:8" ht="22" customHeight="1">
      <c r="A413" s="1" t="str">
        <f>IF(AND('Mortgage Inputs'!$B$12,407&lt;=IF('Mortgage Inputs'!$B$12,'Mortgage Inputs'!$B$7,0)*12+600,ISNUMBER(G412),G412&gt;0.005),407,"")</f>
        <v/>
      </c>
      <c r="B413" s="4" t="str">
        <f>IF(A413="","",DATE(YEAR('Mortgage Inputs'!$B$8),MONTH('Mortgage Inputs'!$B$8)+A413,DAY('Mortgage Inputs'!$B$8)))</f>
        <v/>
      </c>
      <c r="C413" s="2" t="str">
        <f t="shared" si="19"/>
        <v/>
      </c>
      <c r="D413" s="2" t="str">
        <f t="shared" si="20"/>
        <v/>
      </c>
      <c r="E413" s="2" t="str">
        <f>IF(A413="","",MAX(0,(C413-MIN(D413,C413))*'Mortgage Inputs'!$B$15))</f>
        <v/>
      </c>
      <c r="F413" s="2" t="str">
        <f>IF(A413="","",IF(AND('Offset Inputs'!$B$5&gt;='Mortgage Inputs'!$B$5,'Mortgage Inputs'!$B$5&gt;0),C413,MIN(C413,MAX(0,'Mortgage Inputs'!$B$17-E413))))</f>
        <v/>
      </c>
      <c r="G413" s="2" t="str">
        <f t="shared" si="18"/>
        <v/>
      </c>
      <c r="H413" s="2" t="str">
        <f>IF(A413="","",IF(AND('Offset Inputs'!$B$5&gt;='Mortgage Inputs'!$B$5,'Mortgage Inputs'!$B$5&gt;0),'Offset Inputs'!$B$5-'Mortgage Inputs'!$B$5,D413+'Offset Inputs'!$B$6))</f>
        <v/>
      </c>
    </row>
    <row r="414" spans="1:8" ht="22" customHeight="1">
      <c r="A414" s="1" t="str">
        <f>IF(AND('Mortgage Inputs'!$B$12,408&lt;=IF('Mortgage Inputs'!$B$12,'Mortgage Inputs'!$B$7,0)*12+600,ISNUMBER(G413),G413&gt;0.005),408,"")</f>
        <v/>
      </c>
      <c r="B414" s="4" t="str">
        <f>IF(A414="","",DATE(YEAR('Mortgage Inputs'!$B$8),MONTH('Mortgage Inputs'!$B$8)+A414,DAY('Mortgage Inputs'!$B$8)))</f>
        <v/>
      </c>
      <c r="C414" s="2" t="str">
        <f t="shared" si="19"/>
        <v/>
      </c>
      <c r="D414" s="2" t="str">
        <f t="shared" si="20"/>
        <v/>
      </c>
      <c r="E414" s="2" t="str">
        <f>IF(A414="","",MAX(0,(C414-MIN(D414,C414))*'Mortgage Inputs'!$B$15))</f>
        <v/>
      </c>
      <c r="F414" s="2" t="str">
        <f>IF(A414="","",IF(AND('Offset Inputs'!$B$5&gt;='Mortgage Inputs'!$B$5,'Mortgage Inputs'!$B$5&gt;0),C414,MIN(C414,MAX(0,'Mortgage Inputs'!$B$17-E414))))</f>
        <v/>
      </c>
      <c r="G414" s="2" t="str">
        <f t="shared" si="18"/>
        <v/>
      </c>
      <c r="H414" s="2" t="str">
        <f>IF(A414="","",IF(AND('Offset Inputs'!$B$5&gt;='Mortgage Inputs'!$B$5,'Mortgage Inputs'!$B$5&gt;0),'Offset Inputs'!$B$5-'Mortgage Inputs'!$B$5,D414+'Offset Inputs'!$B$6))</f>
        <v/>
      </c>
    </row>
    <row r="415" spans="1:8" ht="22" customHeight="1">
      <c r="A415" s="1" t="str">
        <f>IF(AND('Mortgage Inputs'!$B$12,409&lt;=IF('Mortgage Inputs'!$B$12,'Mortgage Inputs'!$B$7,0)*12+600,ISNUMBER(G414),G414&gt;0.005),409,"")</f>
        <v/>
      </c>
      <c r="B415" s="4" t="str">
        <f>IF(A415="","",DATE(YEAR('Mortgage Inputs'!$B$8),MONTH('Mortgage Inputs'!$B$8)+A415,DAY('Mortgage Inputs'!$B$8)))</f>
        <v/>
      </c>
      <c r="C415" s="2" t="str">
        <f t="shared" si="19"/>
        <v/>
      </c>
      <c r="D415" s="2" t="str">
        <f t="shared" si="20"/>
        <v/>
      </c>
      <c r="E415" s="2" t="str">
        <f>IF(A415="","",MAX(0,(C415-MIN(D415,C415))*'Mortgage Inputs'!$B$15))</f>
        <v/>
      </c>
      <c r="F415" s="2" t="str">
        <f>IF(A415="","",IF(AND('Offset Inputs'!$B$5&gt;='Mortgage Inputs'!$B$5,'Mortgage Inputs'!$B$5&gt;0),C415,MIN(C415,MAX(0,'Mortgage Inputs'!$B$17-E415))))</f>
        <v/>
      </c>
      <c r="G415" s="2" t="str">
        <f t="shared" si="18"/>
        <v/>
      </c>
      <c r="H415" s="2" t="str">
        <f>IF(A415="","",IF(AND('Offset Inputs'!$B$5&gt;='Mortgage Inputs'!$B$5,'Mortgage Inputs'!$B$5&gt;0),'Offset Inputs'!$B$5-'Mortgage Inputs'!$B$5,D415+'Offset Inputs'!$B$6))</f>
        <v/>
      </c>
    </row>
    <row r="416" spans="1:8" ht="22" customHeight="1">
      <c r="A416" s="1" t="str">
        <f>IF(AND('Mortgage Inputs'!$B$12,410&lt;=IF('Mortgage Inputs'!$B$12,'Mortgage Inputs'!$B$7,0)*12+600,ISNUMBER(G415),G415&gt;0.005),410,"")</f>
        <v/>
      </c>
      <c r="B416" s="4" t="str">
        <f>IF(A416="","",DATE(YEAR('Mortgage Inputs'!$B$8),MONTH('Mortgage Inputs'!$B$8)+A416,DAY('Mortgage Inputs'!$B$8)))</f>
        <v/>
      </c>
      <c r="C416" s="2" t="str">
        <f t="shared" si="19"/>
        <v/>
      </c>
      <c r="D416" s="2" t="str">
        <f t="shared" si="20"/>
        <v/>
      </c>
      <c r="E416" s="2" t="str">
        <f>IF(A416="","",MAX(0,(C416-MIN(D416,C416))*'Mortgage Inputs'!$B$15))</f>
        <v/>
      </c>
      <c r="F416" s="2" t="str">
        <f>IF(A416="","",IF(AND('Offset Inputs'!$B$5&gt;='Mortgage Inputs'!$B$5,'Mortgage Inputs'!$B$5&gt;0),C416,MIN(C416,MAX(0,'Mortgage Inputs'!$B$17-E416))))</f>
        <v/>
      </c>
      <c r="G416" s="2" t="str">
        <f t="shared" si="18"/>
        <v/>
      </c>
      <c r="H416" s="2" t="str">
        <f>IF(A416="","",IF(AND('Offset Inputs'!$B$5&gt;='Mortgage Inputs'!$B$5,'Mortgage Inputs'!$B$5&gt;0),'Offset Inputs'!$B$5-'Mortgage Inputs'!$B$5,D416+'Offset Inputs'!$B$6))</f>
        <v/>
      </c>
    </row>
    <row r="417" spans="1:8" ht="22" customHeight="1">
      <c r="A417" s="1" t="str">
        <f>IF(AND('Mortgage Inputs'!$B$12,411&lt;=IF('Mortgage Inputs'!$B$12,'Mortgage Inputs'!$B$7,0)*12+600,ISNUMBER(G416),G416&gt;0.005),411,"")</f>
        <v/>
      </c>
      <c r="B417" s="4" t="str">
        <f>IF(A417="","",DATE(YEAR('Mortgage Inputs'!$B$8),MONTH('Mortgage Inputs'!$B$8)+A417,DAY('Mortgage Inputs'!$B$8)))</f>
        <v/>
      </c>
      <c r="C417" s="2" t="str">
        <f t="shared" si="19"/>
        <v/>
      </c>
      <c r="D417" s="2" t="str">
        <f t="shared" si="20"/>
        <v/>
      </c>
      <c r="E417" s="2" t="str">
        <f>IF(A417="","",MAX(0,(C417-MIN(D417,C417))*'Mortgage Inputs'!$B$15))</f>
        <v/>
      </c>
      <c r="F417" s="2" t="str">
        <f>IF(A417="","",IF(AND('Offset Inputs'!$B$5&gt;='Mortgage Inputs'!$B$5,'Mortgage Inputs'!$B$5&gt;0),C417,MIN(C417,MAX(0,'Mortgage Inputs'!$B$17-E417))))</f>
        <v/>
      </c>
      <c r="G417" s="2" t="str">
        <f t="shared" si="18"/>
        <v/>
      </c>
      <c r="H417" s="2" t="str">
        <f>IF(A417="","",IF(AND('Offset Inputs'!$B$5&gt;='Mortgage Inputs'!$B$5,'Mortgage Inputs'!$B$5&gt;0),'Offset Inputs'!$B$5-'Mortgage Inputs'!$B$5,D417+'Offset Inputs'!$B$6))</f>
        <v/>
      </c>
    </row>
    <row r="418" spans="1:8" ht="22" customHeight="1">
      <c r="A418" s="1" t="str">
        <f>IF(AND('Mortgage Inputs'!$B$12,412&lt;=IF('Mortgage Inputs'!$B$12,'Mortgage Inputs'!$B$7,0)*12+600,ISNUMBER(G417),G417&gt;0.005),412,"")</f>
        <v/>
      </c>
      <c r="B418" s="4" t="str">
        <f>IF(A418="","",DATE(YEAR('Mortgage Inputs'!$B$8),MONTH('Mortgage Inputs'!$B$8)+A418,DAY('Mortgage Inputs'!$B$8)))</f>
        <v/>
      </c>
      <c r="C418" s="2" t="str">
        <f t="shared" si="19"/>
        <v/>
      </c>
      <c r="D418" s="2" t="str">
        <f t="shared" si="20"/>
        <v/>
      </c>
      <c r="E418" s="2" t="str">
        <f>IF(A418="","",MAX(0,(C418-MIN(D418,C418))*'Mortgage Inputs'!$B$15))</f>
        <v/>
      </c>
      <c r="F418" s="2" t="str">
        <f>IF(A418="","",IF(AND('Offset Inputs'!$B$5&gt;='Mortgage Inputs'!$B$5,'Mortgage Inputs'!$B$5&gt;0),C418,MIN(C418,MAX(0,'Mortgage Inputs'!$B$17-E418))))</f>
        <v/>
      </c>
      <c r="G418" s="2" t="str">
        <f t="shared" si="18"/>
        <v/>
      </c>
      <c r="H418" s="2" t="str">
        <f>IF(A418="","",IF(AND('Offset Inputs'!$B$5&gt;='Mortgage Inputs'!$B$5,'Mortgage Inputs'!$B$5&gt;0),'Offset Inputs'!$B$5-'Mortgage Inputs'!$B$5,D418+'Offset Inputs'!$B$6))</f>
        <v/>
      </c>
    </row>
    <row r="419" spans="1:8" ht="22" customHeight="1">
      <c r="A419" s="1" t="str">
        <f>IF(AND('Mortgage Inputs'!$B$12,413&lt;=IF('Mortgage Inputs'!$B$12,'Mortgage Inputs'!$B$7,0)*12+600,ISNUMBER(G418),G418&gt;0.005),413,"")</f>
        <v/>
      </c>
      <c r="B419" s="4" t="str">
        <f>IF(A419="","",DATE(YEAR('Mortgage Inputs'!$B$8),MONTH('Mortgage Inputs'!$B$8)+A419,DAY('Mortgage Inputs'!$B$8)))</f>
        <v/>
      </c>
      <c r="C419" s="2" t="str">
        <f t="shared" si="19"/>
        <v/>
      </c>
      <c r="D419" s="2" t="str">
        <f t="shared" si="20"/>
        <v/>
      </c>
      <c r="E419" s="2" t="str">
        <f>IF(A419="","",MAX(0,(C419-MIN(D419,C419))*'Mortgage Inputs'!$B$15))</f>
        <v/>
      </c>
      <c r="F419" s="2" t="str">
        <f>IF(A419="","",IF(AND('Offset Inputs'!$B$5&gt;='Mortgage Inputs'!$B$5,'Mortgage Inputs'!$B$5&gt;0),C419,MIN(C419,MAX(0,'Mortgage Inputs'!$B$17-E419))))</f>
        <v/>
      </c>
      <c r="G419" s="2" t="str">
        <f t="shared" si="18"/>
        <v/>
      </c>
      <c r="H419" s="2" t="str">
        <f>IF(A419="","",IF(AND('Offset Inputs'!$B$5&gt;='Mortgage Inputs'!$B$5,'Mortgage Inputs'!$B$5&gt;0),'Offset Inputs'!$B$5-'Mortgage Inputs'!$B$5,D419+'Offset Inputs'!$B$6))</f>
        <v/>
      </c>
    </row>
    <row r="420" spans="1:8" ht="22" customHeight="1">
      <c r="A420" s="1" t="str">
        <f>IF(AND('Mortgage Inputs'!$B$12,414&lt;=IF('Mortgage Inputs'!$B$12,'Mortgage Inputs'!$B$7,0)*12+600,ISNUMBER(G419),G419&gt;0.005),414,"")</f>
        <v/>
      </c>
      <c r="B420" s="4" t="str">
        <f>IF(A420="","",DATE(YEAR('Mortgage Inputs'!$B$8),MONTH('Mortgage Inputs'!$B$8)+A420,DAY('Mortgage Inputs'!$B$8)))</f>
        <v/>
      </c>
      <c r="C420" s="2" t="str">
        <f t="shared" si="19"/>
        <v/>
      </c>
      <c r="D420" s="2" t="str">
        <f t="shared" si="20"/>
        <v/>
      </c>
      <c r="E420" s="2" t="str">
        <f>IF(A420="","",MAX(0,(C420-MIN(D420,C420))*'Mortgage Inputs'!$B$15))</f>
        <v/>
      </c>
      <c r="F420" s="2" t="str">
        <f>IF(A420="","",IF(AND('Offset Inputs'!$B$5&gt;='Mortgage Inputs'!$B$5,'Mortgage Inputs'!$B$5&gt;0),C420,MIN(C420,MAX(0,'Mortgage Inputs'!$B$17-E420))))</f>
        <v/>
      </c>
      <c r="G420" s="2" t="str">
        <f t="shared" si="18"/>
        <v/>
      </c>
      <c r="H420" s="2" t="str">
        <f>IF(A420="","",IF(AND('Offset Inputs'!$B$5&gt;='Mortgage Inputs'!$B$5,'Mortgage Inputs'!$B$5&gt;0),'Offset Inputs'!$B$5-'Mortgage Inputs'!$B$5,D420+'Offset Inputs'!$B$6))</f>
        <v/>
      </c>
    </row>
    <row r="421" spans="1:8" ht="22" customHeight="1">
      <c r="A421" s="1" t="str">
        <f>IF(AND('Mortgage Inputs'!$B$12,415&lt;=IF('Mortgage Inputs'!$B$12,'Mortgage Inputs'!$B$7,0)*12+600,ISNUMBER(G420),G420&gt;0.005),415,"")</f>
        <v/>
      </c>
      <c r="B421" s="4" t="str">
        <f>IF(A421="","",DATE(YEAR('Mortgage Inputs'!$B$8),MONTH('Mortgage Inputs'!$B$8)+A421,DAY('Mortgage Inputs'!$B$8)))</f>
        <v/>
      </c>
      <c r="C421" s="2" t="str">
        <f t="shared" si="19"/>
        <v/>
      </c>
      <c r="D421" s="2" t="str">
        <f t="shared" si="20"/>
        <v/>
      </c>
      <c r="E421" s="2" t="str">
        <f>IF(A421="","",MAX(0,(C421-MIN(D421,C421))*'Mortgage Inputs'!$B$15))</f>
        <v/>
      </c>
      <c r="F421" s="2" t="str">
        <f>IF(A421="","",IF(AND('Offset Inputs'!$B$5&gt;='Mortgage Inputs'!$B$5,'Mortgage Inputs'!$B$5&gt;0),C421,MIN(C421,MAX(0,'Mortgage Inputs'!$B$17-E421))))</f>
        <v/>
      </c>
      <c r="G421" s="2" t="str">
        <f t="shared" si="18"/>
        <v/>
      </c>
      <c r="H421" s="2" t="str">
        <f>IF(A421="","",IF(AND('Offset Inputs'!$B$5&gt;='Mortgage Inputs'!$B$5,'Mortgage Inputs'!$B$5&gt;0),'Offset Inputs'!$B$5-'Mortgage Inputs'!$B$5,D421+'Offset Inputs'!$B$6))</f>
        <v/>
      </c>
    </row>
    <row r="422" spans="1:8" ht="22" customHeight="1">
      <c r="A422" s="1" t="str">
        <f>IF(AND('Mortgage Inputs'!$B$12,416&lt;=IF('Mortgage Inputs'!$B$12,'Mortgage Inputs'!$B$7,0)*12+600,ISNUMBER(G421),G421&gt;0.005),416,"")</f>
        <v/>
      </c>
      <c r="B422" s="4" t="str">
        <f>IF(A422="","",DATE(YEAR('Mortgage Inputs'!$B$8),MONTH('Mortgage Inputs'!$B$8)+A422,DAY('Mortgage Inputs'!$B$8)))</f>
        <v/>
      </c>
      <c r="C422" s="2" t="str">
        <f t="shared" si="19"/>
        <v/>
      </c>
      <c r="D422" s="2" t="str">
        <f t="shared" si="20"/>
        <v/>
      </c>
      <c r="E422" s="2" t="str">
        <f>IF(A422="","",MAX(0,(C422-MIN(D422,C422))*'Mortgage Inputs'!$B$15))</f>
        <v/>
      </c>
      <c r="F422" s="2" t="str">
        <f>IF(A422="","",IF(AND('Offset Inputs'!$B$5&gt;='Mortgage Inputs'!$B$5,'Mortgage Inputs'!$B$5&gt;0),C422,MIN(C422,MAX(0,'Mortgage Inputs'!$B$17-E422))))</f>
        <v/>
      </c>
      <c r="G422" s="2" t="str">
        <f t="shared" si="18"/>
        <v/>
      </c>
      <c r="H422" s="2" t="str">
        <f>IF(A422="","",IF(AND('Offset Inputs'!$B$5&gt;='Mortgage Inputs'!$B$5,'Mortgage Inputs'!$B$5&gt;0),'Offset Inputs'!$B$5-'Mortgage Inputs'!$B$5,D422+'Offset Inputs'!$B$6))</f>
        <v/>
      </c>
    </row>
    <row r="423" spans="1:8" ht="22" customHeight="1">
      <c r="A423" s="1" t="str">
        <f>IF(AND('Mortgage Inputs'!$B$12,417&lt;=IF('Mortgage Inputs'!$B$12,'Mortgage Inputs'!$B$7,0)*12+600,ISNUMBER(G422),G422&gt;0.005),417,"")</f>
        <v/>
      </c>
      <c r="B423" s="4" t="str">
        <f>IF(A423="","",DATE(YEAR('Mortgage Inputs'!$B$8),MONTH('Mortgage Inputs'!$B$8)+A423,DAY('Mortgage Inputs'!$B$8)))</f>
        <v/>
      </c>
      <c r="C423" s="2" t="str">
        <f t="shared" si="19"/>
        <v/>
      </c>
      <c r="D423" s="2" t="str">
        <f t="shared" si="20"/>
        <v/>
      </c>
      <c r="E423" s="2" t="str">
        <f>IF(A423="","",MAX(0,(C423-MIN(D423,C423))*'Mortgage Inputs'!$B$15))</f>
        <v/>
      </c>
      <c r="F423" s="2" t="str">
        <f>IF(A423="","",IF(AND('Offset Inputs'!$B$5&gt;='Mortgage Inputs'!$B$5,'Mortgage Inputs'!$B$5&gt;0),C423,MIN(C423,MAX(0,'Mortgage Inputs'!$B$17-E423))))</f>
        <v/>
      </c>
      <c r="G423" s="2" t="str">
        <f t="shared" si="18"/>
        <v/>
      </c>
      <c r="H423" s="2" t="str">
        <f>IF(A423="","",IF(AND('Offset Inputs'!$B$5&gt;='Mortgage Inputs'!$B$5,'Mortgage Inputs'!$B$5&gt;0),'Offset Inputs'!$B$5-'Mortgage Inputs'!$B$5,D423+'Offset Inputs'!$B$6))</f>
        <v/>
      </c>
    </row>
    <row r="424" spans="1:8" ht="22" customHeight="1">
      <c r="A424" s="1" t="str">
        <f>IF(AND('Mortgage Inputs'!$B$12,418&lt;=IF('Mortgage Inputs'!$B$12,'Mortgage Inputs'!$B$7,0)*12+600,ISNUMBER(G423),G423&gt;0.005),418,"")</f>
        <v/>
      </c>
      <c r="B424" s="4" t="str">
        <f>IF(A424="","",DATE(YEAR('Mortgage Inputs'!$B$8),MONTH('Mortgage Inputs'!$B$8)+A424,DAY('Mortgage Inputs'!$B$8)))</f>
        <v/>
      </c>
      <c r="C424" s="2" t="str">
        <f t="shared" si="19"/>
        <v/>
      </c>
      <c r="D424" s="2" t="str">
        <f t="shared" si="20"/>
        <v/>
      </c>
      <c r="E424" s="2" t="str">
        <f>IF(A424="","",MAX(0,(C424-MIN(D424,C424))*'Mortgage Inputs'!$B$15))</f>
        <v/>
      </c>
      <c r="F424" s="2" t="str">
        <f>IF(A424="","",IF(AND('Offset Inputs'!$B$5&gt;='Mortgage Inputs'!$B$5,'Mortgage Inputs'!$B$5&gt;0),C424,MIN(C424,MAX(0,'Mortgage Inputs'!$B$17-E424))))</f>
        <v/>
      </c>
      <c r="G424" s="2" t="str">
        <f t="shared" si="18"/>
        <v/>
      </c>
      <c r="H424" s="2" t="str">
        <f>IF(A424="","",IF(AND('Offset Inputs'!$B$5&gt;='Mortgage Inputs'!$B$5,'Mortgage Inputs'!$B$5&gt;0),'Offset Inputs'!$B$5-'Mortgage Inputs'!$B$5,D424+'Offset Inputs'!$B$6))</f>
        <v/>
      </c>
    </row>
    <row r="425" spans="1:8" ht="22" customHeight="1">
      <c r="A425" s="1" t="str">
        <f>IF(AND('Mortgage Inputs'!$B$12,419&lt;=IF('Mortgage Inputs'!$B$12,'Mortgage Inputs'!$B$7,0)*12+600,ISNUMBER(G424),G424&gt;0.005),419,"")</f>
        <v/>
      </c>
      <c r="B425" s="4" t="str">
        <f>IF(A425="","",DATE(YEAR('Mortgage Inputs'!$B$8),MONTH('Mortgage Inputs'!$B$8)+A425,DAY('Mortgage Inputs'!$B$8)))</f>
        <v/>
      </c>
      <c r="C425" s="2" t="str">
        <f t="shared" si="19"/>
        <v/>
      </c>
      <c r="D425" s="2" t="str">
        <f t="shared" si="20"/>
        <v/>
      </c>
      <c r="E425" s="2" t="str">
        <f>IF(A425="","",MAX(0,(C425-MIN(D425,C425))*'Mortgage Inputs'!$B$15))</f>
        <v/>
      </c>
      <c r="F425" s="2" t="str">
        <f>IF(A425="","",IF(AND('Offset Inputs'!$B$5&gt;='Mortgage Inputs'!$B$5,'Mortgage Inputs'!$B$5&gt;0),C425,MIN(C425,MAX(0,'Mortgage Inputs'!$B$17-E425))))</f>
        <v/>
      </c>
      <c r="G425" s="2" t="str">
        <f t="shared" si="18"/>
        <v/>
      </c>
      <c r="H425" s="2" t="str">
        <f>IF(A425="","",IF(AND('Offset Inputs'!$B$5&gt;='Mortgage Inputs'!$B$5,'Mortgage Inputs'!$B$5&gt;0),'Offset Inputs'!$B$5-'Mortgage Inputs'!$B$5,D425+'Offset Inputs'!$B$6))</f>
        <v/>
      </c>
    </row>
    <row r="426" spans="1:8" ht="22" customHeight="1">
      <c r="A426" s="1" t="str">
        <f>IF(AND('Mortgage Inputs'!$B$12,420&lt;=IF('Mortgage Inputs'!$B$12,'Mortgage Inputs'!$B$7,0)*12+600,ISNUMBER(G425),G425&gt;0.005),420,"")</f>
        <v/>
      </c>
      <c r="B426" s="4" t="str">
        <f>IF(A426="","",DATE(YEAR('Mortgage Inputs'!$B$8),MONTH('Mortgage Inputs'!$B$8)+A426,DAY('Mortgage Inputs'!$B$8)))</f>
        <v/>
      </c>
      <c r="C426" s="2" t="str">
        <f t="shared" si="19"/>
        <v/>
      </c>
      <c r="D426" s="2" t="str">
        <f t="shared" si="20"/>
        <v/>
      </c>
      <c r="E426" s="2" t="str">
        <f>IF(A426="","",MAX(0,(C426-MIN(D426,C426))*'Mortgage Inputs'!$B$15))</f>
        <v/>
      </c>
      <c r="F426" s="2" t="str">
        <f>IF(A426="","",IF(AND('Offset Inputs'!$B$5&gt;='Mortgage Inputs'!$B$5,'Mortgage Inputs'!$B$5&gt;0),C426,MIN(C426,MAX(0,'Mortgage Inputs'!$B$17-E426))))</f>
        <v/>
      </c>
      <c r="G426" s="2" t="str">
        <f t="shared" si="18"/>
        <v/>
      </c>
      <c r="H426" s="2" t="str">
        <f>IF(A426="","",IF(AND('Offset Inputs'!$B$5&gt;='Mortgage Inputs'!$B$5,'Mortgage Inputs'!$B$5&gt;0),'Offset Inputs'!$B$5-'Mortgage Inputs'!$B$5,D426+'Offset Inputs'!$B$6))</f>
        <v/>
      </c>
    </row>
    <row r="427" spans="1:8" ht="22" customHeight="1">
      <c r="A427" s="1" t="str">
        <f>IF(AND('Mortgage Inputs'!$B$12,421&lt;=IF('Mortgage Inputs'!$B$12,'Mortgage Inputs'!$B$7,0)*12+600,ISNUMBER(G426),G426&gt;0.005),421,"")</f>
        <v/>
      </c>
      <c r="B427" s="4" t="str">
        <f>IF(A427="","",DATE(YEAR('Mortgage Inputs'!$B$8),MONTH('Mortgage Inputs'!$B$8)+A427,DAY('Mortgage Inputs'!$B$8)))</f>
        <v/>
      </c>
      <c r="C427" s="2" t="str">
        <f t="shared" si="19"/>
        <v/>
      </c>
      <c r="D427" s="2" t="str">
        <f t="shared" si="20"/>
        <v/>
      </c>
      <c r="E427" s="2" t="str">
        <f>IF(A427="","",MAX(0,(C427-MIN(D427,C427))*'Mortgage Inputs'!$B$15))</f>
        <v/>
      </c>
      <c r="F427" s="2" t="str">
        <f>IF(A427="","",IF(AND('Offset Inputs'!$B$5&gt;='Mortgage Inputs'!$B$5,'Mortgage Inputs'!$B$5&gt;0),C427,MIN(C427,MAX(0,'Mortgage Inputs'!$B$17-E427))))</f>
        <v/>
      </c>
      <c r="G427" s="2" t="str">
        <f t="shared" si="18"/>
        <v/>
      </c>
      <c r="H427" s="2" t="str">
        <f>IF(A427="","",IF(AND('Offset Inputs'!$B$5&gt;='Mortgage Inputs'!$B$5,'Mortgage Inputs'!$B$5&gt;0),'Offset Inputs'!$B$5-'Mortgage Inputs'!$B$5,D427+'Offset Inputs'!$B$6))</f>
        <v/>
      </c>
    </row>
    <row r="428" spans="1:8" ht="22" customHeight="1">
      <c r="A428" s="1" t="str">
        <f>IF(AND('Mortgage Inputs'!$B$12,422&lt;=IF('Mortgage Inputs'!$B$12,'Mortgage Inputs'!$B$7,0)*12+600,ISNUMBER(G427),G427&gt;0.005),422,"")</f>
        <v/>
      </c>
      <c r="B428" s="4" t="str">
        <f>IF(A428="","",DATE(YEAR('Mortgage Inputs'!$B$8),MONTH('Mortgage Inputs'!$B$8)+A428,DAY('Mortgage Inputs'!$B$8)))</f>
        <v/>
      </c>
      <c r="C428" s="2" t="str">
        <f t="shared" si="19"/>
        <v/>
      </c>
      <c r="D428" s="2" t="str">
        <f t="shared" si="20"/>
        <v/>
      </c>
      <c r="E428" s="2" t="str">
        <f>IF(A428="","",MAX(0,(C428-MIN(D428,C428))*'Mortgage Inputs'!$B$15))</f>
        <v/>
      </c>
      <c r="F428" s="2" t="str">
        <f>IF(A428="","",IF(AND('Offset Inputs'!$B$5&gt;='Mortgage Inputs'!$B$5,'Mortgage Inputs'!$B$5&gt;0),C428,MIN(C428,MAX(0,'Mortgage Inputs'!$B$17-E428))))</f>
        <v/>
      </c>
      <c r="G428" s="2" t="str">
        <f t="shared" si="18"/>
        <v/>
      </c>
      <c r="H428" s="2" t="str">
        <f>IF(A428="","",IF(AND('Offset Inputs'!$B$5&gt;='Mortgage Inputs'!$B$5,'Mortgage Inputs'!$B$5&gt;0),'Offset Inputs'!$B$5-'Mortgage Inputs'!$B$5,D428+'Offset Inputs'!$B$6))</f>
        <v/>
      </c>
    </row>
    <row r="429" spans="1:8" ht="22" customHeight="1">
      <c r="A429" s="1" t="str">
        <f>IF(AND('Mortgage Inputs'!$B$12,423&lt;=IF('Mortgage Inputs'!$B$12,'Mortgage Inputs'!$B$7,0)*12+600,ISNUMBER(G428),G428&gt;0.005),423,"")</f>
        <v/>
      </c>
      <c r="B429" s="4" t="str">
        <f>IF(A429="","",DATE(YEAR('Mortgage Inputs'!$B$8),MONTH('Mortgage Inputs'!$B$8)+A429,DAY('Mortgage Inputs'!$B$8)))</f>
        <v/>
      </c>
      <c r="C429" s="2" t="str">
        <f t="shared" si="19"/>
        <v/>
      </c>
      <c r="D429" s="2" t="str">
        <f t="shared" si="20"/>
        <v/>
      </c>
      <c r="E429" s="2" t="str">
        <f>IF(A429="","",MAX(0,(C429-MIN(D429,C429))*'Mortgage Inputs'!$B$15))</f>
        <v/>
      </c>
      <c r="F429" s="2" t="str">
        <f>IF(A429="","",IF(AND('Offset Inputs'!$B$5&gt;='Mortgage Inputs'!$B$5,'Mortgage Inputs'!$B$5&gt;0),C429,MIN(C429,MAX(0,'Mortgage Inputs'!$B$17-E429))))</f>
        <v/>
      </c>
      <c r="G429" s="2" t="str">
        <f t="shared" si="18"/>
        <v/>
      </c>
      <c r="H429" s="2" t="str">
        <f>IF(A429="","",IF(AND('Offset Inputs'!$B$5&gt;='Mortgage Inputs'!$B$5,'Mortgage Inputs'!$B$5&gt;0),'Offset Inputs'!$B$5-'Mortgage Inputs'!$B$5,D429+'Offset Inputs'!$B$6))</f>
        <v/>
      </c>
    </row>
    <row r="430" spans="1:8" ht="22" customHeight="1">
      <c r="A430" s="1" t="str">
        <f>IF(AND('Mortgage Inputs'!$B$12,424&lt;=IF('Mortgage Inputs'!$B$12,'Mortgage Inputs'!$B$7,0)*12+600,ISNUMBER(G429),G429&gt;0.005),424,"")</f>
        <v/>
      </c>
      <c r="B430" s="4" t="str">
        <f>IF(A430="","",DATE(YEAR('Mortgage Inputs'!$B$8),MONTH('Mortgage Inputs'!$B$8)+A430,DAY('Mortgage Inputs'!$B$8)))</f>
        <v/>
      </c>
      <c r="C430" s="2" t="str">
        <f t="shared" si="19"/>
        <v/>
      </c>
      <c r="D430" s="2" t="str">
        <f t="shared" si="20"/>
        <v/>
      </c>
      <c r="E430" s="2" t="str">
        <f>IF(A430="","",MAX(0,(C430-MIN(D430,C430))*'Mortgage Inputs'!$B$15))</f>
        <v/>
      </c>
      <c r="F430" s="2" t="str">
        <f>IF(A430="","",IF(AND('Offset Inputs'!$B$5&gt;='Mortgage Inputs'!$B$5,'Mortgage Inputs'!$B$5&gt;0),C430,MIN(C430,MAX(0,'Mortgage Inputs'!$B$17-E430))))</f>
        <v/>
      </c>
      <c r="G430" s="2" t="str">
        <f t="shared" si="18"/>
        <v/>
      </c>
      <c r="H430" s="2" t="str">
        <f>IF(A430="","",IF(AND('Offset Inputs'!$B$5&gt;='Mortgage Inputs'!$B$5,'Mortgage Inputs'!$B$5&gt;0),'Offset Inputs'!$B$5-'Mortgage Inputs'!$B$5,D430+'Offset Inputs'!$B$6))</f>
        <v/>
      </c>
    </row>
    <row r="431" spans="1:8" ht="22" customHeight="1">
      <c r="A431" s="1" t="str">
        <f>IF(AND('Mortgage Inputs'!$B$12,425&lt;=IF('Mortgage Inputs'!$B$12,'Mortgage Inputs'!$B$7,0)*12+600,ISNUMBER(G430),G430&gt;0.005),425,"")</f>
        <v/>
      </c>
      <c r="B431" s="4" t="str">
        <f>IF(A431="","",DATE(YEAR('Mortgage Inputs'!$B$8),MONTH('Mortgage Inputs'!$B$8)+A431,DAY('Mortgage Inputs'!$B$8)))</f>
        <v/>
      </c>
      <c r="C431" s="2" t="str">
        <f t="shared" si="19"/>
        <v/>
      </c>
      <c r="D431" s="2" t="str">
        <f t="shared" si="20"/>
        <v/>
      </c>
      <c r="E431" s="2" t="str">
        <f>IF(A431="","",MAX(0,(C431-MIN(D431,C431))*'Mortgage Inputs'!$B$15))</f>
        <v/>
      </c>
      <c r="F431" s="2" t="str">
        <f>IF(A431="","",IF(AND('Offset Inputs'!$B$5&gt;='Mortgage Inputs'!$B$5,'Mortgage Inputs'!$B$5&gt;0),C431,MIN(C431,MAX(0,'Mortgage Inputs'!$B$17-E431))))</f>
        <v/>
      </c>
      <c r="G431" s="2" t="str">
        <f t="shared" si="18"/>
        <v/>
      </c>
      <c r="H431" s="2" t="str">
        <f>IF(A431="","",IF(AND('Offset Inputs'!$B$5&gt;='Mortgage Inputs'!$B$5,'Mortgage Inputs'!$B$5&gt;0),'Offset Inputs'!$B$5-'Mortgage Inputs'!$B$5,D431+'Offset Inputs'!$B$6))</f>
        <v/>
      </c>
    </row>
    <row r="432" spans="1:8" ht="22" customHeight="1">
      <c r="A432" s="1" t="str">
        <f>IF(AND('Mortgage Inputs'!$B$12,426&lt;=IF('Mortgage Inputs'!$B$12,'Mortgage Inputs'!$B$7,0)*12+600,ISNUMBER(G431),G431&gt;0.005),426,"")</f>
        <v/>
      </c>
      <c r="B432" s="4" t="str">
        <f>IF(A432="","",DATE(YEAR('Mortgage Inputs'!$B$8),MONTH('Mortgage Inputs'!$B$8)+A432,DAY('Mortgage Inputs'!$B$8)))</f>
        <v/>
      </c>
      <c r="C432" s="2" t="str">
        <f t="shared" si="19"/>
        <v/>
      </c>
      <c r="D432" s="2" t="str">
        <f t="shared" si="20"/>
        <v/>
      </c>
      <c r="E432" s="2" t="str">
        <f>IF(A432="","",MAX(0,(C432-MIN(D432,C432))*'Mortgage Inputs'!$B$15))</f>
        <v/>
      </c>
      <c r="F432" s="2" t="str">
        <f>IF(A432="","",IF(AND('Offset Inputs'!$B$5&gt;='Mortgage Inputs'!$B$5,'Mortgage Inputs'!$B$5&gt;0),C432,MIN(C432,MAX(0,'Mortgage Inputs'!$B$17-E432))))</f>
        <v/>
      </c>
      <c r="G432" s="2" t="str">
        <f t="shared" si="18"/>
        <v/>
      </c>
      <c r="H432" s="2" t="str">
        <f>IF(A432="","",IF(AND('Offset Inputs'!$B$5&gt;='Mortgage Inputs'!$B$5,'Mortgage Inputs'!$B$5&gt;0),'Offset Inputs'!$B$5-'Mortgage Inputs'!$B$5,D432+'Offset Inputs'!$B$6))</f>
        <v/>
      </c>
    </row>
    <row r="433" spans="1:8" ht="22" customHeight="1">
      <c r="A433" s="1" t="str">
        <f>IF(AND('Mortgage Inputs'!$B$12,427&lt;=IF('Mortgage Inputs'!$B$12,'Mortgage Inputs'!$B$7,0)*12+600,ISNUMBER(G432),G432&gt;0.005),427,"")</f>
        <v/>
      </c>
      <c r="B433" s="4" t="str">
        <f>IF(A433="","",DATE(YEAR('Mortgage Inputs'!$B$8),MONTH('Mortgage Inputs'!$B$8)+A433,DAY('Mortgage Inputs'!$B$8)))</f>
        <v/>
      </c>
      <c r="C433" s="2" t="str">
        <f t="shared" si="19"/>
        <v/>
      </c>
      <c r="D433" s="2" t="str">
        <f t="shared" si="20"/>
        <v/>
      </c>
      <c r="E433" s="2" t="str">
        <f>IF(A433="","",MAX(0,(C433-MIN(D433,C433))*'Mortgage Inputs'!$B$15))</f>
        <v/>
      </c>
      <c r="F433" s="2" t="str">
        <f>IF(A433="","",IF(AND('Offset Inputs'!$B$5&gt;='Mortgage Inputs'!$B$5,'Mortgage Inputs'!$B$5&gt;0),C433,MIN(C433,MAX(0,'Mortgage Inputs'!$B$17-E433))))</f>
        <v/>
      </c>
      <c r="G433" s="2" t="str">
        <f t="shared" si="18"/>
        <v/>
      </c>
      <c r="H433" s="2" t="str">
        <f>IF(A433="","",IF(AND('Offset Inputs'!$B$5&gt;='Mortgage Inputs'!$B$5,'Mortgage Inputs'!$B$5&gt;0),'Offset Inputs'!$B$5-'Mortgage Inputs'!$B$5,D433+'Offset Inputs'!$B$6))</f>
        <v/>
      </c>
    </row>
    <row r="434" spans="1:8" ht="22" customHeight="1">
      <c r="A434" s="1" t="str">
        <f>IF(AND('Mortgage Inputs'!$B$12,428&lt;=IF('Mortgage Inputs'!$B$12,'Mortgage Inputs'!$B$7,0)*12+600,ISNUMBER(G433),G433&gt;0.005),428,"")</f>
        <v/>
      </c>
      <c r="B434" s="4" t="str">
        <f>IF(A434="","",DATE(YEAR('Mortgage Inputs'!$B$8),MONTH('Mortgage Inputs'!$B$8)+A434,DAY('Mortgage Inputs'!$B$8)))</f>
        <v/>
      </c>
      <c r="C434" s="2" t="str">
        <f t="shared" si="19"/>
        <v/>
      </c>
      <c r="D434" s="2" t="str">
        <f t="shared" si="20"/>
        <v/>
      </c>
      <c r="E434" s="2" t="str">
        <f>IF(A434="","",MAX(0,(C434-MIN(D434,C434))*'Mortgage Inputs'!$B$15))</f>
        <v/>
      </c>
      <c r="F434" s="2" t="str">
        <f>IF(A434="","",IF(AND('Offset Inputs'!$B$5&gt;='Mortgage Inputs'!$B$5,'Mortgage Inputs'!$B$5&gt;0),C434,MIN(C434,MAX(0,'Mortgage Inputs'!$B$17-E434))))</f>
        <v/>
      </c>
      <c r="G434" s="2" t="str">
        <f t="shared" si="18"/>
        <v/>
      </c>
      <c r="H434" s="2" t="str">
        <f>IF(A434="","",IF(AND('Offset Inputs'!$B$5&gt;='Mortgage Inputs'!$B$5,'Mortgage Inputs'!$B$5&gt;0),'Offset Inputs'!$B$5-'Mortgage Inputs'!$B$5,D434+'Offset Inputs'!$B$6))</f>
        <v/>
      </c>
    </row>
    <row r="435" spans="1:8" ht="22" customHeight="1">
      <c r="A435" s="1" t="str">
        <f>IF(AND('Mortgage Inputs'!$B$12,429&lt;=IF('Mortgage Inputs'!$B$12,'Mortgage Inputs'!$B$7,0)*12+600,ISNUMBER(G434),G434&gt;0.005),429,"")</f>
        <v/>
      </c>
      <c r="B435" s="4" t="str">
        <f>IF(A435="","",DATE(YEAR('Mortgage Inputs'!$B$8),MONTH('Mortgage Inputs'!$B$8)+A435,DAY('Mortgage Inputs'!$B$8)))</f>
        <v/>
      </c>
      <c r="C435" s="2" t="str">
        <f t="shared" si="19"/>
        <v/>
      </c>
      <c r="D435" s="2" t="str">
        <f t="shared" si="20"/>
        <v/>
      </c>
      <c r="E435" s="2" t="str">
        <f>IF(A435="","",MAX(0,(C435-MIN(D435,C435))*'Mortgage Inputs'!$B$15))</f>
        <v/>
      </c>
      <c r="F435" s="2" t="str">
        <f>IF(A435="","",IF(AND('Offset Inputs'!$B$5&gt;='Mortgage Inputs'!$B$5,'Mortgage Inputs'!$B$5&gt;0),C435,MIN(C435,MAX(0,'Mortgage Inputs'!$B$17-E435))))</f>
        <v/>
      </c>
      <c r="G435" s="2" t="str">
        <f t="shared" si="18"/>
        <v/>
      </c>
      <c r="H435" s="2" t="str">
        <f>IF(A435="","",IF(AND('Offset Inputs'!$B$5&gt;='Mortgage Inputs'!$B$5,'Mortgage Inputs'!$B$5&gt;0),'Offset Inputs'!$B$5-'Mortgage Inputs'!$B$5,D435+'Offset Inputs'!$B$6))</f>
        <v/>
      </c>
    </row>
    <row r="436" spans="1:8" ht="22" customHeight="1">
      <c r="A436" s="1" t="str">
        <f>IF(AND('Mortgage Inputs'!$B$12,430&lt;=IF('Mortgage Inputs'!$B$12,'Mortgage Inputs'!$B$7,0)*12+600,ISNUMBER(G435),G435&gt;0.005),430,"")</f>
        <v/>
      </c>
      <c r="B436" s="4" t="str">
        <f>IF(A436="","",DATE(YEAR('Mortgage Inputs'!$B$8),MONTH('Mortgage Inputs'!$B$8)+A436,DAY('Mortgage Inputs'!$B$8)))</f>
        <v/>
      </c>
      <c r="C436" s="2" t="str">
        <f t="shared" si="19"/>
        <v/>
      </c>
      <c r="D436" s="2" t="str">
        <f t="shared" si="20"/>
        <v/>
      </c>
      <c r="E436" s="2" t="str">
        <f>IF(A436="","",MAX(0,(C436-MIN(D436,C436))*'Mortgage Inputs'!$B$15))</f>
        <v/>
      </c>
      <c r="F436" s="2" t="str">
        <f>IF(A436="","",IF(AND('Offset Inputs'!$B$5&gt;='Mortgage Inputs'!$B$5,'Mortgage Inputs'!$B$5&gt;0),C436,MIN(C436,MAX(0,'Mortgage Inputs'!$B$17-E436))))</f>
        <v/>
      </c>
      <c r="G436" s="2" t="str">
        <f t="shared" si="18"/>
        <v/>
      </c>
      <c r="H436" s="2" t="str">
        <f>IF(A436="","",IF(AND('Offset Inputs'!$B$5&gt;='Mortgage Inputs'!$B$5,'Mortgage Inputs'!$B$5&gt;0),'Offset Inputs'!$B$5-'Mortgage Inputs'!$B$5,D436+'Offset Inputs'!$B$6))</f>
        <v/>
      </c>
    </row>
    <row r="437" spans="1:8" ht="22" customHeight="1">
      <c r="A437" s="1" t="str">
        <f>IF(AND('Mortgage Inputs'!$B$12,431&lt;=IF('Mortgage Inputs'!$B$12,'Mortgage Inputs'!$B$7,0)*12+600,ISNUMBER(G436),G436&gt;0.005),431,"")</f>
        <v/>
      </c>
      <c r="B437" s="4" t="str">
        <f>IF(A437="","",DATE(YEAR('Mortgage Inputs'!$B$8),MONTH('Mortgage Inputs'!$B$8)+A437,DAY('Mortgage Inputs'!$B$8)))</f>
        <v/>
      </c>
      <c r="C437" s="2" t="str">
        <f t="shared" si="19"/>
        <v/>
      </c>
      <c r="D437" s="2" t="str">
        <f t="shared" si="20"/>
        <v/>
      </c>
      <c r="E437" s="2" t="str">
        <f>IF(A437="","",MAX(0,(C437-MIN(D437,C437))*'Mortgage Inputs'!$B$15))</f>
        <v/>
      </c>
      <c r="F437" s="2" t="str">
        <f>IF(A437="","",IF(AND('Offset Inputs'!$B$5&gt;='Mortgage Inputs'!$B$5,'Mortgage Inputs'!$B$5&gt;0),C437,MIN(C437,MAX(0,'Mortgage Inputs'!$B$17-E437))))</f>
        <v/>
      </c>
      <c r="G437" s="2" t="str">
        <f t="shared" si="18"/>
        <v/>
      </c>
      <c r="H437" s="2" t="str">
        <f>IF(A437="","",IF(AND('Offset Inputs'!$B$5&gt;='Mortgage Inputs'!$B$5,'Mortgage Inputs'!$B$5&gt;0),'Offset Inputs'!$B$5-'Mortgage Inputs'!$B$5,D437+'Offset Inputs'!$B$6))</f>
        <v/>
      </c>
    </row>
    <row r="438" spans="1:8" ht="22" customHeight="1">
      <c r="A438" s="1" t="str">
        <f>IF(AND('Mortgage Inputs'!$B$12,432&lt;=IF('Mortgage Inputs'!$B$12,'Mortgage Inputs'!$B$7,0)*12+600,ISNUMBER(G437),G437&gt;0.005),432,"")</f>
        <v/>
      </c>
      <c r="B438" s="4" t="str">
        <f>IF(A438="","",DATE(YEAR('Mortgage Inputs'!$B$8),MONTH('Mortgage Inputs'!$B$8)+A438,DAY('Mortgage Inputs'!$B$8)))</f>
        <v/>
      </c>
      <c r="C438" s="2" t="str">
        <f t="shared" si="19"/>
        <v/>
      </c>
      <c r="D438" s="2" t="str">
        <f t="shared" si="20"/>
        <v/>
      </c>
      <c r="E438" s="2" t="str">
        <f>IF(A438="","",MAX(0,(C438-MIN(D438,C438))*'Mortgage Inputs'!$B$15))</f>
        <v/>
      </c>
      <c r="F438" s="2" t="str">
        <f>IF(A438="","",IF(AND('Offset Inputs'!$B$5&gt;='Mortgage Inputs'!$B$5,'Mortgage Inputs'!$B$5&gt;0),C438,MIN(C438,MAX(0,'Mortgage Inputs'!$B$17-E438))))</f>
        <v/>
      </c>
      <c r="G438" s="2" t="str">
        <f t="shared" si="18"/>
        <v/>
      </c>
      <c r="H438" s="2" t="str">
        <f>IF(A438="","",IF(AND('Offset Inputs'!$B$5&gt;='Mortgage Inputs'!$B$5,'Mortgage Inputs'!$B$5&gt;0),'Offset Inputs'!$B$5-'Mortgage Inputs'!$B$5,D438+'Offset Inputs'!$B$6))</f>
        <v/>
      </c>
    </row>
    <row r="439" spans="1:8" ht="22" customHeight="1">
      <c r="A439" s="1" t="str">
        <f>IF(AND('Mortgage Inputs'!$B$12,433&lt;=IF('Mortgage Inputs'!$B$12,'Mortgage Inputs'!$B$7,0)*12+600,ISNUMBER(G438),G438&gt;0.005),433,"")</f>
        <v/>
      </c>
      <c r="B439" s="4" t="str">
        <f>IF(A439="","",DATE(YEAR('Mortgage Inputs'!$B$8),MONTH('Mortgage Inputs'!$B$8)+A439,DAY('Mortgage Inputs'!$B$8)))</f>
        <v/>
      </c>
      <c r="C439" s="2" t="str">
        <f t="shared" si="19"/>
        <v/>
      </c>
      <c r="D439" s="2" t="str">
        <f t="shared" si="20"/>
        <v/>
      </c>
      <c r="E439" s="2" t="str">
        <f>IF(A439="","",MAX(0,(C439-MIN(D439,C439))*'Mortgage Inputs'!$B$15))</f>
        <v/>
      </c>
      <c r="F439" s="2" t="str">
        <f>IF(A439="","",IF(AND('Offset Inputs'!$B$5&gt;='Mortgage Inputs'!$B$5,'Mortgage Inputs'!$B$5&gt;0),C439,MIN(C439,MAX(0,'Mortgage Inputs'!$B$17-E439))))</f>
        <v/>
      </c>
      <c r="G439" s="2" t="str">
        <f t="shared" si="18"/>
        <v/>
      </c>
      <c r="H439" s="2" t="str">
        <f>IF(A439="","",IF(AND('Offset Inputs'!$B$5&gt;='Mortgage Inputs'!$B$5,'Mortgage Inputs'!$B$5&gt;0),'Offset Inputs'!$B$5-'Mortgage Inputs'!$B$5,D439+'Offset Inputs'!$B$6))</f>
        <v/>
      </c>
    </row>
    <row r="440" spans="1:8" ht="22" customHeight="1">
      <c r="A440" s="1" t="str">
        <f>IF(AND('Mortgage Inputs'!$B$12,434&lt;=IF('Mortgage Inputs'!$B$12,'Mortgage Inputs'!$B$7,0)*12+600,ISNUMBER(G439),G439&gt;0.005),434,"")</f>
        <v/>
      </c>
      <c r="B440" s="4" t="str">
        <f>IF(A440="","",DATE(YEAR('Mortgage Inputs'!$B$8),MONTH('Mortgage Inputs'!$B$8)+A440,DAY('Mortgage Inputs'!$B$8)))</f>
        <v/>
      </c>
      <c r="C440" s="2" t="str">
        <f t="shared" si="19"/>
        <v/>
      </c>
      <c r="D440" s="2" t="str">
        <f t="shared" si="20"/>
        <v/>
      </c>
      <c r="E440" s="2" t="str">
        <f>IF(A440="","",MAX(0,(C440-MIN(D440,C440))*'Mortgage Inputs'!$B$15))</f>
        <v/>
      </c>
      <c r="F440" s="2" t="str">
        <f>IF(A440="","",IF(AND('Offset Inputs'!$B$5&gt;='Mortgage Inputs'!$B$5,'Mortgage Inputs'!$B$5&gt;0),C440,MIN(C440,MAX(0,'Mortgage Inputs'!$B$17-E440))))</f>
        <v/>
      </c>
      <c r="G440" s="2" t="str">
        <f t="shared" si="18"/>
        <v/>
      </c>
      <c r="H440" s="2" t="str">
        <f>IF(A440="","",IF(AND('Offset Inputs'!$B$5&gt;='Mortgage Inputs'!$B$5,'Mortgage Inputs'!$B$5&gt;0),'Offset Inputs'!$B$5-'Mortgage Inputs'!$B$5,D440+'Offset Inputs'!$B$6))</f>
        <v/>
      </c>
    </row>
    <row r="441" spans="1:8" ht="22" customHeight="1">
      <c r="A441" s="1" t="str">
        <f>IF(AND('Mortgage Inputs'!$B$12,435&lt;=IF('Mortgage Inputs'!$B$12,'Mortgage Inputs'!$B$7,0)*12+600,ISNUMBER(G440),G440&gt;0.005),435,"")</f>
        <v/>
      </c>
      <c r="B441" s="4" t="str">
        <f>IF(A441="","",DATE(YEAR('Mortgage Inputs'!$B$8),MONTH('Mortgage Inputs'!$B$8)+A441,DAY('Mortgage Inputs'!$B$8)))</f>
        <v/>
      </c>
      <c r="C441" s="2" t="str">
        <f t="shared" si="19"/>
        <v/>
      </c>
      <c r="D441" s="2" t="str">
        <f t="shared" si="20"/>
        <v/>
      </c>
      <c r="E441" s="2" t="str">
        <f>IF(A441="","",MAX(0,(C441-MIN(D441,C441))*'Mortgage Inputs'!$B$15))</f>
        <v/>
      </c>
      <c r="F441" s="2" t="str">
        <f>IF(A441="","",IF(AND('Offset Inputs'!$B$5&gt;='Mortgage Inputs'!$B$5,'Mortgage Inputs'!$B$5&gt;0),C441,MIN(C441,MAX(0,'Mortgage Inputs'!$B$17-E441))))</f>
        <v/>
      </c>
      <c r="G441" s="2" t="str">
        <f t="shared" si="18"/>
        <v/>
      </c>
      <c r="H441" s="2" t="str">
        <f>IF(A441="","",IF(AND('Offset Inputs'!$B$5&gt;='Mortgage Inputs'!$B$5,'Mortgage Inputs'!$B$5&gt;0),'Offset Inputs'!$B$5-'Mortgage Inputs'!$B$5,D441+'Offset Inputs'!$B$6))</f>
        <v/>
      </c>
    </row>
    <row r="442" spans="1:8" ht="22" customHeight="1">
      <c r="A442" s="1" t="str">
        <f>IF(AND('Mortgage Inputs'!$B$12,436&lt;=IF('Mortgage Inputs'!$B$12,'Mortgage Inputs'!$B$7,0)*12+600,ISNUMBER(G441),G441&gt;0.005),436,"")</f>
        <v/>
      </c>
      <c r="B442" s="4" t="str">
        <f>IF(A442="","",DATE(YEAR('Mortgage Inputs'!$B$8),MONTH('Mortgage Inputs'!$B$8)+A442,DAY('Mortgage Inputs'!$B$8)))</f>
        <v/>
      </c>
      <c r="C442" s="2" t="str">
        <f t="shared" si="19"/>
        <v/>
      </c>
      <c r="D442" s="2" t="str">
        <f t="shared" si="20"/>
        <v/>
      </c>
      <c r="E442" s="2" t="str">
        <f>IF(A442="","",MAX(0,(C442-MIN(D442,C442))*'Mortgage Inputs'!$B$15))</f>
        <v/>
      </c>
      <c r="F442" s="2" t="str">
        <f>IF(A442="","",IF(AND('Offset Inputs'!$B$5&gt;='Mortgage Inputs'!$B$5,'Mortgage Inputs'!$B$5&gt;0),C442,MIN(C442,MAX(0,'Mortgage Inputs'!$B$17-E442))))</f>
        <v/>
      </c>
      <c r="G442" s="2" t="str">
        <f t="shared" si="18"/>
        <v/>
      </c>
      <c r="H442" s="2" t="str">
        <f>IF(A442="","",IF(AND('Offset Inputs'!$B$5&gt;='Mortgage Inputs'!$B$5,'Mortgage Inputs'!$B$5&gt;0),'Offset Inputs'!$B$5-'Mortgage Inputs'!$B$5,D442+'Offset Inputs'!$B$6))</f>
        <v/>
      </c>
    </row>
    <row r="443" spans="1:8" ht="22" customHeight="1">
      <c r="A443" s="1" t="str">
        <f>IF(AND('Mortgage Inputs'!$B$12,437&lt;=IF('Mortgage Inputs'!$B$12,'Mortgage Inputs'!$B$7,0)*12+600,ISNUMBER(G442),G442&gt;0.005),437,"")</f>
        <v/>
      </c>
      <c r="B443" s="4" t="str">
        <f>IF(A443="","",DATE(YEAR('Mortgage Inputs'!$B$8),MONTH('Mortgage Inputs'!$B$8)+A443,DAY('Mortgage Inputs'!$B$8)))</f>
        <v/>
      </c>
      <c r="C443" s="2" t="str">
        <f t="shared" si="19"/>
        <v/>
      </c>
      <c r="D443" s="2" t="str">
        <f t="shared" si="20"/>
        <v/>
      </c>
      <c r="E443" s="2" t="str">
        <f>IF(A443="","",MAX(0,(C443-MIN(D443,C443))*'Mortgage Inputs'!$B$15))</f>
        <v/>
      </c>
      <c r="F443" s="2" t="str">
        <f>IF(A443="","",IF(AND('Offset Inputs'!$B$5&gt;='Mortgage Inputs'!$B$5,'Mortgage Inputs'!$B$5&gt;0),C443,MIN(C443,MAX(0,'Mortgage Inputs'!$B$17-E443))))</f>
        <v/>
      </c>
      <c r="G443" s="2" t="str">
        <f t="shared" si="18"/>
        <v/>
      </c>
      <c r="H443" s="2" t="str">
        <f>IF(A443="","",IF(AND('Offset Inputs'!$B$5&gt;='Mortgage Inputs'!$B$5,'Mortgage Inputs'!$B$5&gt;0),'Offset Inputs'!$B$5-'Mortgage Inputs'!$B$5,D443+'Offset Inputs'!$B$6))</f>
        <v/>
      </c>
    </row>
    <row r="444" spans="1:8" ht="22" customHeight="1">
      <c r="A444" s="1" t="str">
        <f>IF(AND('Mortgage Inputs'!$B$12,438&lt;=IF('Mortgage Inputs'!$B$12,'Mortgage Inputs'!$B$7,0)*12+600,ISNUMBER(G443),G443&gt;0.005),438,"")</f>
        <v/>
      </c>
      <c r="B444" s="4" t="str">
        <f>IF(A444="","",DATE(YEAR('Mortgage Inputs'!$B$8),MONTH('Mortgage Inputs'!$B$8)+A444,DAY('Mortgage Inputs'!$B$8)))</f>
        <v/>
      </c>
      <c r="C444" s="2" t="str">
        <f t="shared" si="19"/>
        <v/>
      </c>
      <c r="D444" s="2" t="str">
        <f t="shared" si="20"/>
        <v/>
      </c>
      <c r="E444" s="2" t="str">
        <f>IF(A444="","",MAX(0,(C444-MIN(D444,C444))*'Mortgage Inputs'!$B$15))</f>
        <v/>
      </c>
      <c r="F444" s="2" t="str">
        <f>IF(A444="","",IF(AND('Offset Inputs'!$B$5&gt;='Mortgage Inputs'!$B$5,'Mortgage Inputs'!$B$5&gt;0),C444,MIN(C444,MAX(0,'Mortgage Inputs'!$B$17-E444))))</f>
        <v/>
      </c>
      <c r="G444" s="2" t="str">
        <f t="shared" si="18"/>
        <v/>
      </c>
      <c r="H444" s="2" t="str">
        <f>IF(A444="","",IF(AND('Offset Inputs'!$B$5&gt;='Mortgage Inputs'!$B$5,'Mortgage Inputs'!$B$5&gt;0),'Offset Inputs'!$B$5-'Mortgage Inputs'!$B$5,D444+'Offset Inputs'!$B$6))</f>
        <v/>
      </c>
    </row>
    <row r="445" spans="1:8" ht="22" customHeight="1">
      <c r="A445" s="1" t="str">
        <f>IF(AND('Mortgage Inputs'!$B$12,439&lt;=IF('Mortgage Inputs'!$B$12,'Mortgage Inputs'!$B$7,0)*12+600,ISNUMBER(G444),G444&gt;0.005),439,"")</f>
        <v/>
      </c>
      <c r="B445" s="4" t="str">
        <f>IF(A445="","",DATE(YEAR('Mortgage Inputs'!$B$8),MONTH('Mortgage Inputs'!$B$8)+A445,DAY('Mortgage Inputs'!$B$8)))</f>
        <v/>
      </c>
      <c r="C445" s="2" t="str">
        <f t="shared" si="19"/>
        <v/>
      </c>
      <c r="D445" s="2" t="str">
        <f t="shared" si="20"/>
        <v/>
      </c>
      <c r="E445" s="2" t="str">
        <f>IF(A445="","",MAX(0,(C445-MIN(D445,C445))*'Mortgage Inputs'!$B$15))</f>
        <v/>
      </c>
      <c r="F445" s="2" t="str">
        <f>IF(A445="","",IF(AND('Offset Inputs'!$B$5&gt;='Mortgage Inputs'!$B$5,'Mortgage Inputs'!$B$5&gt;0),C445,MIN(C445,MAX(0,'Mortgage Inputs'!$B$17-E445))))</f>
        <v/>
      </c>
      <c r="G445" s="2" t="str">
        <f t="shared" si="18"/>
        <v/>
      </c>
      <c r="H445" s="2" t="str">
        <f>IF(A445="","",IF(AND('Offset Inputs'!$B$5&gt;='Mortgage Inputs'!$B$5,'Mortgage Inputs'!$B$5&gt;0),'Offset Inputs'!$B$5-'Mortgage Inputs'!$B$5,D445+'Offset Inputs'!$B$6))</f>
        <v/>
      </c>
    </row>
    <row r="446" spans="1:8" ht="22" customHeight="1">
      <c r="A446" s="1" t="str">
        <f>IF(AND('Mortgage Inputs'!$B$12,440&lt;=IF('Mortgage Inputs'!$B$12,'Mortgage Inputs'!$B$7,0)*12+600,ISNUMBER(G445),G445&gt;0.005),440,"")</f>
        <v/>
      </c>
      <c r="B446" s="4" t="str">
        <f>IF(A446="","",DATE(YEAR('Mortgage Inputs'!$B$8),MONTH('Mortgage Inputs'!$B$8)+A446,DAY('Mortgage Inputs'!$B$8)))</f>
        <v/>
      </c>
      <c r="C446" s="2" t="str">
        <f t="shared" si="19"/>
        <v/>
      </c>
      <c r="D446" s="2" t="str">
        <f t="shared" si="20"/>
        <v/>
      </c>
      <c r="E446" s="2" t="str">
        <f>IF(A446="","",MAX(0,(C446-MIN(D446,C446))*'Mortgage Inputs'!$B$15))</f>
        <v/>
      </c>
      <c r="F446" s="2" t="str">
        <f>IF(A446="","",IF(AND('Offset Inputs'!$B$5&gt;='Mortgage Inputs'!$B$5,'Mortgage Inputs'!$B$5&gt;0),C446,MIN(C446,MAX(0,'Mortgage Inputs'!$B$17-E446))))</f>
        <v/>
      </c>
      <c r="G446" s="2" t="str">
        <f t="shared" si="18"/>
        <v/>
      </c>
      <c r="H446" s="2" t="str">
        <f>IF(A446="","",IF(AND('Offset Inputs'!$B$5&gt;='Mortgage Inputs'!$B$5,'Mortgage Inputs'!$B$5&gt;0),'Offset Inputs'!$B$5-'Mortgage Inputs'!$B$5,D446+'Offset Inputs'!$B$6))</f>
        <v/>
      </c>
    </row>
    <row r="447" spans="1:8" ht="22" customHeight="1">
      <c r="A447" s="1" t="str">
        <f>IF(AND('Mortgage Inputs'!$B$12,441&lt;=IF('Mortgage Inputs'!$B$12,'Mortgage Inputs'!$B$7,0)*12+600,ISNUMBER(G446),G446&gt;0.005),441,"")</f>
        <v/>
      </c>
      <c r="B447" s="4" t="str">
        <f>IF(A447="","",DATE(YEAR('Mortgage Inputs'!$B$8),MONTH('Mortgage Inputs'!$B$8)+A447,DAY('Mortgage Inputs'!$B$8)))</f>
        <v/>
      </c>
      <c r="C447" s="2" t="str">
        <f t="shared" si="19"/>
        <v/>
      </c>
      <c r="D447" s="2" t="str">
        <f t="shared" si="20"/>
        <v/>
      </c>
      <c r="E447" s="2" t="str">
        <f>IF(A447="","",MAX(0,(C447-MIN(D447,C447))*'Mortgage Inputs'!$B$15))</f>
        <v/>
      </c>
      <c r="F447" s="2" t="str">
        <f>IF(A447="","",IF(AND('Offset Inputs'!$B$5&gt;='Mortgage Inputs'!$B$5,'Mortgage Inputs'!$B$5&gt;0),C447,MIN(C447,MAX(0,'Mortgage Inputs'!$B$17-E447))))</f>
        <v/>
      </c>
      <c r="G447" s="2" t="str">
        <f t="shared" si="18"/>
        <v/>
      </c>
      <c r="H447" s="2" t="str">
        <f>IF(A447="","",IF(AND('Offset Inputs'!$B$5&gt;='Mortgage Inputs'!$B$5,'Mortgage Inputs'!$B$5&gt;0),'Offset Inputs'!$B$5-'Mortgage Inputs'!$B$5,D447+'Offset Inputs'!$B$6))</f>
        <v/>
      </c>
    </row>
    <row r="448" spans="1:8" ht="22" customHeight="1">
      <c r="A448" s="1" t="str">
        <f>IF(AND('Mortgage Inputs'!$B$12,442&lt;=IF('Mortgage Inputs'!$B$12,'Mortgage Inputs'!$B$7,0)*12+600,ISNUMBER(G447),G447&gt;0.005),442,"")</f>
        <v/>
      </c>
      <c r="B448" s="4" t="str">
        <f>IF(A448="","",DATE(YEAR('Mortgage Inputs'!$B$8),MONTH('Mortgage Inputs'!$B$8)+A448,DAY('Mortgage Inputs'!$B$8)))</f>
        <v/>
      </c>
      <c r="C448" s="2" t="str">
        <f t="shared" si="19"/>
        <v/>
      </c>
      <c r="D448" s="2" t="str">
        <f t="shared" si="20"/>
        <v/>
      </c>
      <c r="E448" s="2" t="str">
        <f>IF(A448="","",MAX(0,(C448-MIN(D448,C448))*'Mortgage Inputs'!$B$15))</f>
        <v/>
      </c>
      <c r="F448" s="2" t="str">
        <f>IF(A448="","",IF(AND('Offset Inputs'!$B$5&gt;='Mortgage Inputs'!$B$5,'Mortgage Inputs'!$B$5&gt;0),C448,MIN(C448,MAX(0,'Mortgage Inputs'!$B$17-E448))))</f>
        <v/>
      </c>
      <c r="G448" s="2" t="str">
        <f t="shared" si="18"/>
        <v/>
      </c>
      <c r="H448" s="2" t="str">
        <f>IF(A448="","",IF(AND('Offset Inputs'!$B$5&gt;='Mortgage Inputs'!$B$5,'Mortgage Inputs'!$B$5&gt;0),'Offset Inputs'!$B$5-'Mortgage Inputs'!$B$5,D448+'Offset Inputs'!$B$6))</f>
        <v/>
      </c>
    </row>
    <row r="449" spans="1:8" ht="22" customHeight="1">
      <c r="A449" s="1" t="str">
        <f>IF(AND('Mortgage Inputs'!$B$12,443&lt;=IF('Mortgage Inputs'!$B$12,'Mortgage Inputs'!$B$7,0)*12+600,ISNUMBER(G448),G448&gt;0.005),443,"")</f>
        <v/>
      </c>
      <c r="B449" s="4" t="str">
        <f>IF(A449="","",DATE(YEAR('Mortgage Inputs'!$B$8),MONTH('Mortgage Inputs'!$B$8)+A449,DAY('Mortgage Inputs'!$B$8)))</f>
        <v/>
      </c>
      <c r="C449" s="2" t="str">
        <f t="shared" si="19"/>
        <v/>
      </c>
      <c r="D449" s="2" t="str">
        <f t="shared" si="20"/>
        <v/>
      </c>
      <c r="E449" s="2" t="str">
        <f>IF(A449="","",MAX(0,(C449-MIN(D449,C449))*'Mortgage Inputs'!$B$15))</f>
        <v/>
      </c>
      <c r="F449" s="2" t="str">
        <f>IF(A449="","",IF(AND('Offset Inputs'!$B$5&gt;='Mortgage Inputs'!$B$5,'Mortgage Inputs'!$B$5&gt;0),C449,MIN(C449,MAX(0,'Mortgage Inputs'!$B$17-E449))))</f>
        <v/>
      </c>
      <c r="G449" s="2" t="str">
        <f t="shared" si="18"/>
        <v/>
      </c>
      <c r="H449" s="2" t="str">
        <f>IF(A449="","",IF(AND('Offset Inputs'!$B$5&gt;='Mortgage Inputs'!$B$5,'Mortgage Inputs'!$B$5&gt;0),'Offset Inputs'!$B$5-'Mortgage Inputs'!$B$5,D449+'Offset Inputs'!$B$6))</f>
        <v/>
      </c>
    </row>
    <row r="450" spans="1:8" ht="22" customHeight="1">
      <c r="A450" s="1" t="str">
        <f>IF(AND('Mortgage Inputs'!$B$12,444&lt;=IF('Mortgage Inputs'!$B$12,'Mortgage Inputs'!$B$7,0)*12+600,ISNUMBER(G449),G449&gt;0.005),444,"")</f>
        <v/>
      </c>
      <c r="B450" s="4" t="str">
        <f>IF(A450="","",DATE(YEAR('Mortgage Inputs'!$B$8),MONTH('Mortgage Inputs'!$B$8)+A450,DAY('Mortgage Inputs'!$B$8)))</f>
        <v/>
      </c>
      <c r="C450" s="2" t="str">
        <f t="shared" si="19"/>
        <v/>
      </c>
      <c r="D450" s="2" t="str">
        <f t="shared" si="20"/>
        <v/>
      </c>
      <c r="E450" s="2" t="str">
        <f>IF(A450="","",MAX(0,(C450-MIN(D450,C450))*'Mortgage Inputs'!$B$15))</f>
        <v/>
      </c>
      <c r="F450" s="2" t="str">
        <f>IF(A450="","",IF(AND('Offset Inputs'!$B$5&gt;='Mortgage Inputs'!$B$5,'Mortgage Inputs'!$B$5&gt;0),C450,MIN(C450,MAX(0,'Mortgage Inputs'!$B$17-E450))))</f>
        <v/>
      </c>
      <c r="G450" s="2" t="str">
        <f t="shared" si="18"/>
        <v/>
      </c>
      <c r="H450" s="2" t="str">
        <f>IF(A450="","",IF(AND('Offset Inputs'!$B$5&gt;='Mortgage Inputs'!$B$5,'Mortgage Inputs'!$B$5&gt;0),'Offset Inputs'!$B$5-'Mortgage Inputs'!$B$5,D450+'Offset Inputs'!$B$6))</f>
        <v/>
      </c>
    </row>
    <row r="451" spans="1:8" ht="22" customHeight="1">
      <c r="A451" s="1" t="str">
        <f>IF(AND('Mortgage Inputs'!$B$12,445&lt;=IF('Mortgage Inputs'!$B$12,'Mortgage Inputs'!$B$7,0)*12+600,ISNUMBER(G450),G450&gt;0.005),445,"")</f>
        <v/>
      </c>
      <c r="B451" s="4" t="str">
        <f>IF(A451="","",DATE(YEAR('Mortgage Inputs'!$B$8),MONTH('Mortgage Inputs'!$B$8)+A451,DAY('Mortgage Inputs'!$B$8)))</f>
        <v/>
      </c>
      <c r="C451" s="2" t="str">
        <f t="shared" si="19"/>
        <v/>
      </c>
      <c r="D451" s="2" t="str">
        <f t="shared" si="20"/>
        <v/>
      </c>
      <c r="E451" s="2" t="str">
        <f>IF(A451="","",MAX(0,(C451-MIN(D451,C451))*'Mortgage Inputs'!$B$15))</f>
        <v/>
      </c>
      <c r="F451" s="2" t="str">
        <f>IF(A451="","",IF(AND('Offset Inputs'!$B$5&gt;='Mortgage Inputs'!$B$5,'Mortgage Inputs'!$B$5&gt;0),C451,MIN(C451,MAX(0,'Mortgage Inputs'!$B$17-E451))))</f>
        <v/>
      </c>
      <c r="G451" s="2" t="str">
        <f t="shared" si="18"/>
        <v/>
      </c>
      <c r="H451" s="2" t="str">
        <f>IF(A451="","",IF(AND('Offset Inputs'!$B$5&gt;='Mortgage Inputs'!$B$5,'Mortgage Inputs'!$B$5&gt;0),'Offset Inputs'!$B$5-'Mortgage Inputs'!$B$5,D451+'Offset Inputs'!$B$6))</f>
        <v/>
      </c>
    </row>
    <row r="452" spans="1:8" ht="22" customHeight="1">
      <c r="A452" s="1" t="str">
        <f>IF(AND('Mortgage Inputs'!$B$12,446&lt;=IF('Mortgage Inputs'!$B$12,'Mortgage Inputs'!$B$7,0)*12+600,ISNUMBER(G451),G451&gt;0.005),446,"")</f>
        <v/>
      </c>
      <c r="B452" s="4" t="str">
        <f>IF(A452="","",DATE(YEAR('Mortgage Inputs'!$B$8),MONTH('Mortgage Inputs'!$B$8)+A452,DAY('Mortgage Inputs'!$B$8)))</f>
        <v/>
      </c>
      <c r="C452" s="2" t="str">
        <f t="shared" si="19"/>
        <v/>
      </c>
      <c r="D452" s="2" t="str">
        <f t="shared" si="20"/>
        <v/>
      </c>
      <c r="E452" s="2" t="str">
        <f>IF(A452="","",MAX(0,(C452-MIN(D452,C452))*'Mortgage Inputs'!$B$15))</f>
        <v/>
      </c>
      <c r="F452" s="2" t="str">
        <f>IF(A452="","",IF(AND('Offset Inputs'!$B$5&gt;='Mortgage Inputs'!$B$5,'Mortgage Inputs'!$B$5&gt;0),C452,MIN(C452,MAX(0,'Mortgage Inputs'!$B$17-E452))))</f>
        <v/>
      </c>
      <c r="G452" s="2" t="str">
        <f t="shared" si="18"/>
        <v/>
      </c>
      <c r="H452" s="2" t="str">
        <f>IF(A452="","",IF(AND('Offset Inputs'!$B$5&gt;='Mortgage Inputs'!$B$5,'Mortgage Inputs'!$B$5&gt;0),'Offset Inputs'!$B$5-'Mortgage Inputs'!$B$5,D452+'Offset Inputs'!$B$6))</f>
        <v/>
      </c>
    </row>
    <row r="453" spans="1:8" ht="22" customHeight="1">
      <c r="A453" s="1" t="str">
        <f>IF(AND('Mortgage Inputs'!$B$12,447&lt;=IF('Mortgage Inputs'!$B$12,'Mortgage Inputs'!$B$7,0)*12+600,ISNUMBER(G452),G452&gt;0.005),447,"")</f>
        <v/>
      </c>
      <c r="B453" s="4" t="str">
        <f>IF(A453="","",DATE(YEAR('Mortgage Inputs'!$B$8),MONTH('Mortgage Inputs'!$B$8)+A453,DAY('Mortgage Inputs'!$B$8)))</f>
        <v/>
      </c>
      <c r="C453" s="2" t="str">
        <f t="shared" si="19"/>
        <v/>
      </c>
      <c r="D453" s="2" t="str">
        <f t="shared" si="20"/>
        <v/>
      </c>
      <c r="E453" s="2" t="str">
        <f>IF(A453="","",MAX(0,(C453-MIN(D453,C453))*'Mortgage Inputs'!$B$15))</f>
        <v/>
      </c>
      <c r="F453" s="2" t="str">
        <f>IF(A453="","",IF(AND('Offset Inputs'!$B$5&gt;='Mortgage Inputs'!$B$5,'Mortgage Inputs'!$B$5&gt;0),C453,MIN(C453,MAX(0,'Mortgage Inputs'!$B$17-E453))))</f>
        <v/>
      </c>
      <c r="G453" s="2" t="str">
        <f t="shared" si="18"/>
        <v/>
      </c>
      <c r="H453" s="2" t="str">
        <f>IF(A453="","",IF(AND('Offset Inputs'!$B$5&gt;='Mortgage Inputs'!$B$5,'Mortgage Inputs'!$B$5&gt;0),'Offset Inputs'!$B$5-'Mortgage Inputs'!$B$5,D453+'Offset Inputs'!$B$6))</f>
        <v/>
      </c>
    </row>
    <row r="454" spans="1:8" ht="22" customHeight="1">
      <c r="A454" s="1" t="str">
        <f>IF(AND('Mortgage Inputs'!$B$12,448&lt;=IF('Mortgage Inputs'!$B$12,'Mortgage Inputs'!$B$7,0)*12+600,ISNUMBER(G453),G453&gt;0.005),448,"")</f>
        <v/>
      </c>
      <c r="B454" s="4" t="str">
        <f>IF(A454="","",DATE(YEAR('Mortgage Inputs'!$B$8),MONTH('Mortgage Inputs'!$B$8)+A454,DAY('Mortgage Inputs'!$B$8)))</f>
        <v/>
      </c>
      <c r="C454" s="2" t="str">
        <f t="shared" si="19"/>
        <v/>
      </c>
      <c r="D454" s="2" t="str">
        <f t="shared" si="20"/>
        <v/>
      </c>
      <c r="E454" s="2" t="str">
        <f>IF(A454="","",MAX(0,(C454-MIN(D454,C454))*'Mortgage Inputs'!$B$15))</f>
        <v/>
      </c>
      <c r="F454" s="2" t="str">
        <f>IF(A454="","",IF(AND('Offset Inputs'!$B$5&gt;='Mortgage Inputs'!$B$5,'Mortgage Inputs'!$B$5&gt;0),C454,MIN(C454,MAX(0,'Mortgage Inputs'!$B$17-E454))))</f>
        <v/>
      </c>
      <c r="G454" s="2" t="str">
        <f t="shared" si="18"/>
        <v/>
      </c>
      <c r="H454" s="2" t="str">
        <f>IF(A454="","",IF(AND('Offset Inputs'!$B$5&gt;='Mortgage Inputs'!$B$5,'Mortgage Inputs'!$B$5&gt;0),'Offset Inputs'!$B$5-'Mortgage Inputs'!$B$5,D454+'Offset Inputs'!$B$6))</f>
        <v/>
      </c>
    </row>
    <row r="455" spans="1:8" ht="22" customHeight="1">
      <c r="A455" s="1" t="str">
        <f>IF(AND('Mortgage Inputs'!$B$12,449&lt;=IF('Mortgage Inputs'!$B$12,'Mortgage Inputs'!$B$7,0)*12+600,ISNUMBER(G454),G454&gt;0.005),449,"")</f>
        <v/>
      </c>
      <c r="B455" s="4" t="str">
        <f>IF(A455="","",DATE(YEAR('Mortgage Inputs'!$B$8),MONTH('Mortgage Inputs'!$B$8)+A455,DAY('Mortgage Inputs'!$B$8)))</f>
        <v/>
      </c>
      <c r="C455" s="2" t="str">
        <f t="shared" si="19"/>
        <v/>
      </c>
      <c r="D455" s="2" t="str">
        <f t="shared" si="20"/>
        <v/>
      </c>
      <c r="E455" s="2" t="str">
        <f>IF(A455="","",MAX(0,(C455-MIN(D455,C455))*'Mortgage Inputs'!$B$15))</f>
        <v/>
      </c>
      <c r="F455" s="2" t="str">
        <f>IF(A455="","",IF(AND('Offset Inputs'!$B$5&gt;='Mortgage Inputs'!$B$5,'Mortgage Inputs'!$B$5&gt;0),C455,MIN(C455,MAX(0,'Mortgage Inputs'!$B$17-E455))))</f>
        <v/>
      </c>
      <c r="G455" s="2" t="str">
        <f t="shared" ref="G455:G518" si="21">IF(A455="","",MAX(0,C455-F455))</f>
        <v/>
      </c>
      <c r="H455" s="2" t="str">
        <f>IF(A455="","",IF(AND('Offset Inputs'!$B$5&gt;='Mortgage Inputs'!$B$5,'Mortgage Inputs'!$B$5&gt;0),'Offset Inputs'!$B$5-'Mortgage Inputs'!$B$5,D455+'Offset Inputs'!$B$6))</f>
        <v/>
      </c>
    </row>
    <row r="456" spans="1:8" ht="22" customHeight="1">
      <c r="A456" s="1" t="str">
        <f>IF(AND('Mortgage Inputs'!$B$12,450&lt;=IF('Mortgage Inputs'!$B$12,'Mortgage Inputs'!$B$7,0)*12+600,ISNUMBER(G455),G455&gt;0.005),450,"")</f>
        <v/>
      </c>
      <c r="B456" s="4" t="str">
        <f>IF(A456="","",DATE(YEAR('Mortgage Inputs'!$B$8),MONTH('Mortgage Inputs'!$B$8)+A456,DAY('Mortgage Inputs'!$B$8)))</f>
        <v/>
      </c>
      <c r="C456" s="2" t="str">
        <f t="shared" ref="C456:C519" si="22">IF(A456="","",G455)</f>
        <v/>
      </c>
      <c r="D456" s="2" t="str">
        <f t="shared" ref="D456:D519" si="23">IF(A456="","",H455)</f>
        <v/>
      </c>
      <c r="E456" s="2" t="str">
        <f>IF(A456="","",MAX(0,(C456-MIN(D456,C456))*'Mortgage Inputs'!$B$15))</f>
        <v/>
      </c>
      <c r="F456" s="2" t="str">
        <f>IF(A456="","",IF(AND('Offset Inputs'!$B$5&gt;='Mortgage Inputs'!$B$5,'Mortgage Inputs'!$B$5&gt;0),C456,MIN(C456,MAX(0,'Mortgage Inputs'!$B$17-E456))))</f>
        <v/>
      </c>
      <c r="G456" s="2" t="str">
        <f t="shared" si="21"/>
        <v/>
      </c>
      <c r="H456" s="2" t="str">
        <f>IF(A456="","",IF(AND('Offset Inputs'!$B$5&gt;='Mortgage Inputs'!$B$5,'Mortgage Inputs'!$B$5&gt;0),'Offset Inputs'!$B$5-'Mortgage Inputs'!$B$5,D456+'Offset Inputs'!$B$6))</f>
        <v/>
      </c>
    </row>
    <row r="457" spans="1:8" ht="22" customHeight="1">
      <c r="A457" s="1" t="str">
        <f>IF(AND('Mortgage Inputs'!$B$12,451&lt;=IF('Mortgage Inputs'!$B$12,'Mortgage Inputs'!$B$7,0)*12+600,ISNUMBER(G456),G456&gt;0.005),451,"")</f>
        <v/>
      </c>
      <c r="B457" s="4" t="str">
        <f>IF(A457="","",DATE(YEAR('Mortgage Inputs'!$B$8),MONTH('Mortgage Inputs'!$B$8)+A457,DAY('Mortgage Inputs'!$B$8)))</f>
        <v/>
      </c>
      <c r="C457" s="2" t="str">
        <f t="shared" si="22"/>
        <v/>
      </c>
      <c r="D457" s="2" t="str">
        <f t="shared" si="23"/>
        <v/>
      </c>
      <c r="E457" s="2" t="str">
        <f>IF(A457="","",MAX(0,(C457-MIN(D457,C457))*'Mortgage Inputs'!$B$15))</f>
        <v/>
      </c>
      <c r="F457" s="2" t="str">
        <f>IF(A457="","",IF(AND('Offset Inputs'!$B$5&gt;='Mortgage Inputs'!$B$5,'Mortgage Inputs'!$B$5&gt;0),C457,MIN(C457,MAX(0,'Mortgage Inputs'!$B$17-E457))))</f>
        <v/>
      </c>
      <c r="G457" s="2" t="str">
        <f t="shared" si="21"/>
        <v/>
      </c>
      <c r="H457" s="2" t="str">
        <f>IF(A457="","",IF(AND('Offset Inputs'!$B$5&gt;='Mortgage Inputs'!$B$5,'Mortgage Inputs'!$B$5&gt;0),'Offset Inputs'!$B$5-'Mortgage Inputs'!$B$5,D457+'Offset Inputs'!$B$6))</f>
        <v/>
      </c>
    </row>
    <row r="458" spans="1:8" ht="22" customHeight="1">
      <c r="A458" s="1" t="str">
        <f>IF(AND('Mortgage Inputs'!$B$12,452&lt;=IF('Mortgage Inputs'!$B$12,'Mortgage Inputs'!$B$7,0)*12+600,ISNUMBER(G457),G457&gt;0.005),452,"")</f>
        <v/>
      </c>
      <c r="B458" s="4" t="str">
        <f>IF(A458="","",DATE(YEAR('Mortgage Inputs'!$B$8),MONTH('Mortgage Inputs'!$B$8)+A458,DAY('Mortgage Inputs'!$B$8)))</f>
        <v/>
      </c>
      <c r="C458" s="2" t="str">
        <f t="shared" si="22"/>
        <v/>
      </c>
      <c r="D458" s="2" t="str">
        <f t="shared" si="23"/>
        <v/>
      </c>
      <c r="E458" s="2" t="str">
        <f>IF(A458="","",MAX(0,(C458-MIN(D458,C458))*'Mortgage Inputs'!$B$15))</f>
        <v/>
      </c>
      <c r="F458" s="2" t="str">
        <f>IF(A458="","",IF(AND('Offset Inputs'!$B$5&gt;='Mortgage Inputs'!$B$5,'Mortgage Inputs'!$B$5&gt;0),C458,MIN(C458,MAX(0,'Mortgage Inputs'!$B$17-E458))))</f>
        <v/>
      </c>
      <c r="G458" s="2" t="str">
        <f t="shared" si="21"/>
        <v/>
      </c>
      <c r="H458" s="2" t="str">
        <f>IF(A458="","",IF(AND('Offset Inputs'!$B$5&gt;='Mortgage Inputs'!$B$5,'Mortgage Inputs'!$B$5&gt;0),'Offset Inputs'!$B$5-'Mortgage Inputs'!$B$5,D458+'Offset Inputs'!$B$6))</f>
        <v/>
      </c>
    </row>
    <row r="459" spans="1:8" ht="22" customHeight="1">
      <c r="A459" s="1" t="str">
        <f>IF(AND('Mortgage Inputs'!$B$12,453&lt;=IF('Mortgage Inputs'!$B$12,'Mortgage Inputs'!$B$7,0)*12+600,ISNUMBER(G458),G458&gt;0.005),453,"")</f>
        <v/>
      </c>
      <c r="B459" s="4" t="str">
        <f>IF(A459="","",DATE(YEAR('Mortgage Inputs'!$B$8),MONTH('Mortgage Inputs'!$B$8)+A459,DAY('Mortgage Inputs'!$B$8)))</f>
        <v/>
      </c>
      <c r="C459" s="2" t="str">
        <f t="shared" si="22"/>
        <v/>
      </c>
      <c r="D459" s="2" t="str">
        <f t="shared" si="23"/>
        <v/>
      </c>
      <c r="E459" s="2" t="str">
        <f>IF(A459="","",MAX(0,(C459-MIN(D459,C459))*'Mortgage Inputs'!$B$15))</f>
        <v/>
      </c>
      <c r="F459" s="2" t="str">
        <f>IF(A459="","",IF(AND('Offset Inputs'!$B$5&gt;='Mortgage Inputs'!$B$5,'Mortgage Inputs'!$B$5&gt;0),C459,MIN(C459,MAX(0,'Mortgage Inputs'!$B$17-E459))))</f>
        <v/>
      </c>
      <c r="G459" s="2" t="str">
        <f t="shared" si="21"/>
        <v/>
      </c>
      <c r="H459" s="2" t="str">
        <f>IF(A459="","",IF(AND('Offset Inputs'!$B$5&gt;='Mortgage Inputs'!$B$5,'Mortgage Inputs'!$B$5&gt;0),'Offset Inputs'!$B$5-'Mortgage Inputs'!$B$5,D459+'Offset Inputs'!$B$6))</f>
        <v/>
      </c>
    </row>
    <row r="460" spans="1:8" ht="22" customHeight="1">
      <c r="A460" s="1" t="str">
        <f>IF(AND('Mortgage Inputs'!$B$12,454&lt;=IF('Mortgage Inputs'!$B$12,'Mortgage Inputs'!$B$7,0)*12+600,ISNUMBER(G459),G459&gt;0.005),454,"")</f>
        <v/>
      </c>
      <c r="B460" s="4" t="str">
        <f>IF(A460="","",DATE(YEAR('Mortgage Inputs'!$B$8),MONTH('Mortgage Inputs'!$B$8)+A460,DAY('Mortgage Inputs'!$B$8)))</f>
        <v/>
      </c>
      <c r="C460" s="2" t="str">
        <f t="shared" si="22"/>
        <v/>
      </c>
      <c r="D460" s="2" t="str">
        <f t="shared" si="23"/>
        <v/>
      </c>
      <c r="E460" s="2" t="str">
        <f>IF(A460="","",MAX(0,(C460-MIN(D460,C460))*'Mortgage Inputs'!$B$15))</f>
        <v/>
      </c>
      <c r="F460" s="2" t="str">
        <f>IF(A460="","",IF(AND('Offset Inputs'!$B$5&gt;='Mortgage Inputs'!$B$5,'Mortgage Inputs'!$B$5&gt;0),C460,MIN(C460,MAX(0,'Mortgage Inputs'!$B$17-E460))))</f>
        <v/>
      </c>
      <c r="G460" s="2" t="str">
        <f t="shared" si="21"/>
        <v/>
      </c>
      <c r="H460" s="2" t="str">
        <f>IF(A460="","",IF(AND('Offset Inputs'!$B$5&gt;='Mortgage Inputs'!$B$5,'Mortgage Inputs'!$B$5&gt;0),'Offset Inputs'!$B$5-'Mortgage Inputs'!$B$5,D460+'Offset Inputs'!$B$6))</f>
        <v/>
      </c>
    </row>
    <row r="461" spans="1:8" ht="22" customHeight="1">
      <c r="A461" s="1" t="str">
        <f>IF(AND('Mortgage Inputs'!$B$12,455&lt;=IF('Mortgage Inputs'!$B$12,'Mortgage Inputs'!$B$7,0)*12+600,ISNUMBER(G460),G460&gt;0.005),455,"")</f>
        <v/>
      </c>
      <c r="B461" s="4" t="str">
        <f>IF(A461="","",DATE(YEAR('Mortgage Inputs'!$B$8),MONTH('Mortgage Inputs'!$B$8)+A461,DAY('Mortgage Inputs'!$B$8)))</f>
        <v/>
      </c>
      <c r="C461" s="2" t="str">
        <f t="shared" si="22"/>
        <v/>
      </c>
      <c r="D461" s="2" t="str">
        <f t="shared" si="23"/>
        <v/>
      </c>
      <c r="E461" s="2" t="str">
        <f>IF(A461="","",MAX(0,(C461-MIN(D461,C461))*'Mortgage Inputs'!$B$15))</f>
        <v/>
      </c>
      <c r="F461" s="2" t="str">
        <f>IF(A461="","",IF(AND('Offset Inputs'!$B$5&gt;='Mortgage Inputs'!$B$5,'Mortgage Inputs'!$B$5&gt;0),C461,MIN(C461,MAX(0,'Mortgage Inputs'!$B$17-E461))))</f>
        <v/>
      </c>
      <c r="G461" s="2" t="str">
        <f t="shared" si="21"/>
        <v/>
      </c>
      <c r="H461" s="2" t="str">
        <f>IF(A461="","",IF(AND('Offset Inputs'!$B$5&gt;='Mortgage Inputs'!$B$5,'Mortgage Inputs'!$B$5&gt;0),'Offset Inputs'!$B$5-'Mortgage Inputs'!$B$5,D461+'Offset Inputs'!$B$6))</f>
        <v/>
      </c>
    </row>
    <row r="462" spans="1:8" ht="22" customHeight="1">
      <c r="A462" s="1" t="str">
        <f>IF(AND('Mortgage Inputs'!$B$12,456&lt;=IF('Mortgage Inputs'!$B$12,'Mortgage Inputs'!$B$7,0)*12+600,ISNUMBER(G461),G461&gt;0.005),456,"")</f>
        <v/>
      </c>
      <c r="B462" s="4" t="str">
        <f>IF(A462="","",DATE(YEAR('Mortgage Inputs'!$B$8),MONTH('Mortgage Inputs'!$B$8)+A462,DAY('Mortgage Inputs'!$B$8)))</f>
        <v/>
      </c>
      <c r="C462" s="2" t="str">
        <f t="shared" si="22"/>
        <v/>
      </c>
      <c r="D462" s="2" t="str">
        <f t="shared" si="23"/>
        <v/>
      </c>
      <c r="E462" s="2" t="str">
        <f>IF(A462="","",MAX(0,(C462-MIN(D462,C462))*'Mortgage Inputs'!$B$15))</f>
        <v/>
      </c>
      <c r="F462" s="2" t="str">
        <f>IF(A462="","",IF(AND('Offset Inputs'!$B$5&gt;='Mortgage Inputs'!$B$5,'Mortgage Inputs'!$B$5&gt;0),C462,MIN(C462,MAX(0,'Mortgage Inputs'!$B$17-E462))))</f>
        <v/>
      </c>
      <c r="G462" s="2" t="str">
        <f t="shared" si="21"/>
        <v/>
      </c>
      <c r="H462" s="2" t="str">
        <f>IF(A462="","",IF(AND('Offset Inputs'!$B$5&gt;='Mortgage Inputs'!$B$5,'Mortgage Inputs'!$B$5&gt;0),'Offset Inputs'!$B$5-'Mortgage Inputs'!$B$5,D462+'Offset Inputs'!$B$6))</f>
        <v/>
      </c>
    </row>
    <row r="463" spans="1:8" ht="22" customHeight="1">
      <c r="A463" s="1" t="str">
        <f>IF(AND('Mortgage Inputs'!$B$12,457&lt;=IF('Mortgage Inputs'!$B$12,'Mortgage Inputs'!$B$7,0)*12+600,ISNUMBER(G462),G462&gt;0.005),457,"")</f>
        <v/>
      </c>
      <c r="B463" s="4" t="str">
        <f>IF(A463="","",DATE(YEAR('Mortgage Inputs'!$B$8),MONTH('Mortgage Inputs'!$B$8)+A463,DAY('Mortgage Inputs'!$B$8)))</f>
        <v/>
      </c>
      <c r="C463" s="2" t="str">
        <f t="shared" si="22"/>
        <v/>
      </c>
      <c r="D463" s="2" t="str">
        <f t="shared" si="23"/>
        <v/>
      </c>
      <c r="E463" s="2" t="str">
        <f>IF(A463="","",MAX(0,(C463-MIN(D463,C463))*'Mortgage Inputs'!$B$15))</f>
        <v/>
      </c>
      <c r="F463" s="2" t="str">
        <f>IF(A463="","",IF(AND('Offset Inputs'!$B$5&gt;='Mortgage Inputs'!$B$5,'Mortgage Inputs'!$B$5&gt;0),C463,MIN(C463,MAX(0,'Mortgage Inputs'!$B$17-E463))))</f>
        <v/>
      </c>
      <c r="G463" s="2" t="str">
        <f t="shared" si="21"/>
        <v/>
      </c>
      <c r="H463" s="2" t="str">
        <f>IF(A463="","",IF(AND('Offset Inputs'!$B$5&gt;='Mortgage Inputs'!$B$5,'Mortgage Inputs'!$B$5&gt;0),'Offset Inputs'!$B$5-'Mortgage Inputs'!$B$5,D463+'Offset Inputs'!$B$6))</f>
        <v/>
      </c>
    </row>
    <row r="464" spans="1:8" ht="22" customHeight="1">
      <c r="A464" s="1" t="str">
        <f>IF(AND('Mortgage Inputs'!$B$12,458&lt;=IF('Mortgage Inputs'!$B$12,'Mortgage Inputs'!$B$7,0)*12+600,ISNUMBER(G463),G463&gt;0.005),458,"")</f>
        <v/>
      </c>
      <c r="B464" s="4" t="str">
        <f>IF(A464="","",DATE(YEAR('Mortgage Inputs'!$B$8),MONTH('Mortgage Inputs'!$B$8)+A464,DAY('Mortgage Inputs'!$B$8)))</f>
        <v/>
      </c>
      <c r="C464" s="2" t="str">
        <f t="shared" si="22"/>
        <v/>
      </c>
      <c r="D464" s="2" t="str">
        <f t="shared" si="23"/>
        <v/>
      </c>
      <c r="E464" s="2" t="str">
        <f>IF(A464="","",MAX(0,(C464-MIN(D464,C464))*'Mortgage Inputs'!$B$15))</f>
        <v/>
      </c>
      <c r="F464" s="2" t="str">
        <f>IF(A464="","",IF(AND('Offset Inputs'!$B$5&gt;='Mortgage Inputs'!$B$5,'Mortgage Inputs'!$B$5&gt;0),C464,MIN(C464,MAX(0,'Mortgage Inputs'!$B$17-E464))))</f>
        <v/>
      </c>
      <c r="G464" s="2" t="str">
        <f t="shared" si="21"/>
        <v/>
      </c>
      <c r="H464" s="2" t="str">
        <f>IF(A464="","",IF(AND('Offset Inputs'!$B$5&gt;='Mortgage Inputs'!$B$5,'Mortgage Inputs'!$B$5&gt;0),'Offset Inputs'!$B$5-'Mortgage Inputs'!$B$5,D464+'Offset Inputs'!$B$6))</f>
        <v/>
      </c>
    </row>
    <row r="465" spans="1:8" ht="22" customHeight="1">
      <c r="A465" s="1" t="str">
        <f>IF(AND('Mortgage Inputs'!$B$12,459&lt;=IF('Mortgage Inputs'!$B$12,'Mortgage Inputs'!$B$7,0)*12+600,ISNUMBER(G464),G464&gt;0.005),459,"")</f>
        <v/>
      </c>
      <c r="B465" s="4" t="str">
        <f>IF(A465="","",DATE(YEAR('Mortgage Inputs'!$B$8),MONTH('Mortgage Inputs'!$B$8)+A465,DAY('Mortgage Inputs'!$B$8)))</f>
        <v/>
      </c>
      <c r="C465" s="2" t="str">
        <f t="shared" si="22"/>
        <v/>
      </c>
      <c r="D465" s="2" t="str">
        <f t="shared" si="23"/>
        <v/>
      </c>
      <c r="E465" s="2" t="str">
        <f>IF(A465="","",MAX(0,(C465-MIN(D465,C465))*'Mortgage Inputs'!$B$15))</f>
        <v/>
      </c>
      <c r="F465" s="2" t="str">
        <f>IF(A465="","",IF(AND('Offset Inputs'!$B$5&gt;='Mortgage Inputs'!$B$5,'Mortgage Inputs'!$B$5&gt;0),C465,MIN(C465,MAX(0,'Mortgage Inputs'!$B$17-E465))))</f>
        <v/>
      </c>
      <c r="G465" s="2" t="str">
        <f t="shared" si="21"/>
        <v/>
      </c>
      <c r="H465" s="2" t="str">
        <f>IF(A465="","",IF(AND('Offset Inputs'!$B$5&gt;='Mortgage Inputs'!$B$5,'Mortgage Inputs'!$B$5&gt;0),'Offset Inputs'!$B$5-'Mortgage Inputs'!$B$5,D465+'Offset Inputs'!$B$6))</f>
        <v/>
      </c>
    </row>
    <row r="466" spans="1:8" ht="22" customHeight="1">
      <c r="A466" s="1" t="str">
        <f>IF(AND('Mortgage Inputs'!$B$12,460&lt;=IF('Mortgage Inputs'!$B$12,'Mortgage Inputs'!$B$7,0)*12+600,ISNUMBER(G465),G465&gt;0.005),460,"")</f>
        <v/>
      </c>
      <c r="B466" s="4" t="str">
        <f>IF(A466="","",DATE(YEAR('Mortgage Inputs'!$B$8),MONTH('Mortgage Inputs'!$B$8)+A466,DAY('Mortgage Inputs'!$B$8)))</f>
        <v/>
      </c>
      <c r="C466" s="2" t="str">
        <f t="shared" si="22"/>
        <v/>
      </c>
      <c r="D466" s="2" t="str">
        <f t="shared" si="23"/>
        <v/>
      </c>
      <c r="E466" s="2" t="str">
        <f>IF(A466="","",MAX(0,(C466-MIN(D466,C466))*'Mortgage Inputs'!$B$15))</f>
        <v/>
      </c>
      <c r="F466" s="2" t="str">
        <f>IF(A466="","",IF(AND('Offset Inputs'!$B$5&gt;='Mortgage Inputs'!$B$5,'Mortgage Inputs'!$B$5&gt;0),C466,MIN(C466,MAX(0,'Mortgage Inputs'!$B$17-E466))))</f>
        <v/>
      </c>
      <c r="G466" s="2" t="str">
        <f t="shared" si="21"/>
        <v/>
      </c>
      <c r="H466" s="2" t="str">
        <f>IF(A466="","",IF(AND('Offset Inputs'!$B$5&gt;='Mortgage Inputs'!$B$5,'Mortgage Inputs'!$B$5&gt;0),'Offset Inputs'!$B$5-'Mortgage Inputs'!$B$5,D466+'Offset Inputs'!$B$6))</f>
        <v/>
      </c>
    </row>
    <row r="467" spans="1:8" ht="22" customHeight="1">
      <c r="A467" s="1" t="str">
        <f>IF(AND('Mortgage Inputs'!$B$12,461&lt;=IF('Mortgage Inputs'!$B$12,'Mortgage Inputs'!$B$7,0)*12+600,ISNUMBER(G466),G466&gt;0.005),461,"")</f>
        <v/>
      </c>
      <c r="B467" s="4" t="str">
        <f>IF(A467="","",DATE(YEAR('Mortgage Inputs'!$B$8),MONTH('Mortgage Inputs'!$B$8)+A467,DAY('Mortgage Inputs'!$B$8)))</f>
        <v/>
      </c>
      <c r="C467" s="2" t="str">
        <f t="shared" si="22"/>
        <v/>
      </c>
      <c r="D467" s="2" t="str">
        <f t="shared" si="23"/>
        <v/>
      </c>
      <c r="E467" s="2" t="str">
        <f>IF(A467="","",MAX(0,(C467-MIN(D467,C467))*'Mortgage Inputs'!$B$15))</f>
        <v/>
      </c>
      <c r="F467" s="2" t="str">
        <f>IF(A467="","",IF(AND('Offset Inputs'!$B$5&gt;='Mortgage Inputs'!$B$5,'Mortgage Inputs'!$B$5&gt;0),C467,MIN(C467,MAX(0,'Mortgage Inputs'!$B$17-E467))))</f>
        <v/>
      </c>
      <c r="G467" s="2" t="str">
        <f t="shared" si="21"/>
        <v/>
      </c>
      <c r="H467" s="2" t="str">
        <f>IF(A467="","",IF(AND('Offset Inputs'!$B$5&gt;='Mortgage Inputs'!$B$5,'Mortgage Inputs'!$B$5&gt;0),'Offset Inputs'!$B$5-'Mortgage Inputs'!$B$5,D467+'Offset Inputs'!$B$6))</f>
        <v/>
      </c>
    </row>
    <row r="468" spans="1:8" ht="22" customHeight="1">
      <c r="A468" s="1" t="str">
        <f>IF(AND('Mortgage Inputs'!$B$12,462&lt;=IF('Mortgage Inputs'!$B$12,'Mortgage Inputs'!$B$7,0)*12+600,ISNUMBER(G467),G467&gt;0.005),462,"")</f>
        <v/>
      </c>
      <c r="B468" s="4" t="str">
        <f>IF(A468="","",DATE(YEAR('Mortgage Inputs'!$B$8),MONTH('Mortgage Inputs'!$B$8)+A468,DAY('Mortgage Inputs'!$B$8)))</f>
        <v/>
      </c>
      <c r="C468" s="2" t="str">
        <f t="shared" si="22"/>
        <v/>
      </c>
      <c r="D468" s="2" t="str">
        <f t="shared" si="23"/>
        <v/>
      </c>
      <c r="E468" s="2" t="str">
        <f>IF(A468="","",MAX(0,(C468-MIN(D468,C468))*'Mortgage Inputs'!$B$15))</f>
        <v/>
      </c>
      <c r="F468" s="2" t="str">
        <f>IF(A468="","",IF(AND('Offset Inputs'!$B$5&gt;='Mortgage Inputs'!$B$5,'Mortgage Inputs'!$B$5&gt;0),C468,MIN(C468,MAX(0,'Mortgage Inputs'!$B$17-E468))))</f>
        <v/>
      </c>
      <c r="G468" s="2" t="str">
        <f t="shared" si="21"/>
        <v/>
      </c>
      <c r="H468" s="2" t="str">
        <f>IF(A468="","",IF(AND('Offset Inputs'!$B$5&gt;='Mortgage Inputs'!$B$5,'Mortgage Inputs'!$B$5&gt;0),'Offset Inputs'!$B$5-'Mortgage Inputs'!$B$5,D468+'Offset Inputs'!$B$6))</f>
        <v/>
      </c>
    </row>
    <row r="469" spans="1:8" ht="22" customHeight="1">
      <c r="A469" s="1" t="str">
        <f>IF(AND('Mortgage Inputs'!$B$12,463&lt;=IF('Mortgage Inputs'!$B$12,'Mortgage Inputs'!$B$7,0)*12+600,ISNUMBER(G468),G468&gt;0.005),463,"")</f>
        <v/>
      </c>
      <c r="B469" s="4" t="str">
        <f>IF(A469="","",DATE(YEAR('Mortgage Inputs'!$B$8),MONTH('Mortgage Inputs'!$B$8)+A469,DAY('Mortgage Inputs'!$B$8)))</f>
        <v/>
      </c>
      <c r="C469" s="2" t="str">
        <f t="shared" si="22"/>
        <v/>
      </c>
      <c r="D469" s="2" t="str">
        <f t="shared" si="23"/>
        <v/>
      </c>
      <c r="E469" s="2" t="str">
        <f>IF(A469="","",MAX(0,(C469-MIN(D469,C469))*'Mortgage Inputs'!$B$15))</f>
        <v/>
      </c>
      <c r="F469" s="2" t="str">
        <f>IF(A469="","",IF(AND('Offset Inputs'!$B$5&gt;='Mortgage Inputs'!$B$5,'Mortgage Inputs'!$B$5&gt;0),C469,MIN(C469,MAX(0,'Mortgage Inputs'!$B$17-E469))))</f>
        <v/>
      </c>
      <c r="G469" s="2" t="str">
        <f t="shared" si="21"/>
        <v/>
      </c>
      <c r="H469" s="2" t="str">
        <f>IF(A469="","",IF(AND('Offset Inputs'!$B$5&gt;='Mortgage Inputs'!$B$5,'Mortgage Inputs'!$B$5&gt;0),'Offset Inputs'!$B$5-'Mortgage Inputs'!$B$5,D469+'Offset Inputs'!$B$6))</f>
        <v/>
      </c>
    </row>
    <row r="470" spans="1:8" ht="22" customHeight="1">
      <c r="A470" s="1" t="str">
        <f>IF(AND('Mortgage Inputs'!$B$12,464&lt;=IF('Mortgage Inputs'!$B$12,'Mortgage Inputs'!$B$7,0)*12+600,ISNUMBER(G469),G469&gt;0.005),464,"")</f>
        <v/>
      </c>
      <c r="B470" s="4" t="str">
        <f>IF(A470="","",DATE(YEAR('Mortgage Inputs'!$B$8),MONTH('Mortgage Inputs'!$B$8)+A470,DAY('Mortgage Inputs'!$B$8)))</f>
        <v/>
      </c>
      <c r="C470" s="2" t="str">
        <f t="shared" si="22"/>
        <v/>
      </c>
      <c r="D470" s="2" t="str">
        <f t="shared" si="23"/>
        <v/>
      </c>
      <c r="E470" s="2" t="str">
        <f>IF(A470="","",MAX(0,(C470-MIN(D470,C470))*'Mortgage Inputs'!$B$15))</f>
        <v/>
      </c>
      <c r="F470" s="2" t="str">
        <f>IF(A470="","",IF(AND('Offset Inputs'!$B$5&gt;='Mortgage Inputs'!$B$5,'Mortgage Inputs'!$B$5&gt;0),C470,MIN(C470,MAX(0,'Mortgage Inputs'!$B$17-E470))))</f>
        <v/>
      </c>
      <c r="G470" s="2" t="str">
        <f t="shared" si="21"/>
        <v/>
      </c>
      <c r="H470" s="2" t="str">
        <f>IF(A470="","",IF(AND('Offset Inputs'!$B$5&gt;='Mortgage Inputs'!$B$5,'Mortgage Inputs'!$B$5&gt;0),'Offset Inputs'!$B$5-'Mortgage Inputs'!$B$5,D470+'Offset Inputs'!$B$6))</f>
        <v/>
      </c>
    </row>
    <row r="471" spans="1:8" ht="22" customHeight="1">
      <c r="A471" s="1" t="str">
        <f>IF(AND('Mortgage Inputs'!$B$12,465&lt;=IF('Mortgage Inputs'!$B$12,'Mortgage Inputs'!$B$7,0)*12+600,ISNUMBER(G470),G470&gt;0.005),465,"")</f>
        <v/>
      </c>
      <c r="B471" s="4" t="str">
        <f>IF(A471="","",DATE(YEAR('Mortgage Inputs'!$B$8),MONTH('Mortgage Inputs'!$B$8)+A471,DAY('Mortgage Inputs'!$B$8)))</f>
        <v/>
      </c>
      <c r="C471" s="2" t="str">
        <f t="shared" si="22"/>
        <v/>
      </c>
      <c r="D471" s="2" t="str">
        <f t="shared" si="23"/>
        <v/>
      </c>
      <c r="E471" s="2" t="str">
        <f>IF(A471="","",MAX(0,(C471-MIN(D471,C471))*'Mortgage Inputs'!$B$15))</f>
        <v/>
      </c>
      <c r="F471" s="2" t="str">
        <f>IF(A471="","",IF(AND('Offset Inputs'!$B$5&gt;='Mortgage Inputs'!$B$5,'Mortgage Inputs'!$B$5&gt;0),C471,MIN(C471,MAX(0,'Mortgage Inputs'!$B$17-E471))))</f>
        <v/>
      </c>
      <c r="G471" s="2" t="str">
        <f t="shared" si="21"/>
        <v/>
      </c>
      <c r="H471" s="2" t="str">
        <f>IF(A471="","",IF(AND('Offset Inputs'!$B$5&gt;='Mortgage Inputs'!$B$5,'Mortgage Inputs'!$B$5&gt;0),'Offset Inputs'!$B$5-'Mortgage Inputs'!$B$5,D471+'Offset Inputs'!$B$6))</f>
        <v/>
      </c>
    </row>
    <row r="472" spans="1:8" ht="22" customHeight="1">
      <c r="A472" s="1" t="str">
        <f>IF(AND('Mortgage Inputs'!$B$12,466&lt;=IF('Mortgage Inputs'!$B$12,'Mortgage Inputs'!$B$7,0)*12+600,ISNUMBER(G471),G471&gt;0.005),466,"")</f>
        <v/>
      </c>
      <c r="B472" s="4" t="str">
        <f>IF(A472="","",DATE(YEAR('Mortgage Inputs'!$B$8),MONTH('Mortgage Inputs'!$B$8)+A472,DAY('Mortgage Inputs'!$B$8)))</f>
        <v/>
      </c>
      <c r="C472" s="2" t="str">
        <f t="shared" si="22"/>
        <v/>
      </c>
      <c r="D472" s="2" t="str">
        <f t="shared" si="23"/>
        <v/>
      </c>
      <c r="E472" s="2" t="str">
        <f>IF(A472="","",MAX(0,(C472-MIN(D472,C472))*'Mortgage Inputs'!$B$15))</f>
        <v/>
      </c>
      <c r="F472" s="2" t="str">
        <f>IF(A472="","",IF(AND('Offset Inputs'!$B$5&gt;='Mortgage Inputs'!$B$5,'Mortgage Inputs'!$B$5&gt;0),C472,MIN(C472,MAX(0,'Mortgage Inputs'!$B$17-E472))))</f>
        <v/>
      </c>
      <c r="G472" s="2" t="str">
        <f t="shared" si="21"/>
        <v/>
      </c>
      <c r="H472" s="2" t="str">
        <f>IF(A472="","",IF(AND('Offset Inputs'!$B$5&gt;='Mortgage Inputs'!$B$5,'Mortgage Inputs'!$B$5&gt;0),'Offset Inputs'!$B$5-'Mortgage Inputs'!$B$5,D472+'Offset Inputs'!$B$6))</f>
        <v/>
      </c>
    </row>
    <row r="473" spans="1:8" ht="22" customHeight="1">
      <c r="A473" s="1" t="str">
        <f>IF(AND('Mortgage Inputs'!$B$12,467&lt;=IF('Mortgage Inputs'!$B$12,'Mortgage Inputs'!$B$7,0)*12+600,ISNUMBER(G472),G472&gt;0.005),467,"")</f>
        <v/>
      </c>
      <c r="B473" s="4" t="str">
        <f>IF(A473="","",DATE(YEAR('Mortgage Inputs'!$B$8),MONTH('Mortgage Inputs'!$B$8)+A473,DAY('Mortgage Inputs'!$B$8)))</f>
        <v/>
      </c>
      <c r="C473" s="2" t="str">
        <f t="shared" si="22"/>
        <v/>
      </c>
      <c r="D473" s="2" t="str">
        <f t="shared" si="23"/>
        <v/>
      </c>
      <c r="E473" s="2" t="str">
        <f>IF(A473="","",MAX(0,(C473-MIN(D473,C473))*'Mortgage Inputs'!$B$15))</f>
        <v/>
      </c>
      <c r="F473" s="2" t="str">
        <f>IF(A473="","",IF(AND('Offset Inputs'!$B$5&gt;='Mortgage Inputs'!$B$5,'Mortgage Inputs'!$B$5&gt;0),C473,MIN(C473,MAX(0,'Mortgage Inputs'!$B$17-E473))))</f>
        <v/>
      </c>
      <c r="G473" s="2" t="str">
        <f t="shared" si="21"/>
        <v/>
      </c>
      <c r="H473" s="2" t="str">
        <f>IF(A473="","",IF(AND('Offset Inputs'!$B$5&gt;='Mortgage Inputs'!$B$5,'Mortgage Inputs'!$B$5&gt;0),'Offset Inputs'!$B$5-'Mortgage Inputs'!$B$5,D473+'Offset Inputs'!$B$6))</f>
        <v/>
      </c>
    </row>
    <row r="474" spans="1:8" ht="22" customHeight="1">
      <c r="A474" s="1" t="str">
        <f>IF(AND('Mortgage Inputs'!$B$12,468&lt;=IF('Mortgage Inputs'!$B$12,'Mortgage Inputs'!$B$7,0)*12+600,ISNUMBER(G473),G473&gt;0.005),468,"")</f>
        <v/>
      </c>
      <c r="B474" s="4" t="str">
        <f>IF(A474="","",DATE(YEAR('Mortgage Inputs'!$B$8),MONTH('Mortgage Inputs'!$B$8)+A474,DAY('Mortgage Inputs'!$B$8)))</f>
        <v/>
      </c>
      <c r="C474" s="2" t="str">
        <f t="shared" si="22"/>
        <v/>
      </c>
      <c r="D474" s="2" t="str">
        <f t="shared" si="23"/>
        <v/>
      </c>
      <c r="E474" s="2" t="str">
        <f>IF(A474="","",MAX(0,(C474-MIN(D474,C474))*'Mortgage Inputs'!$B$15))</f>
        <v/>
      </c>
      <c r="F474" s="2" t="str">
        <f>IF(A474="","",IF(AND('Offset Inputs'!$B$5&gt;='Mortgage Inputs'!$B$5,'Mortgage Inputs'!$B$5&gt;0),C474,MIN(C474,MAX(0,'Mortgage Inputs'!$B$17-E474))))</f>
        <v/>
      </c>
      <c r="G474" s="2" t="str">
        <f t="shared" si="21"/>
        <v/>
      </c>
      <c r="H474" s="2" t="str">
        <f>IF(A474="","",IF(AND('Offset Inputs'!$B$5&gt;='Mortgage Inputs'!$B$5,'Mortgage Inputs'!$B$5&gt;0),'Offset Inputs'!$B$5-'Mortgage Inputs'!$B$5,D474+'Offset Inputs'!$B$6))</f>
        <v/>
      </c>
    </row>
    <row r="475" spans="1:8" ht="22" customHeight="1">
      <c r="A475" s="1" t="str">
        <f>IF(AND('Mortgage Inputs'!$B$12,469&lt;=IF('Mortgage Inputs'!$B$12,'Mortgage Inputs'!$B$7,0)*12+600,ISNUMBER(G474),G474&gt;0.005),469,"")</f>
        <v/>
      </c>
      <c r="B475" s="4" t="str">
        <f>IF(A475="","",DATE(YEAR('Mortgage Inputs'!$B$8),MONTH('Mortgage Inputs'!$B$8)+A475,DAY('Mortgage Inputs'!$B$8)))</f>
        <v/>
      </c>
      <c r="C475" s="2" t="str">
        <f t="shared" si="22"/>
        <v/>
      </c>
      <c r="D475" s="2" t="str">
        <f t="shared" si="23"/>
        <v/>
      </c>
      <c r="E475" s="2" t="str">
        <f>IF(A475="","",MAX(0,(C475-MIN(D475,C475))*'Mortgage Inputs'!$B$15))</f>
        <v/>
      </c>
      <c r="F475" s="2" t="str">
        <f>IF(A475="","",IF(AND('Offset Inputs'!$B$5&gt;='Mortgage Inputs'!$B$5,'Mortgage Inputs'!$B$5&gt;0),C475,MIN(C475,MAX(0,'Mortgage Inputs'!$B$17-E475))))</f>
        <v/>
      </c>
      <c r="G475" s="2" t="str">
        <f t="shared" si="21"/>
        <v/>
      </c>
      <c r="H475" s="2" t="str">
        <f>IF(A475="","",IF(AND('Offset Inputs'!$B$5&gt;='Mortgage Inputs'!$B$5,'Mortgage Inputs'!$B$5&gt;0),'Offset Inputs'!$B$5-'Mortgage Inputs'!$B$5,D475+'Offset Inputs'!$B$6))</f>
        <v/>
      </c>
    </row>
    <row r="476" spans="1:8" ht="22" customHeight="1">
      <c r="A476" s="1" t="str">
        <f>IF(AND('Mortgage Inputs'!$B$12,470&lt;=IF('Mortgage Inputs'!$B$12,'Mortgage Inputs'!$B$7,0)*12+600,ISNUMBER(G475),G475&gt;0.005),470,"")</f>
        <v/>
      </c>
      <c r="B476" s="4" t="str">
        <f>IF(A476="","",DATE(YEAR('Mortgage Inputs'!$B$8),MONTH('Mortgage Inputs'!$B$8)+A476,DAY('Mortgage Inputs'!$B$8)))</f>
        <v/>
      </c>
      <c r="C476" s="2" t="str">
        <f t="shared" si="22"/>
        <v/>
      </c>
      <c r="D476" s="2" t="str">
        <f t="shared" si="23"/>
        <v/>
      </c>
      <c r="E476" s="2" t="str">
        <f>IF(A476="","",MAX(0,(C476-MIN(D476,C476))*'Mortgage Inputs'!$B$15))</f>
        <v/>
      </c>
      <c r="F476" s="2" t="str">
        <f>IF(A476="","",IF(AND('Offset Inputs'!$B$5&gt;='Mortgage Inputs'!$B$5,'Mortgage Inputs'!$B$5&gt;0),C476,MIN(C476,MAX(0,'Mortgage Inputs'!$B$17-E476))))</f>
        <v/>
      </c>
      <c r="G476" s="2" t="str">
        <f t="shared" si="21"/>
        <v/>
      </c>
      <c r="H476" s="2" t="str">
        <f>IF(A476="","",IF(AND('Offset Inputs'!$B$5&gt;='Mortgage Inputs'!$B$5,'Mortgage Inputs'!$B$5&gt;0),'Offset Inputs'!$B$5-'Mortgage Inputs'!$B$5,D476+'Offset Inputs'!$B$6))</f>
        <v/>
      </c>
    </row>
    <row r="477" spans="1:8" ht="22" customHeight="1">
      <c r="A477" s="1" t="str">
        <f>IF(AND('Mortgage Inputs'!$B$12,471&lt;=IF('Mortgage Inputs'!$B$12,'Mortgage Inputs'!$B$7,0)*12+600,ISNUMBER(G476),G476&gt;0.005),471,"")</f>
        <v/>
      </c>
      <c r="B477" s="4" t="str">
        <f>IF(A477="","",DATE(YEAR('Mortgage Inputs'!$B$8),MONTH('Mortgage Inputs'!$B$8)+A477,DAY('Mortgage Inputs'!$B$8)))</f>
        <v/>
      </c>
      <c r="C477" s="2" t="str">
        <f t="shared" si="22"/>
        <v/>
      </c>
      <c r="D477" s="2" t="str">
        <f t="shared" si="23"/>
        <v/>
      </c>
      <c r="E477" s="2" t="str">
        <f>IF(A477="","",MAX(0,(C477-MIN(D477,C477))*'Mortgage Inputs'!$B$15))</f>
        <v/>
      </c>
      <c r="F477" s="2" t="str">
        <f>IF(A477="","",IF(AND('Offset Inputs'!$B$5&gt;='Mortgage Inputs'!$B$5,'Mortgage Inputs'!$B$5&gt;0),C477,MIN(C477,MAX(0,'Mortgage Inputs'!$B$17-E477))))</f>
        <v/>
      </c>
      <c r="G477" s="2" t="str">
        <f t="shared" si="21"/>
        <v/>
      </c>
      <c r="H477" s="2" t="str">
        <f>IF(A477="","",IF(AND('Offset Inputs'!$B$5&gt;='Mortgage Inputs'!$B$5,'Mortgage Inputs'!$B$5&gt;0),'Offset Inputs'!$B$5-'Mortgage Inputs'!$B$5,D477+'Offset Inputs'!$B$6))</f>
        <v/>
      </c>
    </row>
    <row r="478" spans="1:8" ht="22" customHeight="1">
      <c r="A478" s="1" t="str">
        <f>IF(AND('Mortgage Inputs'!$B$12,472&lt;=IF('Mortgage Inputs'!$B$12,'Mortgage Inputs'!$B$7,0)*12+600,ISNUMBER(G477),G477&gt;0.005),472,"")</f>
        <v/>
      </c>
      <c r="B478" s="4" t="str">
        <f>IF(A478="","",DATE(YEAR('Mortgage Inputs'!$B$8),MONTH('Mortgage Inputs'!$B$8)+A478,DAY('Mortgage Inputs'!$B$8)))</f>
        <v/>
      </c>
      <c r="C478" s="2" t="str">
        <f t="shared" si="22"/>
        <v/>
      </c>
      <c r="D478" s="2" t="str">
        <f t="shared" si="23"/>
        <v/>
      </c>
      <c r="E478" s="2" t="str">
        <f>IF(A478="","",MAX(0,(C478-MIN(D478,C478))*'Mortgage Inputs'!$B$15))</f>
        <v/>
      </c>
      <c r="F478" s="2" t="str">
        <f>IF(A478="","",IF(AND('Offset Inputs'!$B$5&gt;='Mortgage Inputs'!$B$5,'Mortgage Inputs'!$B$5&gt;0),C478,MIN(C478,MAX(0,'Mortgage Inputs'!$B$17-E478))))</f>
        <v/>
      </c>
      <c r="G478" s="2" t="str">
        <f t="shared" si="21"/>
        <v/>
      </c>
      <c r="H478" s="2" t="str">
        <f>IF(A478="","",IF(AND('Offset Inputs'!$B$5&gt;='Mortgage Inputs'!$B$5,'Mortgage Inputs'!$B$5&gt;0),'Offset Inputs'!$B$5-'Mortgage Inputs'!$B$5,D478+'Offset Inputs'!$B$6))</f>
        <v/>
      </c>
    </row>
    <row r="479" spans="1:8" ht="22" customHeight="1">
      <c r="A479" s="1" t="str">
        <f>IF(AND('Mortgage Inputs'!$B$12,473&lt;=IF('Mortgage Inputs'!$B$12,'Mortgage Inputs'!$B$7,0)*12+600,ISNUMBER(G478),G478&gt;0.005),473,"")</f>
        <v/>
      </c>
      <c r="B479" s="4" t="str">
        <f>IF(A479="","",DATE(YEAR('Mortgage Inputs'!$B$8),MONTH('Mortgage Inputs'!$B$8)+A479,DAY('Mortgage Inputs'!$B$8)))</f>
        <v/>
      </c>
      <c r="C479" s="2" t="str">
        <f t="shared" si="22"/>
        <v/>
      </c>
      <c r="D479" s="2" t="str">
        <f t="shared" si="23"/>
        <v/>
      </c>
      <c r="E479" s="2" t="str">
        <f>IF(A479="","",MAX(0,(C479-MIN(D479,C479))*'Mortgage Inputs'!$B$15))</f>
        <v/>
      </c>
      <c r="F479" s="2" t="str">
        <f>IF(A479="","",IF(AND('Offset Inputs'!$B$5&gt;='Mortgage Inputs'!$B$5,'Mortgage Inputs'!$B$5&gt;0),C479,MIN(C479,MAX(0,'Mortgage Inputs'!$B$17-E479))))</f>
        <v/>
      </c>
      <c r="G479" s="2" t="str">
        <f t="shared" si="21"/>
        <v/>
      </c>
      <c r="H479" s="2" t="str">
        <f>IF(A479="","",IF(AND('Offset Inputs'!$B$5&gt;='Mortgage Inputs'!$B$5,'Mortgage Inputs'!$B$5&gt;0),'Offset Inputs'!$B$5-'Mortgage Inputs'!$B$5,D479+'Offset Inputs'!$B$6))</f>
        <v/>
      </c>
    </row>
    <row r="480" spans="1:8" ht="22" customHeight="1">
      <c r="A480" s="1" t="str">
        <f>IF(AND('Mortgage Inputs'!$B$12,474&lt;=IF('Mortgage Inputs'!$B$12,'Mortgage Inputs'!$B$7,0)*12+600,ISNUMBER(G479),G479&gt;0.005),474,"")</f>
        <v/>
      </c>
      <c r="B480" s="4" t="str">
        <f>IF(A480="","",DATE(YEAR('Mortgage Inputs'!$B$8),MONTH('Mortgage Inputs'!$B$8)+A480,DAY('Mortgage Inputs'!$B$8)))</f>
        <v/>
      </c>
      <c r="C480" s="2" t="str">
        <f t="shared" si="22"/>
        <v/>
      </c>
      <c r="D480" s="2" t="str">
        <f t="shared" si="23"/>
        <v/>
      </c>
      <c r="E480" s="2" t="str">
        <f>IF(A480="","",MAX(0,(C480-MIN(D480,C480))*'Mortgage Inputs'!$B$15))</f>
        <v/>
      </c>
      <c r="F480" s="2" t="str">
        <f>IF(A480="","",IF(AND('Offset Inputs'!$B$5&gt;='Mortgage Inputs'!$B$5,'Mortgage Inputs'!$B$5&gt;0),C480,MIN(C480,MAX(0,'Mortgage Inputs'!$B$17-E480))))</f>
        <v/>
      </c>
      <c r="G480" s="2" t="str">
        <f t="shared" si="21"/>
        <v/>
      </c>
      <c r="H480" s="2" t="str">
        <f>IF(A480="","",IF(AND('Offset Inputs'!$B$5&gt;='Mortgage Inputs'!$B$5,'Mortgage Inputs'!$B$5&gt;0),'Offset Inputs'!$B$5-'Mortgage Inputs'!$B$5,D480+'Offset Inputs'!$B$6))</f>
        <v/>
      </c>
    </row>
    <row r="481" spans="1:8" ht="22" customHeight="1">
      <c r="A481" s="1" t="str">
        <f>IF(AND('Mortgage Inputs'!$B$12,475&lt;=IF('Mortgage Inputs'!$B$12,'Mortgage Inputs'!$B$7,0)*12+600,ISNUMBER(G480),G480&gt;0.005),475,"")</f>
        <v/>
      </c>
      <c r="B481" s="4" t="str">
        <f>IF(A481="","",DATE(YEAR('Mortgage Inputs'!$B$8),MONTH('Mortgage Inputs'!$B$8)+A481,DAY('Mortgage Inputs'!$B$8)))</f>
        <v/>
      </c>
      <c r="C481" s="2" t="str">
        <f t="shared" si="22"/>
        <v/>
      </c>
      <c r="D481" s="2" t="str">
        <f t="shared" si="23"/>
        <v/>
      </c>
      <c r="E481" s="2" t="str">
        <f>IF(A481="","",MAX(0,(C481-MIN(D481,C481))*'Mortgage Inputs'!$B$15))</f>
        <v/>
      </c>
      <c r="F481" s="2" t="str">
        <f>IF(A481="","",IF(AND('Offset Inputs'!$B$5&gt;='Mortgage Inputs'!$B$5,'Mortgage Inputs'!$B$5&gt;0),C481,MIN(C481,MAX(0,'Mortgage Inputs'!$B$17-E481))))</f>
        <v/>
      </c>
      <c r="G481" s="2" t="str">
        <f t="shared" si="21"/>
        <v/>
      </c>
      <c r="H481" s="2" t="str">
        <f>IF(A481="","",IF(AND('Offset Inputs'!$B$5&gt;='Mortgage Inputs'!$B$5,'Mortgage Inputs'!$B$5&gt;0),'Offset Inputs'!$B$5-'Mortgage Inputs'!$B$5,D481+'Offset Inputs'!$B$6))</f>
        <v/>
      </c>
    </row>
    <row r="482" spans="1:8" ht="22" customHeight="1">
      <c r="A482" s="1" t="str">
        <f>IF(AND('Mortgage Inputs'!$B$12,476&lt;=IF('Mortgage Inputs'!$B$12,'Mortgage Inputs'!$B$7,0)*12+600,ISNUMBER(G481),G481&gt;0.005),476,"")</f>
        <v/>
      </c>
      <c r="B482" s="4" t="str">
        <f>IF(A482="","",DATE(YEAR('Mortgage Inputs'!$B$8),MONTH('Mortgage Inputs'!$B$8)+A482,DAY('Mortgage Inputs'!$B$8)))</f>
        <v/>
      </c>
      <c r="C482" s="2" t="str">
        <f t="shared" si="22"/>
        <v/>
      </c>
      <c r="D482" s="2" t="str">
        <f t="shared" si="23"/>
        <v/>
      </c>
      <c r="E482" s="2" t="str">
        <f>IF(A482="","",MAX(0,(C482-MIN(D482,C482))*'Mortgage Inputs'!$B$15))</f>
        <v/>
      </c>
      <c r="F482" s="2" t="str">
        <f>IF(A482="","",IF(AND('Offset Inputs'!$B$5&gt;='Mortgage Inputs'!$B$5,'Mortgage Inputs'!$B$5&gt;0),C482,MIN(C482,MAX(0,'Mortgage Inputs'!$B$17-E482))))</f>
        <v/>
      </c>
      <c r="G482" s="2" t="str">
        <f t="shared" si="21"/>
        <v/>
      </c>
      <c r="H482" s="2" t="str">
        <f>IF(A482="","",IF(AND('Offset Inputs'!$B$5&gt;='Mortgage Inputs'!$B$5,'Mortgage Inputs'!$B$5&gt;0),'Offset Inputs'!$B$5-'Mortgage Inputs'!$B$5,D482+'Offset Inputs'!$B$6))</f>
        <v/>
      </c>
    </row>
    <row r="483" spans="1:8" ht="22" customHeight="1">
      <c r="A483" s="1" t="str">
        <f>IF(AND('Mortgage Inputs'!$B$12,477&lt;=IF('Mortgage Inputs'!$B$12,'Mortgage Inputs'!$B$7,0)*12+600,ISNUMBER(G482),G482&gt;0.005),477,"")</f>
        <v/>
      </c>
      <c r="B483" s="4" t="str">
        <f>IF(A483="","",DATE(YEAR('Mortgage Inputs'!$B$8),MONTH('Mortgage Inputs'!$B$8)+A483,DAY('Mortgage Inputs'!$B$8)))</f>
        <v/>
      </c>
      <c r="C483" s="2" t="str">
        <f t="shared" si="22"/>
        <v/>
      </c>
      <c r="D483" s="2" t="str">
        <f t="shared" si="23"/>
        <v/>
      </c>
      <c r="E483" s="2" t="str">
        <f>IF(A483="","",MAX(0,(C483-MIN(D483,C483))*'Mortgage Inputs'!$B$15))</f>
        <v/>
      </c>
      <c r="F483" s="2" t="str">
        <f>IF(A483="","",IF(AND('Offset Inputs'!$B$5&gt;='Mortgage Inputs'!$B$5,'Mortgage Inputs'!$B$5&gt;0),C483,MIN(C483,MAX(0,'Mortgage Inputs'!$B$17-E483))))</f>
        <v/>
      </c>
      <c r="G483" s="2" t="str">
        <f t="shared" si="21"/>
        <v/>
      </c>
      <c r="H483" s="2" t="str">
        <f>IF(A483="","",IF(AND('Offset Inputs'!$B$5&gt;='Mortgage Inputs'!$B$5,'Mortgage Inputs'!$B$5&gt;0),'Offset Inputs'!$B$5-'Mortgage Inputs'!$B$5,D483+'Offset Inputs'!$B$6))</f>
        <v/>
      </c>
    </row>
    <row r="484" spans="1:8" ht="22" customHeight="1">
      <c r="A484" s="1" t="str">
        <f>IF(AND('Mortgage Inputs'!$B$12,478&lt;=IF('Mortgage Inputs'!$B$12,'Mortgage Inputs'!$B$7,0)*12+600,ISNUMBER(G483),G483&gt;0.005),478,"")</f>
        <v/>
      </c>
      <c r="B484" s="4" t="str">
        <f>IF(A484="","",DATE(YEAR('Mortgage Inputs'!$B$8),MONTH('Mortgage Inputs'!$B$8)+A484,DAY('Mortgage Inputs'!$B$8)))</f>
        <v/>
      </c>
      <c r="C484" s="2" t="str">
        <f t="shared" si="22"/>
        <v/>
      </c>
      <c r="D484" s="2" t="str">
        <f t="shared" si="23"/>
        <v/>
      </c>
      <c r="E484" s="2" t="str">
        <f>IF(A484="","",MAX(0,(C484-MIN(D484,C484))*'Mortgage Inputs'!$B$15))</f>
        <v/>
      </c>
      <c r="F484" s="2" t="str">
        <f>IF(A484="","",IF(AND('Offset Inputs'!$B$5&gt;='Mortgage Inputs'!$B$5,'Mortgage Inputs'!$B$5&gt;0),C484,MIN(C484,MAX(0,'Mortgage Inputs'!$B$17-E484))))</f>
        <v/>
      </c>
      <c r="G484" s="2" t="str">
        <f t="shared" si="21"/>
        <v/>
      </c>
      <c r="H484" s="2" t="str">
        <f>IF(A484="","",IF(AND('Offset Inputs'!$B$5&gt;='Mortgage Inputs'!$B$5,'Mortgage Inputs'!$B$5&gt;0),'Offset Inputs'!$B$5-'Mortgage Inputs'!$B$5,D484+'Offset Inputs'!$B$6))</f>
        <v/>
      </c>
    </row>
    <row r="485" spans="1:8" ht="22" customHeight="1">
      <c r="A485" s="1" t="str">
        <f>IF(AND('Mortgage Inputs'!$B$12,479&lt;=IF('Mortgage Inputs'!$B$12,'Mortgage Inputs'!$B$7,0)*12+600,ISNUMBER(G484),G484&gt;0.005),479,"")</f>
        <v/>
      </c>
      <c r="B485" s="4" t="str">
        <f>IF(A485="","",DATE(YEAR('Mortgage Inputs'!$B$8),MONTH('Mortgage Inputs'!$B$8)+A485,DAY('Mortgage Inputs'!$B$8)))</f>
        <v/>
      </c>
      <c r="C485" s="2" t="str">
        <f t="shared" si="22"/>
        <v/>
      </c>
      <c r="D485" s="2" t="str">
        <f t="shared" si="23"/>
        <v/>
      </c>
      <c r="E485" s="2" t="str">
        <f>IF(A485="","",MAX(0,(C485-MIN(D485,C485))*'Mortgage Inputs'!$B$15))</f>
        <v/>
      </c>
      <c r="F485" s="2" t="str">
        <f>IF(A485="","",IF(AND('Offset Inputs'!$B$5&gt;='Mortgage Inputs'!$B$5,'Mortgage Inputs'!$B$5&gt;0),C485,MIN(C485,MAX(0,'Mortgage Inputs'!$B$17-E485))))</f>
        <v/>
      </c>
      <c r="G485" s="2" t="str">
        <f t="shared" si="21"/>
        <v/>
      </c>
      <c r="H485" s="2" t="str">
        <f>IF(A485="","",IF(AND('Offset Inputs'!$B$5&gt;='Mortgage Inputs'!$B$5,'Mortgage Inputs'!$B$5&gt;0),'Offset Inputs'!$B$5-'Mortgage Inputs'!$B$5,D485+'Offset Inputs'!$B$6))</f>
        <v/>
      </c>
    </row>
    <row r="486" spans="1:8" ht="22" customHeight="1">
      <c r="A486" s="1" t="str">
        <f>IF(AND('Mortgage Inputs'!$B$12,480&lt;=IF('Mortgage Inputs'!$B$12,'Mortgage Inputs'!$B$7,0)*12+600,ISNUMBER(G485),G485&gt;0.005),480,"")</f>
        <v/>
      </c>
      <c r="B486" s="4" t="str">
        <f>IF(A486="","",DATE(YEAR('Mortgage Inputs'!$B$8),MONTH('Mortgage Inputs'!$B$8)+A486,DAY('Mortgage Inputs'!$B$8)))</f>
        <v/>
      </c>
      <c r="C486" s="2" t="str">
        <f t="shared" si="22"/>
        <v/>
      </c>
      <c r="D486" s="2" t="str">
        <f t="shared" si="23"/>
        <v/>
      </c>
      <c r="E486" s="2" t="str">
        <f>IF(A486="","",MAX(0,(C486-MIN(D486,C486))*'Mortgage Inputs'!$B$15))</f>
        <v/>
      </c>
      <c r="F486" s="2" t="str">
        <f>IF(A486="","",IF(AND('Offset Inputs'!$B$5&gt;='Mortgage Inputs'!$B$5,'Mortgage Inputs'!$B$5&gt;0),C486,MIN(C486,MAX(0,'Mortgage Inputs'!$B$17-E486))))</f>
        <v/>
      </c>
      <c r="G486" s="2" t="str">
        <f t="shared" si="21"/>
        <v/>
      </c>
      <c r="H486" s="2" t="str">
        <f>IF(A486="","",IF(AND('Offset Inputs'!$B$5&gt;='Mortgage Inputs'!$B$5,'Mortgage Inputs'!$B$5&gt;0),'Offset Inputs'!$B$5-'Mortgage Inputs'!$B$5,D486+'Offset Inputs'!$B$6))</f>
        <v/>
      </c>
    </row>
    <row r="487" spans="1:8" ht="22" customHeight="1">
      <c r="A487" s="1" t="str">
        <f>IF(AND('Mortgage Inputs'!$B$12,481&lt;=IF('Mortgage Inputs'!$B$12,'Mortgage Inputs'!$B$7,0)*12+600,ISNUMBER(G486),G486&gt;0.005),481,"")</f>
        <v/>
      </c>
      <c r="B487" s="4" t="str">
        <f>IF(A487="","",DATE(YEAR('Mortgage Inputs'!$B$8),MONTH('Mortgage Inputs'!$B$8)+A487,DAY('Mortgage Inputs'!$B$8)))</f>
        <v/>
      </c>
      <c r="C487" s="2" t="str">
        <f t="shared" si="22"/>
        <v/>
      </c>
      <c r="D487" s="2" t="str">
        <f t="shared" si="23"/>
        <v/>
      </c>
      <c r="E487" s="2" t="str">
        <f>IF(A487="","",MAX(0,(C487-MIN(D487,C487))*'Mortgage Inputs'!$B$15))</f>
        <v/>
      </c>
      <c r="F487" s="2" t="str">
        <f>IF(A487="","",IF(AND('Offset Inputs'!$B$5&gt;='Mortgage Inputs'!$B$5,'Mortgage Inputs'!$B$5&gt;0),C487,MIN(C487,MAX(0,'Mortgage Inputs'!$B$17-E487))))</f>
        <v/>
      </c>
      <c r="G487" s="2" t="str">
        <f t="shared" si="21"/>
        <v/>
      </c>
      <c r="H487" s="2" t="str">
        <f>IF(A487="","",IF(AND('Offset Inputs'!$B$5&gt;='Mortgage Inputs'!$B$5,'Mortgage Inputs'!$B$5&gt;0),'Offset Inputs'!$B$5-'Mortgage Inputs'!$B$5,D487+'Offset Inputs'!$B$6))</f>
        <v/>
      </c>
    </row>
    <row r="488" spans="1:8" ht="22" customHeight="1">
      <c r="A488" s="1" t="str">
        <f>IF(AND('Mortgage Inputs'!$B$12,482&lt;=IF('Mortgage Inputs'!$B$12,'Mortgage Inputs'!$B$7,0)*12+600,ISNUMBER(G487),G487&gt;0.005),482,"")</f>
        <v/>
      </c>
      <c r="B488" s="4" t="str">
        <f>IF(A488="","",DATE(YEAR('Mortgage Inputs'!$B$8),MONTH('Mortgage Inputs'!$B$8)+A488,DAY('Mortgage Inputs'!$B$8)))</f>
        <v/>
      </c>
      <c r="C488" s="2" t="str">
        <f t="shared" si="22"/>
        <v/>
      </c>
      <c r="D488" s="2" t="str">
        <f t="shared" si="23"/>
        <v/>
      </c>
      <c r="E488" s="2" t="str">
        <f>IF(A488="","",MAX(0,(C488-MIN(D488,C488))*'Mortgage Inputs'!$B$15))</f>
        <v/>
      </c>
      <c r="F488" s="2" t="str">
        <f>IF(A488="","",IF(AND('Offset Inputs'!$B$5&gt;='Mortgage Inputs'!$B$5,'Mortgage Inputs'!$B$5&gt;0),C488,MIN(C488,MAX(0,'Mortgage Inputs'!$B$17-E488))))</f>
        <v/>
      </c>
      <c r="G488" s="2" t="str">
        <f t="shared" si="21"/>
        <v/>
      </c>
      <c r="H488" s="2" t="str">
        <f>IF(A488="","",IF(AND('Offset Inputs'!$B$5&gt;='Mortgage Inputs'!$B$5,'Mortgage Inputs'!$B$5&gt;0),'Offset Inputs'!$B$5-'Mortgage Inputs'!$B$5,D488+'Offset Inputs'!$B$6))</f>
        <v/>
      </c>
    </row>
    <row r="489" spans="1:8" ht="22" customHeight="1">
      <c r="A489" s="1" t="str">
        <f>IF(AND('Mortgage Inputs'!$B$12,483&lt;=IF('Mortgage Inputs'!$B$12,'Mortgage Inputs'!$B$7,0)*12+600,ISNUMBER(G488),G488&gt;0.005),483,"")</f>
        <v/>
      </c>
      <c r="B489" s="4" t="str">
        <f>IF(A489="","",DATE(YEAR('Mortgage Inputs'!$B$8),MONTH('Mortgage Inputs'!$B$8)+A489,DAY('Mortgage Inputs'!$B$8)))</f>
        <v/>
      </c>
      <c r="C489" s="2" t="str">
        <f t="shared" si="22"/>
        <v/>
      </c>
      <c r="D489" s="2" t="str">
        <f t="shared" si="23"/>
        <v/>
      </c>
      <c r="E489" s="2" t="str">
        <f>IF(A489="","",MAX(0,(C489-MIN(D489,C489))*'Mortgage Inputs'!$B$15))</f>
        <v/>
      </c>
      <c r="F489" s="2" t="str">
        <f>IF(A489="","",IF(AND('Offset Inputs'!$B$5&gt;='Mortgage Inputs'!$B$5,'Mortgage Inputs'!$B$5&gt;0),C489,MIN(C489,MAX(0,'Mortgage Inputs'!$B$17-E489))))</f>
        <v/>
      </c>
      <c r="G489" s="2" t="str">
        <f t="shared" si="21"/>
        <v/>
      </c>
      <c r="H489" s="2" t="str">
        <f>IF(A489="","",IF(AND('Offset Inputs'!$B$5&gt;='Mortgage Inputs'!$B$5,'Mortgage Inputs'!$B$5&gt;0),'Offset Inputs'!$B$5-'Mortgage Inputs'!$B$5,D489+'Offset Inputs'!$B$6))</f>
        <v/>
      </c>
    </row>
    <row r="490" spans="1:8" ht="22" customHeight="1">
      <c r="A490" s="1" t="str">
        <f>IF(AND('Mortgage Inputs'!$B$12,484&lt;=IF('Mortgage Inputs'!$B$12,'Mortgage Inputs'!$B$7,0)*12+600,ISNUMBER(G489),G489&gt;0.005),484,"")</f>
        <v/>
      </c>
      <c r="B490" s="4" t="str">
        <f>IF(A490="","",DATE(YEAR('Mortgage Inputs'!$B$8),MONTH('Mortgage Inputs'!$B$8)+A490,DAY('Mortgage Inputs'!$B$8)))</f>
        <v/>
      </c>
      <c r="C490" s="2" t="str">
        <f t="shared" si="22"/>
        <v/>
      </c>
      <c r="D490" s="2" t="str">
        <f t="shared" si="23"/>
        <v/>
      </c>
      <c r="E490" s="2" t="str">
        <f>IF(A490="","",MAX(0,(C490-MIN(D490,C490))*'Mortgage Inputs'!$B$15))</f>
        <v/>
      </c>
      <c r="F490" s="2" t="str">
        <f>IF(A490="","",IF(AND('Offset Inputs'!$B$5&gt;='Mortgage Inputs'!$B$5,'Mortgage Inputs'!$B$5&gt;0),C490,MIN(C490,MAX(0,'Mortgage Inputs'!$B$17-E490))))</f>
        <v/>
      </c>
      <c r="G490" s="2" t="str">
        <f t="shared" si="21"/>
        <v/>
      </c>
      <c r="H490" s="2" t="str">
        <f>IF(A490="","",IF(AND('Offset Inputs'!$B$5&gt;='Mortgage Inputs'!$B$5,'Mortgage Inputs'!$B$5&gt;0),'Offset Inputs'!$B$5-'Mortgage Inputs'!$B$5,D490+'Offset Inputs'!$B$6))</f>
        <v/>
      </c>
    </row>
    <row r="491" spans="1:8" ht="22" customHeight="1">
      <c r="A491" s="1" t="str">
        <f>IF(AND('Mortgage Inputs'!$B$12,485&lt;=IF('Mortgage Inputs'!$B$12,'Mortgage Inputs'!$B$7,0)*12+600,ISNUMBER(G490),G490&gt;0.005),485,"")</f>
        <v/>
      </c>
      <c r="B491" s="4" t="str">
        <f>IF(A491="","",DATE(YEAR('Mortgage Inputs'!$B$8),MONTH('Mortgage Inputs'!$B$8)+A491,DAY('Mortgage Inputs'!$B$8)))</f>
        <v/>
      </c>
      <c r="C491" s="2" t="str">
        <f t="shared" si="22"/>
        <v/>
      </c>
      <c r="D491" s="2" t="str">
        <f t="shared" si="23"/>
        <v/>
      </c>
      <c r="E491" s="2" t="str">
        <f>IF(A491="","",MAX(0,(C491-MIN(D491,C491))*'Mortgage Inputs'!$B$15))</f>
        <v/>
      </c>
      <c r="F491" s="2" t="str">
        <f>IF(A491="","",IF(AND('Offset Inputs'!$B$5&gt;='Mortgage Inputs'!$B$5,'Mortgage Inputs'!$B$5&gt;0),C491,MIN(C491,MAX(0,'Mortgage Inputs'!$B$17-E491))))</f>
        <v/>
      </c>
      <c r="G491" s="2" t="str">
        <f t="shared" si="21"/>
        <v/>
      </c>
      <c r="H491" s="2" t="str">
        <f>IF(A491="","",IF(AND('Offset Inputs'!$B$5&gt;='Mortgage Inputs'!$B$5,'Mortgage Inputs'!$B$5&gt;0),'Offset Inputs'!$B$5-'Mortgage Inputs'!$B$5,D491+'Offset Inputs'!$B$6))</f>
        <v/>
      </c>
    </row>
    <row r="492" spans="1:8" ht="22" customHeight="1">
      <c r="A492" s="1" t="str">
        <f>IF(AND('Mortgage Inputs'!$B$12,486&lt;=IF('Mortgage Inputs'!$B$12,'Mortgage Inputs'!$B$7,0)*12+600,ISNUMBER(G491),G491&gt;0.005),486,"")</f>
        <v/>
      </c>
      <c r="B492" s="4" t="str">
        <f>IF(A492="","",DATE(YEAR('Mortgage Inputs'!$B$8),MONTH('Mortgage Inputs'!$B$8)+A492,DAY('Mortgage Inputs'!$B$8)))</f>
        <v/>
      </c>
      <c r="C492" s="2" t="str">
        <f t="shared" si="22"/>
        <v/>
      </c>
      <c r="D492" s="2" t="str">
        <f t="shared" si="23"/>
        <v/>
      </c>
      <c r="E492" s="2" t="str">
        <f>IF(A492="","",MAX(0,(C492-MIN(D492,C492))*'Mortgage Inputs'!$B$15))</f>
        <v/>
      </c>
      <c r="F492" s="2" t="str">
        <f>IF(A492="","",IF(AND('Offset Inputs'!$B$5&gt;='Mortgage Inputs'!$B$5,'Mortgage Inputs'!$B$5&gt;0),C492,MIN(C492,MAX(0,'Mortgage Inputs'!$B$17-E492))))</f>
        <v/>
      </c>
      <c r="G492" s="2" t="str">
        <f t="shared" si="21"/>
        <v/>
      </c>
      <c r="H492" s="2" t="str">
        <f>IF(A492="","",IF(AND('Offset Inputs'!$B$5&gt;='Mortgage Inputs'!$B$5,'Mortgage Inputs'!$B$5&gt;0),'Offset Inputs'!$B$5-'Mortgage Inputs'!$B$5,D492+'Offset Inputs'!$B$6))</f>
        <v/>
      </c>
    </row>
    <row r="493" spans="1:8" ht="22" customHeight="1">
      <c r="A493" s="1" t="str">
        <f>IF(AND('Mortgage Inputs'!$B$12,487&lt;=IF('Mortgage Inputs'!$B$12,'Mortgage Inputs'!$B$7,0)*12+600,ISNUMBER(G492),G492&gt;0.005),487,"")</f>
        <v/>
      </c>
      <c r="B493" s="4" t="str">
        <f>IF(A493="","",DATE(YEAR('Mortgage Inputs'!$B$8),MONTH('Mortgage Inputs'!$B$8)+A493,DAY('Mortgage Inputs'!$B$8)))</f>
        <v/>
      </c>
      <c r="C493" s="2" t="str">
        <f t="shared" si="22"/>
        <v/>
      </c>
      <c r="D493" s="2" t="str">
        <f t="shared" si="23"/>
        <v/>
      </c>
      <c r="E493" s="2" t="str">
        <f>IF(A493="","",MAX(0,(C493-MIN(D493,C493))*'Mortgage Inputs'!$B$15))</f>
        <v/>
      </c>
      <c r="F493" s="2" t="str">
        <f>IF(A493="","",IF(AND('Offset Inputs'!$B$5&gt;='Mortgage Inputs'!$B$5,'Mortgage Inputs'!$B$5&gt;0),C493,MIN(C493,MAX(0,'Mortgage Inputs'!$B$17-E493))))</f>
        <v/>
      </c>
      <c r="G493" s="2" t="str">
        <f t="shared" si="21"/>
        <v/>
      </c>
      <c r="H493" s="2" t="str">
        <f>IF(A493="","",IF(AND('Offset Inputs'!$B$5&gt;='Mortgage Inputs'!$B$5,'Mortgage Inputs'!$B$5&gt;0),'Offset Inputs'!$B$5-'Mortgage Inputs'!$B$5,D493+'Offset Inputs'!$B$6))</f>
        <v/>
      </c>
    </row>
    <row r="494" spans="1:8" ht="22" customHeight="1">
      <c r="A494" s="1" t="str">
        <f>IF(AND('Mortgage Inputs'!$B$12,488&lt;=IF('Mortgage Inputs'!$B$12,'Mortgage Inputs'!$B$7,0)*12+600,ISNUMBER(G493),G493&gt;0.005),488,"")</f>
        <v/>
      </c>
      <c r="B494" s="4" t="str">
        <f>IF(A494="","",DATE(YEAR('Mortgage Inputs'!$B$8),MONTH('Mortgage Inputs'!$B$8)+A494,DAY('Mortgage Inputs'!$B$8)))</f>
        <v/>
      </c>
      <c r="C494" s="2" t="str">
        <f t="shared" si="22"/>
        <v/>
      </c>
      <c r="D494" s="2" t="str">
        <f t="shared" si="23"/>
        <v/>
      </c>
      <c r="E494" s="2" t="str">
        <f>IF(A494="","",MAX(0,(C494-MIN(D494,C494))*'Mortgage Inputs'!$B$15))</f>
        <v/>
      </c>
      <c r="F494" s="2" t="str">
        <f>IF(A494="","",IF(AND('Offset Inputs'!$B$5&gt;='Mortgage Inputs'!$B$5,'Mortgage Inputs'!$B$5&gt;0),C494,MIN(C494,MAX(0,'Mortgage Inputs'!$B$17-E494))))</f>
        <v/>
      </c>
      <c r="G494" s="2" t="str">
        <f t="shared" si="21"/>
        <v/>
      </c>
      <c r="H494" s="2" t="str">
        <f>IF(A494="","",IF(AND('Offset Inputs'!$B$5&gt;='Mortgage Inputs'!$B$5,'Mortgage Inputs'!$B$5&gt;0),'Offset Inputs'!$B$5-'Mortgage Inputs'!$B$5,D494+'Offset Inputs'!$B$6))</f>
        <v/>
      </c>
    </row>
    <row r="495" spans="1:8" ht="22" customHeight="1">
      <c r="A495" s="1" t="str">
        <f>IF(AND('Mortgage Inputs'!$B$12,489&lt;=IF('Mortgage Inputs'!$B$12,'Mortgage Inputs'!$B$7,0)*12+600,ISNUMBER(G494),G494&gt;0.005),489,"")</f>
        <v/>
      </c>
      <c r="B495" s="4" t="str">
        <f>IF(A495="","",DATE(YEAR('Mortgage Inputs'!$B$8),MONTH('Mortgage Inputs'!$B$8)+A495,DAY('Mortgage Inputs'!$B$8)))</f>
        <v/>
      </c>
      <c r="C495" s="2" t="str">
        <f t="shared" si="22"/>
        <v/>
      </c>
      <c r="D495" s="2" t="str">
        <f t="shared" si="23"/>
        <v/>
      </c>
      <c r="E495" s="2" t="str">
        <f>IF(A495="","",MAX(0,(C495-MIN(D495,C495))*'Mortgage Inputs'!$B$15))</f>
        <v/>
      </c>
      <c r="F495" s="2" t="str">
        <f>IF(A495="","",IF(AND('Offset Inputs'!$B$5&gt;='Mortgage Inputs'!$B$5,'Mortgage Inputs'!$B$5&gt;0),C495,MIN(C495,MAX(0,'Mortgage Inputs'!$B$17-E495))))</f>
        <v/>
      </c>
      <c r="G495" s="2" t="str">
        <f t="shared" si="21"/>
        <v/>
      </c>
      <c r="H495" s="2" t="str">
        <f>IF(A495="","",IF(AND('Offset Inputs'!$B$5&gt;='Mortgage Inputs'!$B$5,'Mortgage Inputs'!$B$5&gt;0),'Offset Inputs'!$B$5-'Mortgage Inputs'!$B$5,D495+'Offset Inputs'!$B$6))</f>
        <v/>
      </c>
    </row>
    <row r="496" spans="1:8" ht="22" customHeight="1">
      <c r="A496" s="1" t="str">
        <f>IF(AND('Mortgage Inputs'!$B$12,490&lt;=IF('Mortgage Inputs'!$B$12,'Mortgage Inputs'!$B$7,0)*12+600,ISNUMBER(G495),G495&gt;0.005),490,"")</f>
        <v/>
      </c>
      <c r="B496" s="4" t="str">
        <f>IF(A496="","",DATE(YEAR('Mortgage Inputs'!$B$8),MONTH('Mortgage Inputs'!$B$8)+A496,DAY('Mortgage Inputs'!$B$8)))</f>
        <v/>
      </c>
      <c r="C496" s="2" t="str">
        <f t="shared" si="22"/>
        <v/>
      </c>
      <c r="D496" s="2" t="str">
        <f t="shared" si="23"/>
        <v/>
      </c>
      <c r="E496" s="2" t="str">
        <f>IF(A496="","",MAX(0,(C496-MIN(D496,C496))*'Mortgage Inputs'!$B$15))</f>
        <v/>
      </c>
      <c r="F496" s="2" t="str">
        <f>IF(A496="","",IF(AND('Offset Inputs'!$B$5&gt;='Mortgage Inputs'!$B$5,'Mortgage Inputs'!$B$5&gt;0),C496,MIN(C496,MAX(0,'Mortgage Inputs'!$B$17-E496))))</f>
        <v/>
      </c>
      <c r="G496" s="2" t="str">
        <f t="shared" si="21"/>
        <v/>
      </c>
      <c r="H496" s="2" t="str">
        <f>IF(A496="","",IF(AND('Offset Inputs'!$B$5&gt;='Mortgage Inputs'!$B$5,'Mortgage Inputs'!$B$5&gt;0),'Offset Inputs'!$B$5-'Mortgage Inputs'!$B$5,D496+'Offset Inputs'!$B$6))</f>
        <v/>
      </c>
    </row>
    <row r="497" spans="1:8" ht="22" customHeight="1">
      <c r="A497" s="1" t="str">
        <f>IF(AND('Mortgage Inputs'!$B$12,491&lt;=IF('Mortgage Inputs'!$B$12,'Mortgage Inputs'!$B$7,0)*12+600,ISNUMBER(G496),G496&gt;0.005),491,"")</f>
        <v/>
      </c>
      <c r="B497" s="4" t="str">
        <f>IF(A497="","",DATE(YEAR('Mortgage Inputs'!$B$8),MONTH('Mortgage Inputs'!$B$8)+A497,DAY('Mortgage Inputs'!$B$8)))</f>
        <v/>
      </c>
      <c r="C497" s="2" t="str">
        <f t="shared" si="22"/>
        <v/>
      </c>
      <c r="D497" s="2" t="str">
        <f t="shared" si="23"/>
        <v/>
      </c>
      <c r="E497" s="2" t="str">
        <f>IF(A497="","",MAX(0,(C497-MIN(D497,C497))*'Mortgage Inputs'!$B$15))</f>
        <v/>
      </c>
      <c r="F497" s="2" t="str">
        <f>IF(A497="","",IF(AND('Offset Inputs'!$B$5&gt;='Mortgage Inputs'!$B$5,'Mortgage Inputs'!$B$5&gt;0),C497,MIN(C497,MAX(0,'Mortgage Inputs'!$B$17-E497))))</f>
        <v/>
      </c>
      <c r="G497" s="2" t="str">
        <f t="shared" si="21"/>
        <v/>
      </c>
      <c r="H497" s="2" t="str">
        <f>IF(A497="","",IF(AND('Offset Inputs'!$B$5&gt;='Mortgage Inputs'!$B$5,'Mortgage Inputs'!$B$5&gt;0),'Offset Inputs'!$B$5-'Mortgage Inputs'!$B$5,D497+'Offset Inputs'!$B$6))</f>
        <v/>
      </c>
    </row>
    <row r="498" spans="1:8" ht="22" customHeight="1">
      <c r="A498" s="1" t="str">
        <f>IF(AND('Mortgage Inputs'!$B$12,492&lt;=IF('Mortgage Inputs'!$B$12,'Mortgage Inputs'!$B$7,0)*12+600,ISNUMBER(G497),G497&gt;0.005),492,"")</f>
        <v/>
      </c>
      <c r="B498" s="4" t="str">
        <f>IF(A498="","",DATE(YEAR('Mortgage Inputs'!$B$8),MONTH('Mortgage Inputs'!$B$8)+A498,DAY('Mortgage Inputs'!$B$8)))</f>
        <v/>
      </c>
      <c r="C498" s="2" t="str">
        <f t="shared" si="22"/>
        <v/>
      </c>
      <c r="D498" s="2" t="str">
        <f t="shared" si="23"/>
        <v/>
      </c>
      <c r="E498" s="2" t="str">
        <f>IF(A498="","",MAX(0,(C498-MIN(D498,C498))*'Mortgage Inputs'!$B$15))</f>
        <v/>
      </c>
      <c r="F498" s="2" t="str">
        <f>IF(A498="","",IF(AND('Offset Inputs'!$B$5&gt;='Mortgage Inputs'!$B$5,'Mortgage Inputs'!$B$5&gt;0),C498,MIN(C498,MAX(0,'Mortgage Inputs'!$B$17-E498))))</f>
        <v/>
      </c>
      <c r="G498" s="2" t="str">
        <f t="shared" si="21"/>
        <v/>
      </c>
      <c r="H498" s="2" t="str">
        <f>IF(A498="","",IF(AND('Offset Inputs'!$B$5&gt;='Mortgage Inputs'!$B$5,'Mortgage Inputs'!$B$5&gt;0),'Offset Inputs'!$B$5-'Mortgage Inputs'!$B$5,D498+'Offset Inputs'!$B$6))</f>
        <v/>
      </c>
    </row>
    <row r="499" spans="1:8" ht="22" customHeight="1">
      <c r="A499" s="1" t="str">
        <f>IF(AND('Mortgage Inputs'!$B$12,493&lt;=IF('Mortgage Inputs'!$B$12,'Mortgage Inputs'!$B$7,0)*12+600,ISNUMBER(G498),G498&gt;0.005),493,"")</f>
        <v/>
      </c>
      <c r="B499" s="4" t="str">
        <f>IF(A499="","",DATE(YEAR('Mortgage Inputs'!$B$8),MONTH('Mortgage Inputs'!$B$8)+A499,DAY('Mortgage Inputs'!$B$8)))</f>
        <v/>
      </c>
      <c r="C499" s="2" t="str">
        <f t="shared" si="22"/>
        <v/>
      </c>
      <c r="D499" s="2" t="str">
        <f t="shared" si="23"/>
        <v/>
      </c>
      <c r="E499" s="2" t="str">
        <f>IF(A499="","",MAX(0,(C499-MIN(D499,C499))*'Mortgage Inputs'!$B$15))</f>
        <v/>
      </c>
      <c r="F499" s="2" t="str">
        <f>IF(A499="","",IF(AND('Offset Inputs'!$B$5&gt;='Mortgage Inputs'!$B$5,'Mortgage Inputs'!$B$5&gt;0),C499,MIN(C499,MAX(0,'Mortgage Inputs'!$B$17-E499))))</f>
        <v/>
      </c>
      <c r="G499" s="2" t="str">
        <f t="shared" si="21"/>
        <v/>
      </c>
      <c r="H499" s="2" t="str">
        <f>IF(A499="","",IF(AND('Offset Inputs'!$B$5&gt;='Mortgage Inputs'!$B$5,'Mortgage Inputs'!$B$5&gt;0),'Offset Inputs'!$B$5-'Mortgage Inputs'!$B$5,D499+'Offset Inputs'!$B$6))</f>
        <v/>
      </c>
    </row>
    <row r="500" spans="1:8" ht="22" customHeight="1">
      <c r="A500" s="1" t="str">
        <f>IF(AND('Mortgage Inputs'!$B$12,494&lt;=IF('Mortgage Inputs'!$B$12,'Mortgage Inputs'!$B$7,0)*12+600,ISNUMBER(G499),G499&gt;0.005),494,"")</f>
        <v/>
      </c>
      <c r="B500" s="4" t="str">
        <f>IF(A500="","",DATE(YEAR('Mortgage Inputs'!$B$8),MONTH('Mortgage Inputs'!$B$8)+A500,DAY('Mortgage Inputs'!$B$8)))</f>
        <v/>
      </c>
      <c r="C500" s="2" t="str">
        <f t="shared" si="22"/>
        <v/>
      </c>
      <c r="D500" s="2" t="str">
        <f t="shared" si="23"/>
        <v/>
      </c>
      <c r="E500" s="2" t="str">
        <f>IF(A500="","",MAX(0,(C500-MIN(D500,C500))*'Mortgage Inputs'!$B$15))</f>
        <v/>
      </c>
      <c r="F500" s="2" t="str">
        <f>IF(A500="","",IF(AND('Offset Inputs'!$B$5&gt;='Mortgage Inputs'!$B$5,'Mortgage Inputs'!$B$5&gt;0),C500,MIN(C500,MAX(0,'Mortgage Inputs'!$B$17-E500))))</f>
        <v/>
      </c>
      <c r="G500" s="2" t="str">
        <f t="shared" si="21"/>
        <v/>
      </c>
      <c r="H500" s="2" t="str">
        <f>IF(A500="","",IF(AND('Offset Inputs'!$B$5&gt;='Mortgage Inputs'!$B$5,'Mortgage Inputs'!$B$5&gt;0),'Offset Inputs'!$B$5-'Mortgage Inputs'!$B$5,D500+'Offset Inputs'!$B$6))</f>
        <v/>
      </c>
    </row>
    <row r="501" spans="1:8" ht="22" customHeight="1">
      <c r="A501" s="1" t="str">
        <f>IF(AND('Mortgage Inputs'!$B$12,495&lt;=IF('Mortgage Inputs'!$B$12,'Mortgage Inputs'!$B$7,0)*12+600,ISNUMBER(G500),G500&gt;0.005),495,"")</f>
        <v/>
      </c>
      <c r="B501" s="4" t="str">
        <f>IF(A501="","",DATE(YEAR('Mortgage Inputs'!$B$8),MONTH('Mortgage Inputs'!$B$8)+A501,DAY('Mortgage Inputs'!$B$8)))</f>
        <v/>
      </c>
      <c r="C501" s="2" t="str">
        <f t="shared" si="22"/>
        <v/>
      </c>
      <c r="D501" s="2" t="str">
        <f t="shared" si="23"/>
        <v/>
      </c>
      <c r="E501" s="2" t="str">
        <f>IF(A501="","",MAX(0,(C501-MIN(D501,C501))*'Mortgage Inputs'!$B$15))</f>
        <v/>
      </c>
      <c r="F501" s="2" t="str">
        <f>IF(A501="","",IF(AND('Offset Inputs'!$B$5&gt;='Mortgage Inputs'!$B$5,'Mortgage Inputs'!$B$5&gt;0),C501,MIN(C501,MAX(0,'Mortgage Inputs'!$B$17-E501))))</f>
        <v/>
      </c>
      <c r="G501" s="2" t="str">
        <f t="shared" si="21"/>
        <v/>
      </c>
      <c r="H501" s="2" t="str">
        <f>IF(A501="","",IF(AND('Offset Inputs'!$B$5&gt;='Mortgage Inputs'!$B$5,'Mortgage Inputs'!$B$5&gt;0),'Offset Inputs'!$B$5-'Mortgage Inputs'!$B$5,D501+'Offset Inputs'!$B$6))</f>
        <v/>
      </c>
    </row>
    <row r="502" spans="1:8" ht="22" customHeight="1">
      <c r="A502" s="1" t="str">
        <f>IF(AND('Mortgage Inputs'!$B$12,496&lt;=IF('Mortgage Inputs'!$B$12,'Mortgage Inputs'!$B$7,0)*12+600,ISNUMBER(G501),G501&gt;0.005),496,"")</f>
        <v/>
      </c>
      <c r="B502" s="4" t="str">
        <f>IF(A502="","",DATE(YEAR('Mortgage Inputs'!$B$8),MONTH('Mortgage Inputs'!$B$8)+A502,DAY('Mortgage Inputs'!$B$8)))</f>
        <v/>
      </c>
      <c r="C502" s="2" t="str">
        <f t="shared" si="22"/>
        <v/>
      </c>
      <c r="D502" s="2" t="str">
        <f t="shared" si="23"/>
        <v/>
      </c>
      <c r="E502" s="2" t="str">
        <f>IF(A502="","",MAX(0,(C502-MIN(D502,C502))*'Mortgage Inputs'!$B$15))</f>
        <v/>
      </c>
      <c r="F502" s="2" t="str">
        <f>IF(A502="","",IF(AND('Offset Inputs'!$B$5&gt;='Mortgage Inputs'!$B$5,'Mortgage Inputs'!$B$5&gt;0),C502,MIN(C502,MAX(0,'Mortgage Inputs'!$B$17-E502))))</f>
        <v/>
      </c>
      <c r="G502" s="2" t="str">
        <f t="shared" si="21"/>
        <v/>
      </c>
      <c r="H502" s="2" t="str">
        <f>IF(A502="","",IF(AND('Offset Inputs'!$B$5&gt;='Mortgage Inputs'!$B$5,'Mortgage Inputs'!$B$5&gt;0),'Offset Inputs'!$B$5-'Mortgage Inputs'!$B$5,D502+'Offset Inputs'!$B$6))</f>
        <v/>
      </c>
    </row>
    <row r="503" spans="1:8" ht="22" customHeight="1">
      <c r="A503" s="1" t="str">
        <f>IF(AND('Mortgage Inputs'!$B$12,497&lt;=IF('Mortgage Inputs'!$B$12,'Mortgage Inputs'!$B$7,0)*12+600,ISNUMBER(G502),G502&gt;0.005),497,"")</f>
        <v/>
      </c>
      <c r="B503" s="4" t="str">
        <f>IF(A503="","",DATE(YEAR('Mortgage Inputs'!$B$8),MONTH('Mortgage Inputs'!$B$8)+A503,DAY('Mortgage Inputs'!$B$8)))</f>
        <v/>
      </c>
      <c r="C503" s="2" t="str">
        <f t="shared" si="22"/>
        <v/>
      </c>
      <c r="D503" s="2" t="str">
        <f t="shared" si="23"/>
        <v/>
      </c>
      <c r="E503" s="2" t="str">
        <f>IF(A503="","",MAX(0,(C503-MIN(D503,C503))*'Mortgage Inputs'!$B$15))</f>
        <v/>
      </c>
      <c r="F503" s="2" t="str">
        <f>IF(A503="","",IF(AND('Offset Inputs'!$B$5&gt;='Mortgage Inputs'!$B$5,'Mortgage Inputs'!$B$5&gt;0),C503,MIN(C503,MAX(0,'Mortgage Inputs'!$B$17-E503))))</f>
        <v/>
      </c>
      <c r="G503" s="2" t="str">
        <f t="shared" si="21"/>
        <v/>
      </c>
      <c r="H503" s="2" t="str">
        <f>IF(A503="","",IF(AND('Offset Inputs'!$B$5&gt;='Mortgage Inputs'!$B$5,'Mortgage Inputs'!$B$5&gt;0),'Offset Inputs'!$B$5-'Mortgage Inputs'!$B$5,D503+'Offset Inputs'!$B$6))</f>
        <v/>
      </c>
    </row>
    <row r="504" spans="1:8" ht="22" customHeight="1">
      <c r="A504" s="1" t="str">
        <f>IF(AND('Mortgage Inputs'!$B$12,498&lt;=IF('Mortgage Inputs'!$B$12,'Mortgage Inputs'!$B$7,0)*12+600,ISNUMBER(G503),G503&gt;0.005),498,"")</f>
        <v/>
      </c>
      <c r="B504" s="4" t="str">
        <f>IF(A504="","",DATE(YEAR('Mortgage Inputs'!$B$8),MONTH('Mortgage Inputs'!$B$8)+A504,DAY('Mortgage Inputs'!$B$8)))</f>
        <v/>
      </c>
      <c r="C504" s="2" t="str">
        <f t="shared" si="22"/>
        <v/>
      </c>
      <c r="D504" s="2" t="str">
        <f t="shared" si="23"/>
        <v/>
      </c>
      <c r="E504" s="2" t="str">
        <f>IF(A504="","",MAX(0,(C504-MIN(D504,C504))*'Mortgage Inputs'!$B$15))</f>
        <v/>
      </c>
      <c r="F504" s="2" t="str">
        <f>IF(A504="","",IF(AND('Offset Inputs'!$B$5&gt;='Mortgage Inputs'!$B$5,'Mortgage Inputs'!$B$5&gt;0),C504,MIN(C504,MAX(0,'Mortgage Inputs'!$B$17-E504))))</f>
        <v/>
      </c>
      <c r="G504" s="2" t="str">
        <f t="shared" si="21"/>
        <v/>
      </c>
      <c r="H504" s="2" t="str">
        <f>IF(A504="","",IF(AND('Offset Inputs'!$B$5&gt;='Mortgage Inputs'!$B$5,'Mortgage Inputs'!$B$5&gt;0),'Offset Inputs'!$B$5-'Mortgage Inputs'!$B$5,D504+'Offset Inputs'!$B$6))</f>
        <v/>
      </c>
    </row>
    <row r="505" spans="1:8" ht="22" customHeight="1">
      <c r="A505" s="1" t="str">
        <f>IF(AND('Mortgage Inputs'!$B$12,499&lt;=IF('Mortgage Inputs'!$B$12,'Mortgage Inputs'!$B$7,0)*12+600,ISNUMBER(G504),G504&gt;0.005),499,"")</f>
        <v/>
      </c>
      <c r="B505" s="4" t="str">
        <f>IF(A505="","",DATE(YEAR('Mortgage Inputs'!$B$8),MONTH('Mortgage Inputs'!$B$8)+A505,DAY('Mortgage Inputs'!$B$8)))</f>
        <v/>
      </c>
      <c r="C505" s="2" t="str">
        <f t="shared" si="22"/>
        <v/>
      </c>
      <c r="D505" s="2" t="str">
        <f t="shared" si="23"/>
        <v/>
      </c>
      <c r="E505" s="2" t="str">
        <f>IF(A505="","",MAX(0,(C505-MIN(D505,C505))*'Mortgage Inputs'!$B$15))</f>
        <v/>
      </c>
      <c r="F505" s="2" t="str">
        <f>IF(A505="","",IF(AND('Offset Inputs'!$B$5&gt;='Mortgage Inputs'!$B$5,'Mortgage Inputs'!$B$5&gt;0),C505,MIN(C505,MAX(0,'Mortgage Inputs'!$B$17-E505))))</f>
        <v/>
      </c>
      <c r="G505" s="2" t="str">
        <f t="shared" si="21"/>
        <v/>
      </c>
      <c r="H505" s="2" t="str">
        <f>IF(A505="","",IF(AND('Offset Inputs'!$B$5&gt;='Mortgage Inputs'!$B$5,'Mortgage Inputs'!$B$5&gt;0),'Offset Inputs'!$B$5-'Mortgage Inputs'!$B$5,D505+'Offset Inputs'!$B$6))</f>
        <v/>
      </c>
    </row>
    <row r="506" spans="1:8" ht="22" customHeight="1">
      <c r="A506" s="1" t="str">
        <f>IF(AND('Mortgage Inputs'!$B$12,500&lt;=IF('Mortgage Inputs'!$B$12,'Mortgage Inputs'!$B$7,0)*12+600,ISNUMBER(G505),G505&gt;0.005),500,"")</f>
        <v/>
      </c>
      <c r="B506" s="4" t="str">
        <f>IF(A506="","",DATE(YEAR('Mortgage Inputs'!$B$8),MONTH('Mortgage Inputs'!$B$8)+A506,DAY('Mortgage Inputs'!$B$8)))</f>
        <v/>
      </c>
      <c r="C506" s="2" t="str">
        <f t="shared" si="22"/>
        <v/>
      </c>
      <c r="D506" s="2" t="str">
        <f t="shared" si="23"/>
        <v/>
      </c>
      <c r="E506" s="2" t="str">
        <f>IF(A506="","",MAX(0,(C506-MIN(D506,C506))*'Mortgage Inputs'!$B$15))</f>
        <v/>
      </c>
      <c r="F506" s="2" t="str">
        <f>IF(A506="","",IF(AND('Offset Inputs'!$B$5&gt;='Mortgage Inputs'!$B$5,'Mortgage Inputs'!$B$5&gt;0),C506,MIN(C506,MAX(0,'Mortgage Inputs'!$B$17-E506))))</f>
        <v/>
      </c>
      <c r="G506" s="2" t="str">
        <f t="shared" si="21"/>
        <v/>
      </c>
      <c r="H506" s="2" t="str">
        <f>IF(A506="","",IF(AND('Offset Inputs'!$B$5&gt;='Mortgage Inputs'!$B$5,'Mortgage Inputs'!$B$5&gt;0),'Offset Inputs'!$B$5-'Mortgage Inputs'!$B$5,D506+'Offset Inputs'!$B$6))</f>
        <v/>
      </c>
    </row>
    <row r="507" spans="1:8" ht="22" customHeight="1">
      <c r="A507" s="1" t="str">
        <f>IF(AND('Mortgage Inputs'!$B$12,501&lt;=IF('Mortgage Inputs'!$B$12,'Mortgage Inputs'!$B$7,0)*12+600,ISNUMBER(G506),G506&gt;0.005),501,"")</f>
        <v/>
      </c>
      <c r="B507" s="4" t="str">
        <f>IF(A507="","",DATE(YEAR('Mortgage Inputs'!$B$8),MONTH('Mortgage Inputs'!$B$8)+A507,DAY('Mortgage Inputs'!$B$8)))</f>
        <v/>
      </c>
      <c r="C507" s="2" t="str">
        <f t="shared" si="22"/>
        <v/>
      </c>
      <c r="D507" s="2" t="str">
        <f t="shared" si="23"/>
        <v/>
      </c>
      <c r="E507" s="2" t="str">
        <f>IF(A507="","",MAX(0,(C507-MIN(D507,C507))*'Mortgage Inputs'!$B$15))</f>
        <v/>
      </c>
      <c r="F507" s="2" t="str">
        <f>IF(A507="","",IF(AND('Offset Inputs'!$B$5&gt;='Mortgage Inputs'!$B$5,'Mortgage Inputs'!$B$5&gt;0),C507,MIN(C507,MAX(0,'Mortgage Inputs'!$B$17-E507))))</f>
        <v/>
      </c>
      <c r="G507" s="2" t="str">
        <f t="shared" si="21"/>
        <v/>
      </c>
      <c r="H507" s="2" t="str">
        <f>IF(A507="","",IF(AND('Offset Inputs'!$B$5&gt;='Mortgage Inputs'!$B$5,'Mortgage Inputs'!$B$5&gt;0),'Offset Inputs'!$B$5-'Mortgage Inputs'!$B$5,D507+'Offset Inputs'!$B$6))</f>
        <v/>
      </c>
    </row>
    <row r="508" spans="1:8" ht="22" customHeight="1">
      <c r="A508" s="1" t="str">
        <f>IF(AND('Mortgage Inputs'!$B$12,502&lt;=IF('Mortgage Inputs'!$B$12,'Mortgage Inputs'!$B$7,0)*12+600,ISNUMBER(G507),G507&gt;0.005),502,"")</f>
        <v/>
      </c>
      <c r="B508" s="4" t="str">
        <f>IF(A508="","",DATE(YEAR('Mortgage Inputs'!$B$8),MONTH('Mortgage Inputs'!$B$8)+A508,DAY('Mortgage Inputs'!$B$8)))</f>
        <v/>
      </c>
      <c r="C508" s="2" t="str">
        <f t="shared" si="22"/>
        <v/>
      </c>
      <c r="D508" s="2" t="str">
        <f t="shared" si="23"/>
        <v/>
      </c>
      <c r="E508" s="2" t="str">
        <f>IF(A508="","",MAX(0,(C508-MIN(D508,C508))*'Mortgage Inputs'!$B$15))</f>
        <v/>
      </c>
      <c r="F508" s="2" t="str">
        <f>IF(A508="","",IF(AND('Offset Inputs'!$B$5&gt;='Mortgage Inputs'!$B$5,'Mortgage Inputs'!$B$5&gt;0),C508,MIN(C508,MAX(0,'Mortgage Inputs'!$B$17-E508))))</f>
        <v/>
      </c>
      <c r="G508" s="2" t="str">
        <f t="shared" si="21"/>
        <v/>
      </c>
      <c r="H508" s="2" t="str">
        <f>IF(A508="","",IF(AND('Offset Inputs'!$B$5&gt;='Mortgage Inputs'!$B$5,'Mortgage Inputs'!$B$5&gt;0),'Offset Inputs'!$B$5-'Mortgage Inputs'!$B$5,D508+'Offset Inputs'!$B$6))</f>
        <v/>
      </c>
    </row>
    <row r="509" spans="1:8" ht="22" customHeight="1">
      <c r="A509" s="1" t="str">
        <f>IF(AND('Mortgage Inputs'!$B$12,503&lt;=IF('Mortgage Inputs'!$B$12,'Mortgage Inputs'!$B$7,0)*12+600,ISNUMBER(G508),G508&gt;0.005),503,"")</f>
        <v/>
      </c>
      <c r="B509" s="4" t="str">
        <f>IF(A509="","",DATE(YEAR('Mortgage Inputs'!$B$8),MONTH('Mortgage Inputs'!$B$8)+A509,DAY('Mortgage Inputs'!$B$8)))</f>
        <v/>
      </c>
      <c r="C509" s="2" t="str">
        <f t="shared" si="22"/>
        <v/>
      </c>
      <c r="D509" s="2" t="str">
        <f t="shared" si="23"/>
        <v/>
      </c>
      <c r="E509" s="2" t="str">
        <f>IF(A509="","",MAX(0,(C509-MIN(D509,C509))*'Mortgage Inputs'!$B$15))</f>
        <v/>
      </c>
      <c r="F509" s="2" t="str">
        <f>IF(A509="","",IF(AND('Offset Inputs'!$B$5&gt;='Mortgage Inputs'!$B$5,'Mortgage Inputs'!$B$5&gt;0),C509,MIN(C509,MAX(0,'Mortgage Inputs'!$B$17-E509))))</f>
        <v/>
      </c>
      <c r="G509" s="2" t="str">
        <f t="shared" si="21"/>
        <v/>
      </c>
      <c r="H509" s="2" t="str">
        <f>IF(A509="","",IF(AND('Offset Inputs'!$B$5&gt;='Mortgage Inputs'!$B$5,'Mortgage Inputs'!$B$5&gt;0),'Offset Inputs'!$B$5-'Mortgage Inputs'!$B$5,D509+'Offset Inputs'!$B$6))</f>
        <v/>
      </c>
    </row>
    <row r="510" spans="1:8" ht="22" customHeight="1">
      <c r="A510" s="1" t="str">
        <f>IF(AND('Mortgage Inputs'!$B$12,504&lt;=IF('Mortgage Inputs'!$B$12,'Mortgage Inputs'!$B$7,0)*12+600,ISNUMBER(G509),G509&gt;0.005),504,"")</f>
        <v/>
      </c>
      <c r="B510" s="4" t="str">
        <f>IF(A510="","",DATE(YEAR('Mortgage Inputs'!$B$8),MONTH('Mortgage Inputs'!$B$8)+A510,DAY('Mortgage Inputs'!$B$8)))</f>
        <v/>
      </c>
      <c r="C510" s="2" t="str">
        <f t="shared" si="22"/>
        <v/>
      </c>
      <c r="D510" s="2" t="str">
        <f t="shared" si="23"/>
        <v/>
      </c>
      <c r="E510" s="2" t="str">
        <f>IF(A510="","",MAX(0,(C510-MIN(D510,C510))*'Mortgage Inputs'!$B$15))</f>
        <v/>
      </c>
      <c r="F510" s="2" t="str">
        <f>IF(A510="","",IF(AND('Offset Inputs'!$B$5&gt;='Mortgage Inputs'!$B$5,'Mortgage Inputs'!$B$5&gt;0),C510,MIN(C510,MAX(0,'Mortgage Inputs'!$B$17-E510))))</f>
        <v/>
      </c>
      <c r="G510" s="2" t="str">
        <f t="shared" si="21"/>
        <v/>
      </c>
      <c r="H510" s="2" t="str">
        <f>IF(A510="","",IF(AND('Offset Inputs'!$B$5&gt;='Mortgage Inputs'!$B$5,'Mortgage Inputs'!$B$5&gt;0),'Offset Inputs'!$B$5-'Mortgage Inputs'!$B$5,D510+'Offset Inputs'!$B$6))</f>
        <v/>
      </c>
    </row>
    <row r="511" spans="1:8" ht="22" customHeight="1">
      <c r="A511" s="1" t="str">
        <f>IF(AND('Mortgage Inputs'!$B$12,505&lt;=IF('Mortgage Inputs'!$B$12,'Mortgage Inputs'!$B$7,0)*12+600,ISNUMBER(G510),G510&gt;0.005),505,"")</f>
        <v/>
      </c>
      <c r="B511" s="4" t="str">
        <f>IF(A511="","",DATE(YEAR('Mortgage Inputs'!$B$8),MONTH('Mortgage Inputs'!$B$8)+A511,DAY('Mortgage Inputs'!$B$8)))</f>
        <v/>
      </c>
      <c r="C511" s="2" t="str">
        <f t="shared" si="22"/>
        <v/>
      </c>
      <c r="D511" s="2" t="str">
        <f t="shared" si="23"/>
        <v/>
      </c>
      <c r="E511" s="2" t="str">
        <f>IF(A511="","",MAX(0,(C511-MIN(D511,C511))*'Mortgage Inputs'!$B$15))</f>
        <v/>
      </c>
      <c r="F511" s="2" t="str">
        <f>IF(A511="","",IF(AND('Offset Inputs'!$B$5&gt;='Mortgage Inputs'!$B$5,'Mortgage Inputs'!$B$5&gt;0),C511,MIN(C511,MAX(0,'Mortgage Inputs'!$B$17-E511))))</f>
        <v/>
      </c>
      <c r="G511" s="2" t="str">
        <f t="shared" si="21"/>
        <v/>
      </c>
      <c r="H511" s="2" t="str">
        <f>IF(A511="","",IF(AND('Offset Inputs'!$B$5&gt;='Mortgage Inputs'!$B$5,'Mortgage Inputs'!$B$5&gt;0),'Offset Inputs'!$B$5-'Mortgage Inputs'!$B$5,D511+'Offset Inputs'!$B$6))</f>
        <v/>
      </c>
    </row>
    <row r="512" spans="1:8" ht="22" customHeight="1">
      <c r="A512" s="1" t="str">
        <f>IF(AND('Mortgage Inputs'!$B$12,506&lt;=IF('Mortgage Inputs'!$B$12,'Mortgage Inputs'!$B$7,0)*12+600,ISNUMBER(G511),G511&gt;0.005),506,"")</f>
        <v/>
      </c>
      <c r="B512" s="4" t="str">
        <f>IF(A512="","",DATE(YEAR('Mortgage Inputs'!$B$8),MONTH('Mortgage Inputs'!$B$8)+A512,DAY('Mortgage Inputs'!$B$8)))</f>
        <v/>
      </c>
      <c r="C512" s="2" t="str">
        <f t="shared" si="22"/>
        <v/>
      </c>
      <c r="D512" s="2" t="str">
        <f t="shared" si="23"/>
        <v/>
      </c>
      <c r="E512" s="2" t="str">
        <f>IF(A512="","",MAX(0,(C512-MIN(D512,C512))*'Mortgage Inputs'!$B$15))</f>
        <v/>
      </c>
      <c r="F512" s="2" t="str">
        <f>IF(A512="","",IF(AND('Offset Inputs'!$B$5&gt;='Mortgage Inputs'!$B$5,'Mortgage Inputs'!$B$5&gt;0),C512,MIN(C512,MAX(0,'Mortgage Inputs'!$B$17-E512))))</f>
        <v/>
      </c>
      <c r="G512" s="2" t="str">
        <f t="shared" si="21"/>
        <v/>
      </c>
      <c r="H512" s="2" t="str">
        <f>IF(A512="","",IF(AND('Offset Inputs'!$B$5&gt;='Mortgage Inputs'!$B$5,'Mortgage Inputs'!$B$5&gt;0),'Offset Inputs'!$B$5-'Mortgage Inputs'!$B$5,D512+'Offset Inputs'!$B$6))</f>
        <v/>
      </c>
    </row>
    <row r="513" spans="1:8" ht="22" customHeight="1">
      <c r="A513" s="1" t="str">
        <f>IF(AND('Mortgage Inputs'!$B$12,507&lt;=IF('Mortgage Inputs'!$B$12,'Mortgage Inputs'!$B$7,0)*12+600,ISNUMBER(G512),G512&gt;0.005),507,"")</f>
        <v/>
      </c>
      <c r="B513" s="4" t="str">
        <f>IF(A513="","",DATE(YEAR('Mortgage Inputs'!$B$8),MONTH('Mortgage Inputs'!$B$8)+A513,DAY('Mortgage Inputs'!$B$8)))</f>
        <v/>
      </c>
      <c r="C513" s="2" t="str">
        <f t="shared" si="22"/>
        <v/>
      </c>
      <c r="D513" s="2" t="str">
        <f t="shared" si="23"/>
        <v/>
      </c>
      <c r="E513" s="2" t="str">
        <f>IF(A513="","",MAX(0,(C513-MIN(D513,C513))*'Mortgage Inputs'!$B$15))</f>
        <v/>
      </c>
      <c r="F513" s="2" t="str">
        <f>IF(A513="","",IF(AND('Offset Inputs'!$B$5&gt;='Mortgage Inputs'!$B$5,'Mortgage Inputs'!$B$5&gt;0),C513,MIN(C513,MAX(0,'Mortgage Inputs'!$B$17-E513))))</f>
        <v/>
      </c>
      <c r="G513" s="2" t="str">
        <f t="shared" si="21"/>
        <v/>
      </c>
      <c r="H513" s="2" t="str">
        <f>IF(A513="","",IF(AND('Offset Inputs'!$B$5&gt;='Mortgage Inputs'!$B$5,'Mortgage Inputs'!$B$5&gt;0),'Offset Inputs'!$B$5-'Mortgage Inputs'!$B$5,D513+'Offset Inputs'!$B$6))</f>
        <v/>
      </c>
    </row>
    <row r="514" spans="1:8" ht="22" customHeight="1">
      <c r="A514" s="1" t="str">
        <f>IF(AND('Mortgage Inputs'!$B$12,508&lt;=IF('Mortgage Inputs'!$B$12,'Mortgage Inputs'!$B$7,0)*12+600,ISNUMBER(G513),G513&gt;0.005),508,"")</f>
        <v/>
      </c>
      <c r="B514" s="4" t="str">
        <f>IF(A514="","",DATE(YEAR('Mortgage Inputs'!$B$8),MONTH('Mortgage Inputs'!$B$8)+A514,DAY('Mortgage Inputs'!$B$8)))</f>
        <v/>
      </c>
      <c r="C514" s="2" t="str">
        <f t="shared" si="22"/>
        <v/>
      </c>
      <c r="D514" s="2" t="str">
        <f t="shared" si="23"/>
        <v/>
      </c>
      <c r="E514" s="2" t="str">
        <f>IF(A514="","",MAX(0,(C514-MIN(D514,C514))*'Mortgage Inputs'!$B$15))</f>
        <v/>
      </c>
      <c r="F514" s="2" t="str">
        <f>IF(A514="","",IF(AND('Offset Inputs'!$B$5&gt;='Mortgage Inputs'!$B$5,'Mortgage Inputs'!$B$5&gt;0),C514,MIN(C514,MAX(0,'Mortgage Inputs'!$B$17-E514))))</f>
        <v/>
      </c>
      <c r="G514" s="2" t="str">
        <f t="shared" si="21"/>
        <v/>
      </c>
      <c r="H514" s="2" t="str">
        <f>IF(A514="","",IF(AND('Offset Inputs'!$B$5&gt;='Mortgage Inputs'!$B$5,'Mortgage Inputs'!$B$5&gt;0),'Offset Inputs'!$B$5-'Mortgage Inputs'!$B$5,D514+'Offset Inputs'!$B$6))</f>
        <v/>
      </c>
    </row>
    <row r="515" spans="1:8" ht="22" customHeight="1">
      <c r="A515" s="1" t="str">
        <f>IF(AND('Mortgage Inputs'!$B$12,509&lt;=IF('Mortgage Inputs'!$B$12,'Mortgage Inputs'!$B$7,0)*12+600,ISNUMBER(G514),G514&gt;0.005),509,"")</f>
        <v/>
      </c>
      <c r="B515" s="4" t="str">
        <f>IF(A515="","",DATE(YEAR('Mortgage Inputs'!$B$8),MONTH('Mortgage Inputs'!$B$8)+A515,DAY('Mortgage Inputs'!$B$8)))</f>
        <v/>
      </c>
      <c r="C515" s="2" t="str">
        <f t="shared" si="22"/>
        <v/>
      </c>
      <c r="D515" s="2" t="str">
        <f t="shared" si="23"/>
        <v/>
      </c>
      <c r="E515" s="2" t="str">
        <f>IF(A515="","",MAX(0,(C515-MIN(D515,C515))*'Mortgage Inputs'!$B$15))</f>
        <v/>
      </c>
      <c r="F515" s="2" t="str">
        <f>IF(A515="","",IF(AND('Offset Inputs'!$B$5&gt;='Mortgage Inputs'!$B$5,'Mortgage Inputs'!$B$5&gt;0),C515,MIN(C515,MAX(0,'Mortgage Inputs'!$B$17-E515))))</f>
        <v/>
      </c>
      <c r="G515" s="2" t="str">
        <f t="shared" si="21"/>
        <v/>
      </c>
      <c r="H515" s="2" t="str">
        <f>IF(A515="","",IF(AND('Offset Inputs'!$B$5&gt;='Mortgage Inputs'!$B$5,'Mortgage Inputs'!$B$5&gt;0),'Offset Inputs'!$B$5-'Mortgage Inputs'!$B$5,D515+'Offset Inputs'!$B$6))</f>
        <v/>
      </c>
    </row>
    <row r="516" spans="1:8" ht="22" customHeight="1">
      <c r="A516" s="1" t="str">
        <f>IF(AND('Mortgage Inputs'!$B$12,510&lt;=IF('Mortgage Inputs'!$B$12,'Mortgage Inputs'!$B$7,0)*12+600,ISNUMBER(G515),G515&gt;0.005),510,"")</f>
        <v/>
      </c>
      <c r="B516" s="4" t="str">
        <f>IF(A516="","",DATE(YEAR('Mortgage Inputs'!$B$8),MONTH('Mortgage Inputs'!$B$8)+A516,DAY('Mortgage Inputs'!$B$8)))</f>
        <v/>
      </c>
      <c r="C516" s="2" t="str">
        <f t="shared" si="22"/>
        <v/>
      </c>
      <c r="D516" s="2" t="str">
        <f t="shared" si="23"/>
        <v/>
      </c>
      <c r="E516" s="2" t="str">
        <f>IF(A516="","",MAX(0,(C516-MIN(D516,C516))*'Mortgage Inputs'!$B$15))</f>
        <v/>
      </c>
      <c r="F516" s="2" t="str">
        <f>IF(A516="","",IF(AND('Offset Inputs'!$B$5&gt;='Mortgage Inputs'!$B$5,'Mortgage Inputs'!$B$5&gt;0),C516,MIN(C516,MAX(0,'Mortgage Inputs'!$B$17-E516))))</f>
        <v/>
      </c>
      <c r="G516" s="2" t="str">
        <f t="shared" si="21"/>
        <v/>
      </c>
      <c r="H516" s="2" t="str">
        <f>IF(A516="","",IF(AND('Offset Inputs'!$B$5&gt;='Mortgage Inputs'!$B$5,'Mortgage Inputs'!$B$5&gt;0),'Offset Inputs'!$B$5-'Mortgage Inputs'!$B$5,D516+'Offset Inputs'!$B$6))</f>
        <v/>
      </c>
    </row>
    <row r="517" spans="1:8" ht="22" customHeight="1">
      <c r="A517" s="1" t="str">
        <f>IF(AND('Mortgage Inputs'!$B$12,511&lt;=IF('Mortgage Inputs'!$B$12,'Mortgage Inputs'!$B$7,0)*12+600,ISNUMBER(G516),G516&gt;0.005),511,"")</f>
        <v/>
      </c>
      <c r="B517" s="4" t="str">
        <f>IF(A517="","",DATE(YEAR('Mortgage Inputs'!$B$8),MONTH('Mortgage Inputs'!$B$8)+A517,DAY('Mortgage Inputs'!$B$8)))</f>
        <v/>
      </c>
      <c r="C517" s="2" t="str">
        <f t="shared" si="22"/>
        <v/>
      </c>
      <c r="D517" s="2" t="str">
        <f t="shared" si="23"/>
        <v/>
      </c>
      <c r="E517" s="2" t="str">
        <f>IF(A517="","",MAX(0,(C517-MIN(D517,C517))*'Mortgage Inputs'!$B$15))</f>
        <v/>
      </c>
      <c r="F517" s="2" t="str">
        <f>IF(A517="","",IF(AND('Offset Inputs'!$B$5&gt;='Mortgage Inputs'!$B$5,'Mortgage Inputs'!$B$5&gt;0),C517,MIN(C517,MAX(0,'Mortgage Inputs'!$B$17-E517))))</f>
        <v/>
      </c>
      <c r="G517" s="2" t="str">
        <f t="shared" si="21"/>
        <v/>
      </c>
      <c r="H517" s="2" t="str">
        <f>IF(A517="","",IF(AND('Offset Inputs'!$B$5&gt;='Mortgage Inputs'!$B$5,'Mortgage Inputs'!$B$5&gt;0),'Offset Inputs'!$B$5-'Mortgage Inputs'!$B$5,D517+'Offset Inputs'!$B$6))</f>
        <v/>
      </c>
    </row>
    <row r="518" spans="1:8" ht="22" customHeight="1">
      <c r="A518" s="1" t="str">
        <f>IF(AND('Mortgage Inputs'!$B$12,512&lt;=IF('Mortgage Inputs'!$B$12,'Mortgage Inputs'!$B$7,0)*12+600,ISNUMBER(G517),G517&gt;0.005),512,"")</f>
        <v/>
      </c>
      <c r="B518" s="4" t="str">
        <f>IF(A518="","",DATE(YEAR('Mortgage Inputs'!$B$8),MONTH('Mortgage Inputs'!$B$8)+A518,DAY('Mortgage Inputs'!$B$8)))</f>
        <v/>
      </c>
      <c r="C518" s="2" t="str">
        <f t="shared" si="22"/>
        <v/>
      </c>
      <c r="D518" s="2" t="str">
        <f t="shared" si="23"/>
        <v/>
      </c>
      <c r="E518" s="2" t="str">
        <f>IF(A518="","",MAX(0,(C518-MIN(D518,C518))*'Mortgage Inputs'!$B$15))</f>
        <v/>
      </c>
      <c r="F518" s="2" t="str">
        <f>IF(A518="","",IF(AND('Offset Inputs'!$B$5&gt;='Mortgage Inputs'!$B$5,'Mortgage Inputs'!$B$5&gt;0),C518,MIN(C518,MAX(0,'Mortgage Inputs'!$B$17-E518))))</f>
        <v/>
      </c>
      <c r="G518" s="2" t="str">
        <f t="shared" si="21"/>
        <v/>
      </c>
      <c r="H518" s="2" t="str">
        <f>IF(A518="","",IF(AND('Offset Inputs'!$B$5&gt;='Mortgage Inputs'!$B$5,'Mortgage Inputs'!$B$5&gt;0),'Offset Inputs'!$B$5-'Mortgage Inputs'!$B$5,D518+'Offset Inputs'!$B$6))</f>
        <v/>
      </c>
    </row>
    <row r="519" spans="1:8" ht="22" customHeight="1">
      <c r="A519" s="1" t="str">
        <f>IF(AND('Mortgage Inputs'!$B$12,513&lt;=IF('Mortgage Inputs'!$B$12,'Mortgage Inputs'!$B$7,0)*12+600,ISNUMBER(G518),G518&gt;0.005),513,"")</f>
        <v/>
      </c>
      <c r="B519" s="4" t="str">
        <f>IF(A519="","",DATE(YEAR('Mortgage Inputs'!$B$8),MONTH('Mortgage Inputs'!$B$8)+A519,DAY('Mortgage Inputs'!$B$8)))</f>
        <v/>
      </c>
      <c r="C519" s="2" t="str">
        <f t="shared" si="22"/>
        <v/>
      </c>
      <c r="D519" s="2" t="str">
        <f t="shared" si="23"/>
        <v/>
      </c>
      <c r="E519" s="2" t="str">
        <f>IF(A519="","",MAX(0,(C519-MIN(D519,C519))*'Mortgage Inputs'!$B$15))</f>
        <v/>
      </c>
      <c r="F519" s="2" t="str">
        <f>IF(A519="","",IF(AND('Offset Inputs'!$B$5&gt;='Mortgage Inputs'!$B$5,'Mortgage Inputs'!$B$5&gt;0),C519,MIN(C519,MAX(0,'Mortgage Inputs'!$B$17-E519))))</f>
        <v/>
      </c>
      <c r="G519" s="2" t="str">
        <f t="shared" ref="G519:G582" si="24">IF(A519="","",MAX(0,C519-F519))</f>
        <v/>
      </c>
      <c r="H519" s="2" t="str">
        <f>IF(A519="","",IF(AND('Offset Inputs'!$B$5&gt;='Mortgage Inputs'!$B$5,'Mortgage Inputs'!$B$5&gt;0),'Offset Inputs'!$B$5-'Mortgage Inputs'!$B$5,D519+'Offset Inputs'!$B$6))</f>
        <v/>
      </c>
    </row>
    <row r="520" spans="1:8" ht="22" customHeight="1">
      <c r="A520" s="1" t="str">
        <f>IF(AND('Mortgage Inputs'!$B$12,514&lt;=IF('Mortgage Inputs'!$B$12,'Mortgage Inputs'!$B$7,0)*12+600,ISNUMBER(G519),G519&gt;0.005),514,"")</f>
        <v/>
      </c>
      <c r="B520" s="4" t="str">
        <f>IF(A520="","",DATE(YEAR('Mortgage Inputs'!$B$8),MONTH('Mortgage Inputs'!$B$8)+A520,DAY('Mortgage Inputs'!$B$8)))</f>
        <v/>
      </c>
      <c r="C520" s="2" t="str">
        <f t="shared" ref="C520:C583" si="25">IF(A520="","",G519)</f>
        <v/>
      </c>
      <c r="D520" s="2" t="str">
        <f t="shared" ref="D520:D583" si="26">IF(A520="","",H519)</f>
        <v/>
      </c>
      <c r="E520" s="2" t="str">
        <f>IF(A520="","",MAX(0,(C520-MIN(D520,C520))*'Mortgage Inputs'!$B$15))</f>
        <v/>
      </c>
      <c r="F520" s="2" t="str">
        <f>IF(A520="","",IF(AND('Offset Inputs'!$B$5&gt;='Mortgage Inputs'!$B$5,'Mortgage Inputs'!$B$5&gt;0),C520,MIN(C520,MAX(0,'Mortgage Inputs'!$B$17-E520))))</f>
        <v/>
      </c>
      <c r="G520" s="2" t="str">
        <f t="shared" si="24"/>
        <v/>
      </c>
      <c r="H520" s="2" t="str">
        <f>IF(A520="","",IF(AND('Offset Inputs'!$B$5&gt;='Mortgage Inputs'!$B$5,'Mortgage Inputs'!$B$5&gt;0),'Offset Inputs'!$B$5-'Mortgage Inputs'!$B$5,D520+'Offset Inputs'!$B$6))</f>
        <v/>
      </c>
    </row>
    <row r="521" spans="1:8" ht="22" customHeight="1">
      <c r="A521" s="1" t="str">
        <f>IF(AND('Mortgage Inputs'!$B$12,515&lt;=IF('Mortgage Inputs'!$B$12,'Mortgage Inputs'!$B$7,0)*12+600,ISNUMBER(G520),G520&gt;0.005),515,"")</f>
        <v/>
      </c>
      <c r="B521" s="4" t="str">
        <f>IF(A521="","",DATE(YEAR('Mortgage Inputs'!$B$8),MONTH('Mortgage Inputs'!$B$8)+A521,DAY('Mortgage Inputs'!$B$8)))</f>
        <v/>
      </c>
      <c r="C521" s="2" t="str">
        <f t="shared" si="25"/>
        <v/>
      </c>
      <c r="D521" s="2" t="str">
        <f t="shared" si="26"/>
        <v/>
      </c>
      <c r="E521" s="2" t="str">
        <f>IF(A521="","",MAX(0,(C521-MIN(D521,C521))*'Mortgage Inputs'!$B$15))</f>
        <v/>
      </c>
      <c r="F521" s="2" t="str">
        <f>IF(A521="","",IF(AND('Offset Inputs'!$B$5&gt;='Mortgage Inputs'!$B$5,'Mortgage Inputs'!$B$5&gt;0),C521,MIN(C521,MAX(0,'Mortgage Inputs'!$B$17-E521))))</f>
        <v/>
      </c>
      <c r="G521" s="2" t="str">
        <f t="shared" si="24"/>
        <v/>
      </c>
      <c r="H521" s="2" t="str">
        <f>IF(A521="","",IF(AND('Offset Inputs'!$B$5&gt;='Mortgage Inputs'!$B$5,'Mortgage Inputs'!$B$5&gt;0),'Offset Inputs'!$B$5-'Mortgage Inputs'!$B$5,D521+'Offset Inputs'!$B$6))</f>
        <v/>
      </c>
    </row>
    <row r="522" spans="1:8" ht="22" customHeight="1">
      <c r="A522" s="1" t="str">
        <f>IF(AND('Mortgage Inputs'!$B$12,516&lt;=IF('Mortgage Inputs'!$B$12,'Mortgage Inputs'!$B$7,0)*12+600,ISNUMBER(G521),G521&gt;0.005),516,"")</f>
        <v/>
      </c>
      <c r="B522" s="4" t="str">
        <f>IF(A522="","",DATE(YEAR('Mortgage Inputs'!$B$8),MONTH('Mortgage Inputs'!$B$8)+A522,DAY('Mortgage Inputs'!$B$8)))</f>
        <v/>
      </c>
      <c r="C522" s="2" t="str">
        <f t="shared" si="25"/>
        <v/>
      </c>
      <c r="D522" s="2" t="str">
        <f t="shared" si="26"/>
        <v/>
      </c>
      <c r="E522" s="2" t="str">
        <f>IF(A522="","",MAX(0,(C522-MIN(D522,C522))*'Mortgage Inputs'!$B$15))</f>
        <v/>
      </c>
      <c r="F522" s="2" t="str">
        <f>IF(A522="","",IF(AND('Offset Inputs'!$B$5&gt;='Mortgage Inputs'!$B$5,'Mortgage Inputs'!$B$5&gt;0),C522,MIN(C522,MAX(0,'Mortgage Inputs'!$B$17-E522))))</f>
        <v/>
      </c>
      <c r="G522" s="2" t="str">
        <f t="shared" si="24"/>
        <v/>
      </c>
      <c r="H522" s="2" t="str">
        <f>IF(A522="","",IF(AND('Offset Inputs'!$B$5&gt;='Mortgage Inputs'!$B$5,'Mortgage Inputs'!$B$5&gt;0),'Offset Inputs'!$B$5-'Mortgage Inputs'!$B$5,D522+'Offset Inputs'!$B$6))</f>
        <v/>
      </c>
    </row>
    <row r="523" spans="1:8" ht="22" customHeight="1">
      <c r="A523" s="1" t="str">
        <f>IF(AND('Mortgage Inputs'!$B$12,517&lt;=IF('Mortgage Inputs'!$B$12,'Mortgage Inputs'!$B$7,0)*12+600,ISNUMBER(G522),G522&gt;0.005),517,"")</f>
        <v/>
      </c>
      <c r="B523" s="4" t="str">
        <f>IF(A523="","",DATE(YEAR('Mortgage Inputs'!$B$8),MONTH('Mortgage Inputs'!$B$8)+A523,DAY('Mortgage Inputs'!$B$8)))</f>
        <v/>
      </c>
      <c r="C523" s="2" t="str">
        <f t="shared" si="25"/>
        <v/>
      </c>
      <c r="D523" s="2" t="str">
        <f t="shared" si="26"/>
        <v/>
      </c>
      <c r="E523" s="2" t="str">
        <f>IF(A523="","",MAX(0,(C523-MIN(D523,C523))*'Mortgage Inputs'!$B$15))</f>
        <v/>
      </c>
      <c r="F523" s="2" t="str">
        <f>IF(A523="","",IF(AND('Offset Inputs'!$B$5&gt;='Mortgage Inputs'!$B$5,'Mortgage Inputs'!$B$5&gt;0),C523,MIN(C523,MAX(0,'Mortgage Inputs'!$B$17-E523))))</f>
        <v/>
      </c>
      <c r="G523" s="2" t="str">
        <f t="shared" si="24"/>
        <v/>
      </c>
      <c r="H523" s="2" t="str">
        <f>IF(A523="","",IF(AND('Offset Inputs'!$B$5&gt;='Mortgage Inputs'!$B$5,'Mortgage Inputs'!$B$5&gt;0),'Offset Inputs'!$B$5-'Mortgage Inputs'!$B$5,D523+'Offset Inputs'!$B$6))</f>
        <v/>
      </c>
    </row>
    <row r="524" spans="1:8" ht="22" customHeight="1">
      <c r="A524" s="1" t="str">
        <f>IF(AND('Mortgage Inputs'!$B$12,518&lt;=IF('Mortgage Inputs'!$B$12,'Mortgage Inputs'!$B$7,0)*12+600,ISNUMBER(G523),G523&gt;0.005),518,"")</f>
        <v/>
      </c>
      <c r="B524" s="4" t="str">
        <f>IF(A524="","",DATE(YEAR('Mortgage Inputs'!$B$8),MONTH('Mortgage Inputs'!$B$8)+A524,DAY('Mortgage Inputs'!$B$8)))</f>
        <v/>
      </c>
      <c r="C524" s="2" t="str">
        <f t="shared" si="25"/>
        <v/>
      </c>
      <c r="D524" s="2" t="str">
        <f t="shared" si="26"/>
        <v/>
      </c>
      <c r="E524" s="2" t="str">
        <f>IF(A524="","",MAX(0,(C524-MIN(D524,C524))*'Mortgage Inputs'!$B$15))</f>
        <v/>
      </c>
      <c r="F524" s="2" t="str">
        <f>IF(A524="","",IF(AND('Offset Inputs'!$B$5&gt;='Mortgage Inputs'!$B$5,'Mortgage Inputs'!$B$5&gt;0),C524,MIN(C524,MAX(0,'Mortgage Inputs'!$B$17-E524))))</f>
        <v/>
      </c>
      <c r="G524" s="2" t="str">
        <f t="shared" si="24"/>
        <v/>
      </c>
      <c r="H524" s="2" t="str">
        <f>IF(A524="","",IF(AND('Offset Inputs'!$B$5&gt;='Mortgage Inputs'!$B$5,'Mortgage Inputs'!$B$5&gt;0),'Offset Inputs'!$B$5-'Mortgage Inputs'!$B$5,D524+'Offset Inputs'!$B$6))</f>
        <v/>
      </c>
    </row>
    <row r="525" spans="1:8" ht="22" customHeight="1">
      <c r="A525" s="1" t="str">
        <f>IF(AND('Mortgage Inputs'!$B$12,519&lt;=IF('Mortgage Inputs'!$B$12,'Mortgage Inputs'!$B$7,0)*12+600,ISNUMBER(G524),G524&gt;0.005),519,"")</f>
        <v/>
      </c>
      <c r="B525" s="4" t="str">
        <f>IF(A525="","",DATE(YEAR('Mortgage Inputs'!$B$8),MONTH('Mortgage Inputs'!$B$8)+A525,DAY('Mortgage Inputs'!$B$8)))</f>
        <v/>
      </c>
      <c r="C525" s="2" t="str">
        <f t="shared" si="25"/>
        <v/>
      </c>
      <c r="D525" s="2" t="str">
        <f t="shared" si="26"/>
        <v/>
      </c>
      <c r="E525" s="2" t="str">
        <f>IF(A525="","",MAX(0,(C525-MIN(D525,C525))*'Mortgage Inputs'!$B$15))</f>
        <v/>
      </c>
      <c r="F525" s="2" t="str">
        <f>IF(A525="","",IF(AND('Offset Inputs'!$B$5&gt;='Mortgage Inputs'!$B$5,'Mortgage Inputs'!$B$5&gt;0),C525,MIN(C525,MAX(0,'Mortgage Inputs'!$B$17-E525))))</f>
        <v/>
      </c>
      <c r="G525" s="2" t="str">
        <f t="shared" si="24"/>
        <v/>
      </c>
      <c r="H525" s="2" t="str">
        <f>IF(A525="","",IF(AND('Offset Inputs'!$B$5&gt;='Mortgage Inputs'!$B$5,'Mortgage Inputs'!$B$5&gt;0),'Offset Inputs'!$B$5-'Mortgage Inputs'!$B$5,D525+'Offset Inputs'!$B$6))</f>
        <v/>
      </c>
    </row>
    <row r="526" spans="1:8" ht="22" customHeight="1">
      <c r="A526" s="1" t="str">
        <f>IF(AND('Mortgage Inputs'!$B$12,520&lt;=IF('Mortgage Inputs'!$B$12,'Mortgage Inputs'!$B$7,0)*12+600,ISNUMBER(G525),G525&gt;0.005),520,"")</f>
        <v/>
      </c>
      <c r="B526" s="4" t="str">
        <f>IF(A526="","",DATE(YEAR('Mortgage Inputs'!$B$8),MONTH('Mortgage Inputs'!$B$8)+A526,DAY('Mortgage Inputs'!$B$8)))</f>
        <v/>
      </c>
      <c r="C526" s="2" t="str">
        <f t="shared" si="25"/>
        <v/>
      </c>
      <c r="D526" s="2" t="str">
        <f t="shared" si="26"/>
        <v/>
      </c>
      <c r="E526" s="2" t="str">
        <f>IF(A526="","",MAX(0,(C526-MIN(D526,C526))*'Mortgage Inputs'!$B$15))</f>
        <v/>
      </c>
      <c r="F526" s="2" t="str">
        <f>IF(A526="","",IF(AND('Offset Inputs'!$B$5&gt;='Mortgage Inputs'!$B$5,'Mortgage Inputs'!$B$5&gt;0),C526,MIN(C526,MAX(0,'Mortgage Inputs'!$B$17-E526))))</f>
        <v/>
      </c>
      <c r="G526" s="2" t="str">
        <f t="shared" si="24"/>
        <v/>
      </c>
      <c r="H526" s="2" t="str">
        <f>IF(A526="","",IF(AND('Offset Inputs'!$B$5&gt;='Mortgage Inputs'!$B$5,'Mortgage Inputs'!$B$5&gt;0),'Offset Inputs'!$B$5-'Mortgage Inputs'!$B$5,D526+'Offset Inputs'!$B$6))</f>
        <v/>
      </c>
    </row>
    <row r="527" spans="1:8" ht="22" customHeight="1">
      <c r="A527" s="1" t="str">
        <f>IF(AND('Mortgage Inputs'!$B$12,521&lt;=IF('Mortgage Inputs'!$B$12,'Mortgage Inputs'!$B$7,0)*12+600,ISNUMBER(G526),G526&gt;0.005),521,"")</f>
        <v/>
      </c>
      <c r="B527" s="4" t="str">
        <f>IF(A527="","",DATE(YEAR('Mortgage Inputs'!$B$8),MONTH('Mortgage Inputs'!$B$8)+A527,DAY('Mortgage Inputs'!$B$8)))</f>
        <v/>
      </c>
      <c r="C527" s="2" t="str">
        <f t="shared" si="25"/>
        <v/>
      </c>
      <c r="D527" s="2" t="str">
        <f t="shared" si="26"/>
        <v/>
      </c>
      <c r="E527" s="2" t="str">
        <f>IF(A527="","",MAX(0,(C527-MIN(D527,C527))*'Mortgage Inputs'!$B$15))</f>
        <v/>
      </c>
      <c r="F527" s="2" t="str">
        <f>IF(A527="","",IF(AND('Offset Inputs'!$B$5&gt;='Mortgage Inputs'!$B$5,'Mortgage Inputs'!$B$5&gt;0),C527,MIN(C527,MAX(0,'Mortgage Inputs'!$B$17-E527))))</f>
        <v/>
      </c>
      <c r="G527" s="2" t="str">
        <f t="shared" si="24"/>
        <v/>
      </c>
      <c r="H527" s="2" t="str">
        <f>IF(A527="","",IF(AND('Offset Inputs'!$B$5&gt;='Mortgage Inputs'!$B$5,'Mortgage Inputs'!$B$5&gt;0),'Offset Inputs'!$B$5-'Mortgage Inputs'!$B$5,D527+'Offset Inputs'!$B$6))</f>
        <v/>
      </c>
    </row>
    <row r="528" spans="1:8" ht="22" customHeight="1">
      <c r="A528" s="1" t="str">
        <f>IF(AND('Mortgage Inputs'!$B$12,522&lt;=IF('Mortgage Inputs'!$B$12,'Mortgage Inputs'!$B$7,0)*12+600,ISNUMBER(G527),G527&gt;0.005),522,"")</f>
        <v/>
      </c>
      <c r="B528" s="4" t="str">
        <f>IF(A528="","",DATE(YEAR('Mortgage Inputs'!$B$8),MONTH('Mortgage Inputs'!$B$8)+A528,DAY('Mortgage Inputs'!$B$8)))</f>
        <v/>
      </c>
      <c r="C528" s="2" t="str">
        <f t="shared" si="25"/>
        <v/>
      </c>
      <c r="D528" s="2" t="str">
        <f t="shared" si="26"/>
        <v/>
      </c>
      <c r="E528" s="2" t="str">
        <f>IF(A528="","",MAX(0,(C528-MIN(D528,C528))*'Mortgage Inputs'!$B$15))</f>
        <v/>
      </c>
      <c r="F528" s="2" t="str">
        <f>IF(A528="","",IF(AND('Offset Inputs'!$B$5&gt;='Mortgage Inputs'!$B$5,'Mortgage Inputs'!$B$5&gt;0),C528,MIN(C528,MAX(0,'Mortgage Inputs'!$B$17-E528))))</f>
        <v/>
      </c>
      <c r="G528" s="2" t="str">
        <f t="shared" si="24"/>
        <v/>
      </c>
      <c r="H528" s="2" t="str">
        <f>IF(A528="","",IF(AND('Offset Inputs'!$B$5&gt;='Mortgage Inputs'!$B$5,'Mortgage Inputs'!$B$5&gt;0),'Offset Inputs'!$B$5-'Mortgage Inputs'!$B$5,D528+'Offset Inputs'!$B$6))</f>
        <v/>
      </c>
    </row>
    <row r="529" spans="1:8" ht="22" customHeight="1">
      <c r="A529" s="1" t="str">
        <f>IF(AND('Mortgage Inputs'!$B$12,523&lt;=IF('Mortgage Inputs'!$B$12,'Mortgage Inputs'!$B$7,0)*12+600,ISNUMBER(G528),G528&gt;0.005),523,"")</f>
        <v/>
      </c>
      <c r="B529" s="4" t="str">
        <f>IF(A529="","",DATE(YEAR('Mortgage Inputs'!$B$8),MONTH('Mortgage Inputs'!$B$8)+A529,DAY('Mortgage Inputs'!$B$8)))</f>
        <v/>
      </c>
      <c r="C529" s="2" t="str">
        <f t="shared" si="25"/>
        <v/>
      </c>
      <c r="D529" s="2" t="str">
        <f t="shared" si="26"/>
        <v/>
      </c>
      <c r="E529" s="2" t="str">
        <f>IF(A529="","",MAX(0,(C529-MIN(D529,C529))*'Mortgage Inputs'!$B$15))</f>
        <v/>
      </c>
      <c r="F529" s="2" t="str">
        <f>IF(A529="","",IF(AND('Offset Inputs'!$B$5&gt;='Mortgage Inputs'!$B$5,'Mortgage Inputs'!$B$5&gt;0),C529,MIN(C529,MAX(0,'Mortgage Inputs'!$B$17-E529))))</f>
        <v/>
      </c>
      <c r="G529" s="2" t="str">
        <f t="shared" si="24"/>
        <v/>
      </c>
      <c r="H529" s="2" t="str">
        <f>IF(A529="","",IF(AND('Offset Inputs'!$B$5&gt;='Mortgage Inputs'!$B$5,'Mortgage Inputs'!$B$5&gt;0),'Offset Inputs'!$B$5-'Mortgage Inputs'!$B$5,D529+'Offset Inputs'!$B$6))</f>
        <v/>
      </c>
    </row>
    <row r="530" spans="1:8" ht="22" customHeight="1">
      <c r="A530" s="1" t="str">
        <f>IF(AND('Mortgage Inputs'!$B$12,524&lt;=IF('Mortgage Inputs'!$B$12,'Mortgage Inputs'!$B$7,0)*12+600,ISNUMBER(G529),G529&gt;0.005),524,"")</f>
        <v/>
      </c>
      <c r="B530" s="4" t="str">
        <f>IF(A530="","",DATE(YEAR('Mortgage Inputs'!$B$8),MONTH('Mortgage Inputs'!$B$8)+A530,DAY('Mortgage Inputs'!$B$8)))</f>
        <v/>
      </c>
      <c r="C530" s="2" t="str">
        <f t="shared" si="25"/>
        <v/>
      </c>
      <c r="D530" s="2" t="str">
        <f t="shared" si="26"/>
        <v/>
      </c>
      <c r="E530" s="2" t="str">
        <f>IF(A530="","",MAX(0,(C530-MIN(D530,C530))*'Mortgage Inputs'!$B$15))</f>
        <v/>
      </c>
      <c r="F530" s="2" t="str">
        <f>IF(A530="","",IF(AND('Offset Inputs'!$B$5&gt;='Mortgage Inputs'!$B$5,'Mortgage Inputs'!$B$5&gt;0),C530,MIN(C530,MAX(0,'Mortgage Inputs'!$B$17-E530))))</f>
        <v/>
      </c>
      <c r="G530" s="2" t="str">
        <f t="shared" si="24"/>
        <v/>
      </c>
      <c r="H530" s="2" t="str">
        <f>IF(A530="","",IF(AND('Offset Inputs'!$B$5&gt;='Mortgage Inputs'!$B$5,'Mortgage Inputs'!$B$5&gt;0),'Offset Inputs'!$B$5-'Mortgage Inputs'!$B$5,D530+'Offset Inputs'!$B$6))</f>
        <v/>
      </c>
    </row>
    <row r="531" spans="1:8" ht="22" customHeight="1">
      <c r="A531" s="1" t="str">
        <f>IF(AND('Mortgage Inputs'!$B$12,525&lt;=IF('Mortgage Inputs'!$B$12,'Mortgage Inputs'!$B$7,0)*12+600,ISNUMBER(G530),G530&gt;0.005),525,"")</f>
        <v/>
      </c>
      <c r="B531" s="4" t="str">
        <f>IF(A531="","",DATE(YEAR('Mortgage Inputs'!$B$8),MONTH('Mortgage Inputs'!$B$8)+A531,DAY('Mortgage Inputs'!$B$8)))</f>
        <v/>
      </c>
      <c r="C531" s="2" t="str">
        <f t="shared" si="25"/>
        <v/>
      </c>
      <c r="D531" s="2" t="str">
        <f t="shared" si="26"/>
        <v/>
      </c>
      <c r="E531" s="2" t="str">
        <f>IF(A531="","",MAX(0,(C531-MIN(D531,C531))*'Mortgage Inputs'!$B$15))</f>
        <v/>
      </c>
      <c r="F531" s="2" t="str">
        <f>IF(A531="","",IF(AND('Offset Inputs'!$B$5&gt;='Mortgage Inputs'!$B$5,'Mortgage Inputs'!$B$5&gt;0),C531,MIN(C531,MAX(0,'Mortgage Inputs'!$B$17-E531))))</f>
        <v/>
      </c>
      <c r="G531" s="2" t="str">
        <f t="shared" si="24"/>
        <v/>
      </c>
      <c r="H531" s="2" t="str">
        <f>IF(A531="","",IF(AND('Offset Inputs'!$B$5&gt;='Mortgage Inputs'!$B$5,'Mortgage Inputs'!$B$5&gt;0),'Offset Inputs'!$B$5-'Mortgage Inputs'!$B$5,D531+'Offset Inputs'!$B$6))</f>
        <v/>
      </c>
    </row>
    <row r="532" spans="1:8" ht="22" customHeight="1">
      <c r="A532" s="1" t="str">
        <f>IF(AND('Mortgage Inputs'!$B$12,526&lt;=IF('Mortgage Inputs'!$B$12,'Mortgage Inputs'!$B$7,0)*12+600,ISNUMBER(G531),G531&gt;0.005),526,"")</f>
        <v/>
      </c>
      <c r="B532" s="4" t="str">
        <f>IF(A532="","",DATE(YEAR('Mortgage Inputs'!$B$8),MONTH('Mortgage Inputs'!$B$8)+A532,DAY('Mortgage Inputs'!$B$8)))</f>
        <v/>
      </c>
      <c r="C532" s="2" t="str">
        <f t="shared" si="25"/>
        <v/>
      </c>
      <c r="D532" s="2" t="str">
        <f t="shared" si="26"/>
        <v/>
      </c>
      <c r="E532" s="2" t="str">
        <f>IF(A532="","",MAX(0,(C532-MIN(D532,C532))*'Mortgage Inputs'!$B$15))</f>
        <v/>
      </c>
      <c r="F532" s="2" t="str">
        <f>IF(A532="","",IF(AND('Offset Inputs'!$B$5&gt;='Mortgage Inputs'!$B$5,'Mortgage Inputs'!$B$5&gt;0),C532,MIN(C532,MAX(0,'Mortgage Inputs'!$B$17-E532))))</f>
        <v/>
      </c>
      <c r="G532" s="2" t="str">
        <f t="shared" si="24"/>
        <v/>
      </c>
      <c r="H532" s="2" t="str">
        <f>IF(A532="","",IF(AND('Offset Inputs'!$B$5&gt;='Mortgage Inputs'!$B$5,'Mortgage Inputs'!$B$5&gt;0),'Offset Inputs'!$B$5-'Mortgage Inputs'!$B$5,D532+'Offset Inputs'!$B$6))</f>
        <v/>
      </c>
    </row>
    <row r="533" spans="1:8" ht="22" customHeight="1">
      <c r="A533" s="1" t="str">
        <f>IF(AND('Mortgage Inputs'!$B$12,527&lt;=IF('Mortgage Inputs'!$B$12,'Mortgage Inputs'!$B$7,0)*12+600,ISNUMBER(G532),G532&gt;0.005),527,"")</f>
        <v/>
      </c>
      <c r="B533" s="4" t="str">
        <f>IF(A533="","",DATE(YEAR('Mortgage Inputs'!$B$8),MONTH('Mortgage Inputs'!$B$8)+A533,DAY('Mortgage Inputs'!$B$8)))</f>
        <v/>
      </c>
      <c r="C533" s="2" t="str">
        <f t="shared" si="25"/>
        <v/>
      </c>
      <c r="D533" s="2" t="str">
        <f t="shared" si="26"/>
        <v/>
      </c>
      <c r="E533" s="2" t="str">
        <f>IF(A533="","",MAX(0,(C533-MIN(D533,C533))*'Mortgage Inputs'!$B$15))</f>
        <v/>
      </c>
      <c r="F533" s="2" t="str">
        <f>IF(A533="","",IF(AND('Offset Inputs'!$B$5&gt;='Mortgage Inputs'!$B$5,'Mortgage Inputs'!$B$5&gt;0),C533,MIN(C533,MAX(0,'Mortgage Inputs'!$B$17-E533))))</f>
        <v/>
      </c>
      <c r="G533" s="2" t="str">
        <f t="shared" si="24"/>
        <v/>
      </c>
      <c r="H533" s="2" t="str">
        <f>IF(A533="","",IF(AND('Offset Inputs'!$B$5&gt;='Mortgage Inputs'!$B$5,'Mortgage Inputs'!$B$5&gt;0),'Offset Inputs'!$B$5-'Mortgage Inputs'!$B$5,D533+'Offset Inputs'!$B$6))</f>
        <v/>
      </c>
    </row>
    <row r="534" spans="1:8" ht="22" customHeight="1">
      <c r="A534" s="1" t="str">
        <f>IF(AND('Mortgage Inputs'!$B$12,528&lt;=IF('Mortgage Inputs'!$B$12,'Mortgage Inputs'!$B$7,0)*12+600,ISNUMBER(G533),G533&gt;0.005),528,"")</f>
        <v/>
      </c>
      <c r="B534" s="4" t="str">
        <f>IF(A534="","",DATE(YEAR('Mortgage Inputs'!$B$8),MONTH('Mortgage Inputs'!$B$8)+A534,DAY('Mortgage Inputs'!$B$8)))</f>
        <v/>
      </c>
      <c r="C534" s="2" t="str">
        <f t="shared" si="25"/>
        <v/>
      </c>
      <c r="D534" s="2" t="str">
        <f t="shared" si="26"/>
        <v/>
      </c>
      <c r="E534" s="2" t="str">
        <f>IF(A534="","",MAX(0,(C534-MIN(D534,C534))*'Mortgage Inputs'!$B$15))</f>
        <v/>
      </c>
      <c r="F534" s="2" t="str">
        <f>IF(A534="","",IF(AND('Offset Inputs'!$B$5&gt;='Mortgage Inputs'!$B$5,'Mortgage Inputs'!$B$5&gt;0),C534,MIN(C534,MAX(0,'Mortgage Inputs'!$B$17-E534))))</f>
        <v/>
      </c>
      <c r="G534" s="2" t="str">
        <f t="shared" si="24"/>
        <v/>
      </c>
      <c r="H534" s="2" t="str">
        <f>IF(A534="","",IF(AND('Offset Inputs'!$B$5&gt;='Mortgage Inputs'!$B$5,'Mortgage Inputs'!$B$5&gt;0),'Offset Inputs'!$B$5-'Mortgage Inputs'!$B$5,D534+'Offset Inputs'!$B$6))</f>
        <v/>
      </c>
    </row>
    <row r="535" spans="1:8" ht="22" customHeight="1">
      <c r="A535" s="1" t="str">
        <f>IF(AND('Mortgage Inputs'!$B$12,529&lt;=IF('Mortgage Inputs'!$B$12,'Mortgage Inputs'!$B$7,0)*12+600,ISNUMBER(G534),G534&gt;0.005),529,"")</f>
        <v/>
      </c>
      <c r="B535" s="4" t="str">
        <f>IF(A535="","",DATE(YEAR('Mortgage Inputs'!$B$8),MONTH('Mortgage Inputs'!$B$8)+A535,DAY('Mortgage Inputs'!$B$8)))</f>
        <v/>
      </c>
      <c r="C535" s="2" t="str">
        <f t="shared" si="25"/>
        <v/>
      </c>
      <c r="D535" s="2" t="str">
        <f t="shared" si="26"/>
        <v/>
      </c>
      <c r="E535" s="2" t="str">
        <f>IF(A535="","",MAX(0,(C535-MIN(D535,C535))*'Mortgage Inputs'!$B$15))</f>
        <v/>
      </c>
      <c r="F535" s="2" t="str">
        <f>IF(A535="","",IF(AND('Offset Inputs'!$B$5&gt;='Mortgage Inputs'!$B$5,'Mortgage Inputs'!$B$5&gt;0),C535,MIN(C535,MAX(0,'Mortgage Inputs'!$B$17-E535))))</f>
        <v/>
      </c>
      <c r="G535" s="2" t="str">
        <f t="shared" si="24"/>
        <v/>
      </c>
      <c r="H535" s="2" t="str">
        <f>IF(A535="","",IF(AND('Offset Inputs'!$B$5&gt;='Mortgage Inputs'!$B$5,'Mortgage Inputs'!$B$5&gt;0),'Offset Inputs'!$B$5-'Mortgage Inputs'!$B$5,D535+'Offset Inputs'!$B$6))</f>
        <v/>
      </c>
    </row>
    <row r="536" spans="1:8" ht="22" customHeight="1">
      <c r="A536" s="1" t="str">
        <f>IF(AND('Mortgage Inputs'!$B$12,530&lt;=IF('Mortgage Inputs'!$B$12,'Mortgage Inputs'!$B$7,0)*12+600,ISNUMBER(G535),G535&gt;0.005),530,"")</f>
        <v/>
      </c>
      <c r="B536" s="4" t="str">
        <f>IF(A536="","",DATE(YEAR('Mortgage Inputs'!$B$8),MONTH('Mortgage Inputs'!$B$8)+A536,DAY('Mortgage Inputs'!$B$8)))</f>
        <v/>
      </c>
      <c r="C536" s="2" t="str">
        <f t="shared" si="25"/>
        <v/>
      </c>
      <c r="D536" s="2" t="str">
        <f t="shared" si="26"/>
        <v/>
      </c>
      <c r="E536" s="2" t="str">
        <f>IF(A536="","",MAX(0,(C536-MIN(D536,C536))*'Mortgage Inputs'!$B$15))</f>
        <v/>
      </c>
      <c r="F536" s="2" t="str">
        <f>IF(A536="","",IF(AND('Offset Inputs'!$B$5&gt;='Mortgage Inputs'!$B$5,'Mortgage Inputs'!$B$5&gt;0),C536,MIN(C536,MAX(0,'Mortgage Inputs'!$B$17-E536))))</f>
        <v/>
      </c>
      <c r="G536" s="2" t="str">
        <f t="shared" si="24"/>
        <v/>
      </c>
      <c r="H536" s="2" t="str">
        <f>IF(A536="","",IF(AND('Offset Inputs'!$B$5&gt;='Mortgage Inputs'!$B$5,'Mortgage Inputs'!$B$5&gt;0),'Offset Inputs'!$B$5-'Mortgage Inputs'!$B$5,D536+'Offset Inputs'!$B$6))</f>
        <v/>
      </c>
    </row>
    <row r="537" spans="1:8" ht="22" customHeight="1">
      <c r="A537" s="1" t="str">
        <f>IF(AND('Mortgage Inputs'!$B$12,531&lt;=IF('Mortgage Inputs'!$B$12,'Mortgage Inputs'!$B$7,0)*12+600,ISNUMBER(G536),G536&gt;0.005),531,"")</f>
        <v/>
      </c>
      <c r="B537" s="4" t="str">
        <f>IF(A537="","",DATE(YEAR('Mortgage Inputs'!$B$8),MONTH('Mortgage Inputs'!$B$8)+A537,DAY('Mortgage Inputs'!$B$8)))</f>
        <v/>
      </c>
      <c r="C537" s="2" t="str">
        <f t="shared" si="25"/>
        <v/>
      </c>
      <c r="D537" s="2" t="str">
        <f t="shared" si="26"/>
        <v/>
      </c>
      <c r="E537" s="2" t="str">
        <f>IF(A537="","",MAX(0,(C537-MIN(D537,C537))*'Mortgage Inputs'!$B$15))</f>
        <v/>
      </c>
      <c r="F537" s="2" t="str">
        <f>IF(A537="","",IF(AND('Offset Inputs'!$B$5&gt;='Mortgage Inputs'!$B$5,'Mortgage Inputs'!$B$5&gt;0),C537,MIN(C537,MAX(0,'Mortgage Inputs'!$B$17-E537))))</f>
        <v/>
      </c>
      <c r="G537" s="2" t="str">
        <f t="shared" si="24"/>
        <v/>
      </c>
      <c r="H537" s="2" t="str">
        <f>IF(A537="","",IF(AND('Offset Inputs'!$B$5&gt;='Mortgage Inputs'!$B$5,'Mortgage Inputs'!$B$5&gt;0),'Offset Inputs'!$B$5-'Mortgage Inputs'!$B$5,D537+'Offset Inputs'!$B$6))</f>
        <v/>
      </c>
    </row>
    <row r="538" spans="1:8" ht="22" customHeight="1">
      <c r="A538" s="1" t="str">
        <f>IF(AND('Mortgage Inputs'!$B$12,532&lt;=IF('Mortgage Inputs'!$B$12,'Mortgage Inputs'!$B$7,0)*12+600,ISNUMBER(G537),G537&gt;0.005),532,"")</f>
        <v/>
      </c>
      <c r="B538" s="4" t="str">
        <f>IF(A538="","",DATE(YEAR('Mortgage Inputs'!$B$8),MONTH('Mortgage Inputs'!$B$8)+A538,DAY('Mortgage Inputs'!$B$8)))</f>
        <v/>
      </c>
      <c r="C538" s="2" t="str">
        <f t="shared" si="25"/>
        <v/>
      </c>
      <c r="D538" s="2" t="str">
        <f t="shared" si="26"/>
        <v/>
      </c>
      <c r="E538" s="2" t="str">
        <f>IF(A538="","",MAX(0,(C538-MIN(D538,C538))*'Mortgage Inputs'!$B$15))</f>
        <v/>
      </c>
      <c r="F538" s="2" t="str">
        <f>IF(A538="","",IF(AND('Offset Inputs'!$B$5&gt;='Mortgage Inputs'!$B$5,'Mortgage Inputs'!$B$5&gt;0),C538,MIN(C538,MAX(0,'Mortgage Inputs'!$B$17-E538))))</f>
        <v/>
      </c>
      <c r="G538" s="2" t="str">
        <f t="shared" si="24"/>
        <v/>
      </c>
      <c r="H538" s="2" t="str">
        <f>IF(A538="","",IF(AND('Offset Inputs'!$B$5&gt;='Mortgage Inputs'!$B$5,'Mortgage Inputs'!$B$5&gt;0),'Offset Inputs'!$B$5-'Mortgage Inputs'!$B$5,D538+'Offset Inputs'!$B$6))</f>
        <v/>
      </c>
    </row>
    <row r="539" spans="1:8" ht="22" customHeight="1">
      <c r="A539" s="1" t="str">
        <f>IF(AND('Mortgage Inputs'!$B$12,533&lt;=IF('Mortgage Inputs'!$B$12,'Mortgage Inputs'!$B$7,0)*12+600,ISNUMBER(G538),G538&gt;0.005),533,"")</f>
        <v/>
      </c>
      <c r="B539" s="4" t="str">
        <f>IF(A539="","",DATE(YEAR('Mortgage Inputs'!$B$8),MONTH('Mortgage Inputs'!$B$8)+A539,DAY('Mortgage Inputs'!$B$8)))</f>
        <v/>
      </c>
      <c r="C539" s="2" t="str">
        <f t="shared" si="25"/>
        <v/>
      </c>
      <c r="D539" s="2" t="str">
        <f t="shared" si="26"/>
        <v/>
      </c>
      <c r="E539" s="2" t="str">
        <f>IF(A539="","",MAX(0,(C539-MIN(D539,C539))*'Mortgage Inputs'!$B$15))</f>
        <v/>
      </c>
      <c r="F539" s="2" t="str">
        <f>IF(A539="","",IF(AND('Offset Inputs'!$B$5&gt;='Mortgage Inputs'!$B$5,'Mortgage Inputs'!$B$5&gt;0),C539,MIN(C539,MAX(0,'Mortgage Inputs'!$B$17-E539))))</f>
        <v/>
      </c>
      <c r="G539" s="2" t="str">
        <f t="shared" si="24"/>
        <v/>
      </c>
      <c r="H539" s="2" t="str">
        <f>IF(A539="","",IF(AND('Offset Inputs'!$B$5&gt;='Mortgage Inputs'!$B$5,'Mortgage Inputs'!$B$5&gt;0),'Offset Inputs'!$B$5-'Mortgage Inputs'!$B$5,D539+'Offset Inputs'!$B$6))</f>
        <v/>
      </c>
    </row>
    <row r="540" spans="1:8" ht="22" customHeight="1">
      <c r="A540" s="1" t="str">
        <f>IF(AND('Mortgage Inputs'!$B$12,534&lt;=IF('Mortgage Inputs'!$B$12,'Mortgage Inputs'!$B$7,0)*12+600,ISNUMBER(G539),G539&gt;0.005),534,"")</f>
        <v/>
      </c>
      <c r="B540" s="4" t="str">
        <f>IF(A540="","",DATE(YEAR('Mortgage Inputs'!$B$8),MONTH('Mortgage Inputs'!$B$8)+A540,DAY('Mortgage Inputs'!$B$8)))</f>
        <v/>
      </c>
      <c r="C540" s="2" t="str">
        <f t="shared" si="25"/>
        <v/>
      </c>
      <c r="D540" s="2" t="str">
        <f t="shared" si="26"/>
        <v/>
      </c>
      <c r="E540" s="2" t="str">
        <f>IF(A540="","",MAX(0,(C540-MIN(D540,C540))*'Mortgage Inputs'!$B$15))</f>
        <v/>
      </c>
      <c r="F540" s="2" t="str">
        <f>IF(A540="","",IF(AND('Offset Inputs'!$B$5&gt;='Mortgage Inputs'!$B$5,'Mortgage Inputs'!$B$5&gt;0),C540,MIN(C540,MAX(0,'Mortgage Inputs'!$B$17-E540))))</f>
        <v/>
      </c>
      <c r="G540" s="2" t="str">
        <f t="shared" si="24"/>
        <v/>
      </c>
      <c r="H540" s="2" t="str">
        <f>IF(A540="","",IF(AND('Offset Inputs'!$B$5&gt;='Mortgage Inputs'!$B$5,'Mortgage Inputs'!$B$5&gt;0),'Offset Inputs'!$B$5-'Mortgage Inputs'!$B$5,D540+'Offset Inputs'!$B$6))</f>
        <v/>
      </c>
    </row>
    <row r="541" spans="1:8" ht="22" customHeight="1">
      <c r="A541" s="1" t="str">
        <f>IF(AND('Mortgage Inputs'!$B$12,535&lt;=IF('Mortgage Inputs'!$B$12,'Mortgage Inputs'!$B$7,0)*12+600,ISNUMBER(G540),G540&gt;0.005),535,"")</f>
        <v/>
      </c>
      <c r="B541" s="4" t="str">
        <f>IF(A541="","",DATE(YEAR('Mortgage Inputs'!$B$8),MONTH('Mortgage Inputs'!$B$8)+A541,DAY('Mortgage Inputs'!$B$8)))</f>
        <v/>
      </c>
      <c r="C541" s="2" t="str">
        <f t="shared" si="25"/>
        <v/>
      </c>
      <c r="D541" s="2" t="str">
        <f t="shared" si="26"/>
        <v/>
      </c>
      <c r="E541" s="2" t="str">
        <f>IF(A541="","",MAX(0,(C541-MIN(D541,C541))*'Mortgage Inputs'!$B$15))</f>
        <v/>
      </c>
      <c r="F541" s="2" t="str">
        <f>IF(A541="","",IF(AND('Offset Inputs'!$B$5&gt;='Mortgage Inputs'!$B$5,'Mortgage Inputs'!$B$5&gt;0),C541,MIN(C541,MAX(0,'Mortgage Inputs'!$B$17-E541))))</f>
        <v/>
      </c>
      <c r="G541" s="2" t="str">
        <f t="shared" si="24"/>
        <v/>
      </c>
      <c r="H541" s="2" t="str">
        <f>IF(A541="","",IF(AND('Offset Inputs'!$B$5&gt;='Mortgage Inputs'!$B$5,'Mortgage Inputs'!$B$5&gt;0),'Offset Inputs'!$B$5-'Mortgage Inputs'!$B$5,D541+'Offset Inputs'!$B$6))</f>
        <v/>
      </c>
    </row>
    <row r="542" spans="1:8" ht="22" customHeight="1">
      <c r="A542" s="1" t="str">
        <f>IF(AND('Mortgage Inputs'!$B$12,536&lt;=IF('Mortgage Inputs'!$B$12,'Mortgage Inputs'!$B$7,0)*12+600,ISNUMBER(G541),G541&gt;0.005),536,"")</f>
        <v/>
      </c>
      <c r="B542" s="4" t="str">
        <f>IF(A542="","",DATE(YEAR('Mortgage Inputs'!$B$8),MONTH('Mortgage Inputs'!$B$8)+A542,DAY('Mortgage Inputs'!$B$8)))</f>
        <v/>
      </c>
      <c r="C542" s="2" t="str">
        <f t="shared" si="25"/>
        <v/>
      </c>
      <c r="D542" s="2" t="str">
        <f t="shared" si="26"/>
        <v/>
      </c>
      <c r="E542" s="2" t="str">
        <f>IF(A542="","",MAX(0,(C542-MIN(D542,C542))*'Mortgage Inputs'!$B$15))</f>
        <v/>
      </c>
      <c r="F542" s="2" t="str">
        <f>IF(A542="","",IF(AND('Offset Inputs'!$B$5&gt;='Mortgage Inputs'!$B$5,'Mortgage Inputs'!$B$5&gt;0),C542,MIN(C542,MAX(0,'Mortgage Inputs'!$B$17-E542))))</f>
        <v/>
      </c>
      <c r="G542" s="2" t="str">
        <f t="shared" si="24"/>
        <v/>
      </c>
      <c r="H542" s="2" t="str">
        <f>IF(A542="","",IF(AND('Offset Inputs'!$B$5&gt;='Mortgage Inputs'!$B$5,'Mortgage Inputs'!$B$5&gt;0),'Offset Inputs'!$B$5-'Mortgage Inputs'!$B$5,D542+'Offset Inputs'!$B$6))</f>
        <v/>
      </c>
    </row>
    <row r="543" spans="1:8" ht="22" customHeight="1">
      <c r="A543" s="1" t="str">
        <f>IF(AND('Mortgage Inputs'!$B$12,537&lt;=IF('Mortgage Inputs'!$B$12,'Mortgage Inputs'!$B$7,0)*12+600,ISNUMBER(G542),G542&gt;0.005),537,"")</f>
        <v/>
      </c>
      <c r="B543" s="4" t="str">
        <f>IF(A543="","",DATE(YEAR('Mortgage Inputs'!$B$8),MONTH('Mortgage Inputs'!$B$8)+A543,DAY('Mortgage Inputs'!$B$8)))</f>
        <v/>
      </c>
      <c r="C543" s="2" t="str">
        <f t="shared" si="25"/>
        <v/>
      </c>
      <c r="D543" s="2" t="str">
        <f t="shared" si="26"/>
        <v/>
      </c>
      <c r="E543" s="2" t="str">
        <f>IF(A543="","",MAX(0,(C543-MIN(D543,C543))*'Mortgage Inputs'!$B$15))</f>
        <v/>
      </c>
      <c r="F543" s="2" t="str">
        <f>IF(A543="","",IF(AND('Offset Inputs'!$B$5&gt;='Mortgage Inputs'!$B$5,'Mortgage Inputs'!$B$5&gt;0),C543,MIN(C543,MAX(0,'Mortgage Inputs'!$B$17-E543))))</f>
        <v/>
      </c>
      <c r="G543" s="2" t="str">
        <f t="shared" si="24"/>
        <v/>
      </c>
      <c r="H543" s="2" t="str">
        <f>IF(A543="","",IF(AND('Offset Inputs'!$B$5&gt;='Mortgage Inputs'!$B$5,'Mortgage Inputs'!$B$5&gt;0),'Offset Inputs'!$B$5-'Mortgage Inputs'!$B$5,D543+'Offset Inputs'!$B$6))</f>
        <v/>
      </c>
    </row>
    <row r="544" spans="1:8" ht="22" customHeight="1">
      <c r="A544" s="1" t="str">
        <f>IF(AND('Mortgage Inputs'!$B$12,538&lt;=IF('Mortgage Inputs'!$B$12,'Mortgage Inputs'!$B$7,0)*12+600,ISNUMBER(G543),G543&gt;0.005),538,"")</f>
        <v/>
      </c>
      <c r="B544" s="4" t="str">
        <f>IF(A544="","",DATE(YEAR('Mortgage Inputs'!$B$8),MONTH('Mortgage Inputs'!$B$8)+A544,DAY('Mortgage Inputs'!$B$8)))</f>
        <v/>
      </c>
      <c r="C544" s="2" t="str">
        <f t="shared" si="25"/>
        <v/>
      </c>
      <c r="D544" s="2" t="str">
        <f t="shared" si="26"/>
        <v/>
      </c>
      <c r="E544" s="2" t="str">
        <f>IF(A544="","",MAX(0,(C544-MIN(D544,C544))*'Mortgage Inputs'!$B$15))</f>
        <v/>
      </c>
      <c r="F544" s="2" t="str">
        <f>IF(A544="","",IF(AND('Offset Inputs'!$B$5&gt;='Mortgage Inputs'!$B$5,'Mortgage Inputs'!$B$5&gt;0),C544,MIN(C544,MAX(0,'Mortgage Inputs'!$B$17-E544))))</f>
        <v/>
      </c>
      <c r="G544" s="2" t="str">
        <f t="shared" si="24"/>
        <v/>
      </c>
      <c r="H544" s="2" t="str">
        <f>IF(A544="","",IF(AND('Offset Inputs'!$B$5&gt;='Mortgage Inputs'!$B$5,'Mortgage Inputs'!$B$5&gt;0),'Offset Inputs'!$B$5-'Mortgage Inputs'!$B$5,D544+'Offset Inputs'!$B$6))</f>
        <v/>
      </c>
    </row>
    <row r="545" spans="1:8" ht="22" customHeight="1">
      <c r="A545" s="1" t="str">
        <f>IF(AND('Mortgage Inputs'!$B$12,539&lt;=IF('Mortgage Inputs'!$B$12,'Mortgage Inputs'!$B$7,0)*12+600,ISNUMBER(G544),G544&gt;0.005),539,"")</f>
        <v/>
      </c>
      <c r="B545" s="4" t="str">
        <f>IF(A545="","",DATE(YEAR('Mortgage Inputs'!$B$8),MONTH('Mortgage Inputs'!$B$8)+A545,DAY('Mortgage Inputs'!$B$8)))</f>
        <v/>
      </c>
      <c r="C545" s="2" t="str">
        <f t="shared" si="25"/>
        <v/>
      </c>
      <c r="D545" s="2" t="str">
        <f t="shared" si="26"/>
        <v/>
      </c>
      <c r="E545" s="2" t="str">
        <f>IF(A545="","",MAX(0,(C545-MIN(D545,C545))*'Mortgage Inputs'!$B$15))</f>
        <v/>
      </c>
      <c r="F545" s="2" t="str">
        <f>IF(A545="","",IF(AND('Offset Inputs'!$B$5&gt;='Mortgage Inputs'!$B$5,'Mortgage Inputs'!$B$5&gt;0),C545,MIN(C545,MAX(0,'Mortgage Inputs'!$B$17-E545))))</f>
        <v/>
      </c>
      <c r="G545" s="2" t="str">
        <f t="shared" si="24"/>
        <v/>
      </c>
      <c r="H545" s="2" t="str">
        <f>IF(A545="","",IF(AND('Offset Inputs'!$B$5&gt;='Mortgage Inputs'!$B$5,'Mortgage Inputs'!$B$5&gt;0),'Offset Inputs'!$B$5-'Mortgage Inputs'!$B$5,D545+'Offset Inputs'!$B$6))</f>
        <v/>
      </c>
    </row>
    <row r="546" spans="1:8" ht="22" customHeight="1">
      <c r="A546" s="1" t="str">
        <f>IF(AND('Mortgage Inputs'!$B$12,540&lt;=IF('Mortgage Inputs'!$B$12,'Mortgage Inputs'!$B$7,0)*12+600,ISNUMBER(G545),G545&gt;0.005),540,"")</f>
        <v/>
      </c>
      <c r="B546" s="4" t="str">
        <f>IF(A546="","",DATE(YEAR('Mortgage Inputs'!$B$8),MONTH('Mortgage Inputs'!$B$8)+A546,DAY('Mortgage Inputs'!$B$8)))</f>
        <v/>
      </c>
      <c r="C546" s="2" t="str">
        <f t="shared" si="25"/>
        <v/>
      </c>
      <c r="D546" s="2" t="str">
        <f t="shared" si="26"/>
        <v/>
      </c>
      <c r="E546" s="2" t="str">
        <f>IF(A546="","",MAX(0,(C546-MIN(D546,C546))*'Mortgage Inputs'!$B$15))</f>
        <v/>
      </c>
      <c r="F546" s="2" t="str">
        <f>IF(A546="","",IF(AND('Offset Inputs'!$B$5&gt;='Mortgage Inputs'!$B$5,'Mortgage Inputs'!$B$5&gt;0),C546,MIN(C546,MAX(0,'Mortgage Inputs'!$B$17-E546))))</f>
        <v/>
      </c>
      <c r="G546" s="2" t="str">
        <f t="shared" si="24"/>
        <v/>
      </c>
      <c r="H546" s="2" t="str">
        <f>IF(A546="","",IF(AND('Offset Inputs'!$B$5&gt;='Mortgage Inputs'!$B$5,'Mortgage Inputs'!$B$5&gt;0),'Offset Inputs'!$B$5-'Mortgage Inputs'!$B$5,D546+'Offset Inputs'!$B$6))</f>
        <v/>
      </c>
    </row>
    <row r="547" spans="1:8" ht="22" customHeight="1">
      <c r="A547" s="1" t="str">
        <f>IF(AND('Mortgage Inputs'!$B$12,541&lt;=IF('Mortgage Inputs'!$B$12,'Mortgage Inputs'!$B$7,0)*12+600,ISNUMBER(G546),G546&gt;0.005),541,"")</f>
        <v/>
      </c>
      <c r="B547" s="4" t="str">
        <f>IF(A547="","",DATE(YEAR('Mortgage Inputs'!$B$8),MONTH('Mortgage Inputs'!$B$8)+A547,DAY('Mortgage Inputs'!$B$8)))</f>
        <v/>
      </c>
      <c r="C547" s="2" t="str">
        <f t="shared" si="25"/>
        <v/>
      </c>
      <c r="D547" s="2" t="str">
        <f t="shared" si="26"/>
        <v/>
      </c>
      <c r="E547" s="2" t="str">
        <f>IF(A547="","",MAX(0,(C547-MIN(D547,C547))*'Mortgage Inputs'!$B$15))</f>
        <v/>
      </c>
      <c r="F547" s="2" t="str">
        <f>IF(A547="","",IF(AND('Offset Inputs'!$B$5&gt;='Mortgage Inputs'!$B$5,'Mortgage Inputs'!$B$5&gt;0),C547,MIN(C547,MAX(0,'Mortgage Inputs'!$B$17-E547))))</f>
        <v/>
      </c>
      <c r="G547" s="2" t="str">
        <f t="shared" si="24"/>
        <v/>
      </c>
      <c r="H547" s="2" t="str">
        <f>IF(A547="","",IF(AND('Offset Inputs'!$B$5&gt;='Mortgage Inputs'!$B$5,'Mortgage Inputs'!$B$5&gt;0),'Offset Inputs'!$B$5-'Mortgage Inputs'!$B$5,D547+'Offset Inputs'!$B$6))</f>
        <v/>
      </c>
    </row>
    <row r="548" spans="1:8" ht="22" customHeight="1">
      <c r="A548" s="1" t="str">
        <f>IF(AND('Mortgage Inputs'!$B$12,542&lt;=IF('Mortgage Inputs'!$B$12,'Mortgage Inputs'!$B$7,0)*12+600,ISNUMBER(G547),G547&gt;0.005),542,"")</f>
        <v/>
      </c>
      <c r="B548" s="4" t="str">
        <f>IF(A548="","",DATE(YEAR('Mortgage Inputs'!$B$8),MONTH('Mortgage Inputs'!$B$8)+A548,DAY('Mortgage Inputs'!$B$8)))</f>
        <v/>
      </c>
      <c r="C548" s="2" t="str">
        <f t="shared" si="25"/>
        <v/>
      </c>
      <c r="D548" s="2" t="str">
        <f t="shared" si="26"/>
        <v/>
      </c>
      <c r="E548" s="2" t="str">
        <f>IF(A548="","",MAX(0,(C548-MIN(D548,C548))*'Mortgage Inputs'!$B$15))</f>
        <v/>
      </c>
      <c r="F548" s="2" t="str">
        <f>IF(A548="","",IF(AND('Offset Inputs'!$B$5&gt;='Mortgage Inputs'!$B$5,'Mortgage Inputs'!$B$5&gt;0),C548,MIN(C548,MAX(0,'Mortgage Inputs'!$B$17-E548))))</f>
        <v/>
      </c>
      <c r="G548" s="2" t="str">
        <f t="shared" si="24"/>
        <v/>
      </c>
      <c r="H548" s="2" t="str">
        <f>IF(A548="","",IF(AND('Offset Inputs'!$B$5&gt;='Mortgage Inputs'!$B$5,'Mortgage Inputs'!$B$5&gt;0),'Offset Inputs'!$B$5-'Mortgage Inputs'!$B$5,D548+'Offset Inputs'!$B$6))</f>
        <v/>
      </c>
    </row>
    <row r="549" spans="1:8" ht="22" customHeight="1">
      <c r="A549" s="1" t="str">
        <f>IF(AND('Mortgage Inputs'!$B$12,543&lt;=IF('Mortgage Inputs'!$B$12,'Mortgage Inputs'!$B$7,0)*12+600,ISNUMBER(G548),G548&gt;0.005),543,"")</f>
        <v/>
      </c>
      <c r="B549" s="4" t="str">
        <f>IF(A549="","",DATE(YEAR('Mortgage Inputs'!$B$8),MONTH('Mortgage Inputs'!$B$8)+A549,DAY('Mortgage Inputs'!$B$8)))</f>
        <v/>
      </c>
      <c r="C549" s="2" t="str">
        <f t="shared" si="25"/>
        <v/>
      </c>
      <c r="D549" s="2" t="str">
        <f t="shared" si="26"/>
        <v/>
      </c>
      <c r="E549" s="2" t="str">
        <f>IF(A549="","",MAX(0,(C549-MIN(D549,C549))*'Mortgage Inputs'!$B$15))</f>
        <v/>
      </c>
      <c r="F549" s="2" t="str">
        <f>IF(A549="","",IF(AND('Offset Inputs'!$B$5&gt;='Mortgage Inputs'!$B$5,'Mortgage Inputs'!$B$5&gt;0),C549,MIN(C549,MAX(0,'Mortgage Inputs'!$B$17-E549))))</f>
        <v/>
      </c>
      <c r="G549" s="2" t="str">
        <f t="shared" si="24"/>
        <v/>
      </c>
      <c r="H549" s="2" t="str">
        <f>IF(A549="","",IF(AND('Offset Inputs'!$B$5&gt;='Mortgage Inputs'!$B$5,'Mortgage Inputs'!$B$5&gt;0),'Offset Inputs'!$B$5-'Mortgage Inputs'!$B$5,D549+'Offset Inputs'!$B$6))</f>
        <v/>
      </c>
    </row>
    <row r="550" spans="1:8" ht="22" customHeight="1">
      <c r="A550" s="1" t="str">
        <f>IF(AND('Mortgage Inputs'!$B$12,544&lt;=IF('Mortgage Inputs'!$B$12,'Mortgage Inputs'!$B$7,0)*12+600,ISNUMBER(G549),G549&gt;0.005),544,"")</f>
        <v/>
      </c>
      <c r="B550" s="4" t="str">
        <f>IF(A550="","",DATE(YEAR('Mortgage Inputs'!$B$8),MONTH('Mortgage Inputs'!$B$8)+A550,DAY('Mortgage Inputs'!$B$8)))</f>
        <v/>
      </c>
      <c r="C550" s="2" t="str">
        <f t="shared" si="25"/>
        <v/>
      </c>
      <c r="D550" s="2" t="str">
        <f t="shared" si="26"/>
        <v/>
      </c>
      <c r="E550" s="2" t="str">
        <f>IF(A550="","",MAX(0,(C550-MIN(D550,C550))*'Mortgage Inputs'!$B$15))</f>
        <v/>
      </c>
      <c r="F550" s="2" t="str">
        <f>IF(A550="","",IF(AND('Offset Inputs'!$B$5&gt;='Mortgage Inputs'!$B$5,'Mortgage Inputs'!$B$5&gt;0),C550,MIN(C550,MAX(0,'Mortgage Inputs'!$B$17-E550))))</f>
        <v/>
      </c>
      <c r="G550" s="2" t="str">
        <f t="shared" si="24"/>
        <v/>
      </c>
      <c r="H550" s="2" t="str">
        <f>IF(A550="","",IF(AND('Offset Inputs'!$B$5&gt;='Mortgage Inputs'!$B$5,'Mortgage Inputs'!$B$5&gt;0),'Offset Inputs'!$B$5-'Mortgage Inputs'!$B$5,D550+'Offset Inputs'!$B$6))</f>
        <v/>
      </c>
    </row>
    <row r="551" spans="1:8" ht="22" customHeight="1">
      <c r="A551" s="1" t="str">
        <f>IF(AND('Mortgage Inputs'!$B$12,545&lt;=IF('Mortgage Inputs'!$B$12,'Mortgage Inputs'!$B$7,0)*12+600,ISNUMBER(G550),G550&gt;0.005),545,"")</f>
        <v/>
      </c>
      <c r="B551" s="4" t="str">
        <f>IF(A551="","",DATE(YEAR('Mortgage Inputs'!$B$8),MONTH('Mortgage Inputs'!$B$8)+A551,DAY('Mortgage Inputs'!$B$8)))</f>
        <v/>
      </c>
      <c r="C551" s="2" t="str">
        <f t="shared" si="25"/>
        <v/>
      </c>
      <c r="D551" s="2" t="str">
        <f t="shared" si="26"/>
        <v/>
      </c>
      <c r="E551" s="2" t="str">
        <f>IF(A551="","",MAX(0,(C551-MIN(D551,C551))*'Mortgage Inputs'!$B$15))</f>
        <v/>
      </c>
      <c r="F551" s="2" t="str">
        <f>IF(A551="","",IF(AND('Offset Inputs'!$B$5&gt;='Mortgage Inputs'!$B$5,'Mortgage Inputs'!$B$5&gt;0),C551,MIN(C551,MAX(0,'Mortgage Inputs'!$B$17-E551))))</f>
        <v/>
      </c>
      <c r="G551" s="2" t="str">
        <f t="shared" si="24"/>
        <v/>
      </c>
      <c r="H551" s="2" t="str">
        <f>IF(A551="","",IF(AND('Offset Inputs'!$B$5&gt;='Mortgage Inputs'!$B$5,'Mortgage Inputs'!$B$5&gt;0),'Offset Inputs'!$B$5-'Mortgage Inputs'!$B$5,D551+'Offset Inputs'!$B$6))</f>
        <v/>
      </c>
    </row>
    <row r="552" spans="1:8" ht="22" customHeight="1">
      <c r="A552" s="1" t="str">
        <f>IF(AND('Mortgage Inputs'!$B$12,546&lt;=IF('Mortgage Inputs'!$B$12,'Mortgage Inputs'!$B$7,0)*12+600,ISNUMBER(G551),G551&gt;0.005),546,"")</f>
        <v/>
      </c>
      <c r="B552" s="4" t="str">
        <f>IF(A552="","",DATE(YEAR('Mortgage Inputs'!$B$8),MONTH('Mortgage Inputs'!$B$8)+A552,DAY('Mortgage Inputs'!$B$8)))</f>
        <v/>
      </c>
      <c r="C552" s="2" t="str">
        <f t="shared" si="25"/>
        <v/>
      </c>
      <c r="D552" s="2" t="str">
        <f t="shared" si="26"/>
        <v/>
      </c>
      <c r="E552" s="2" t="str">
        <f>IF(A552="","",MAX(0,(C552-MIN(D552,C552))*'Mortgage Inputs'!$B$15))</f>
        <v/>
      </c>
      <c r="F552" s="2" t="str">
        <f>IF(A552="","",IF(AND('Offset Inputs'!$B$5&gt;='Mortgage Inputs'!$B$5,'Mortgage Inputs'!$B$5&gt;0),C552,MIN(C552,MAX(0,'Mortgage Inputs'!$B$17-E552))))</f>
        <v/>
      </c>
      <c r="G552" s="2" t="str">
        <f t="shared" si="24"/>
        <v/>
      </c>
      <c r="H552" s="2" t="str">
        <f>IF(A552="","",IF(AND('Offset Inputs'!$B$5&gt;='Mortgage Inputs'!$B$5,'Mortgage Inputs'!$B$5&gt;0),'Offset Inputs'!$B$5-'Mortgage Inputs'!$B$5,D552+'Offset Inputs'!$B$6))</f>
        <v/>
      </c>
    </row>
    <row r="553" spans="1:8" ht="22" customHeight="1">
      <c r="A553" s="1" t="str">
        <f>IF(AND('Mortgage Inputs'!$B$12,547&lt;=IF('Mortgage Inputs'!$B$12,'Mortgage Inputs'!$B$7,0)*12+600,ISNUMBER(G552),G552&gt;0.005),547,"")</f>
        <v/>
      </c>
      <c r="B553" s="4" t="str">
        <f>IF(A553="","",DATE(YEAR('Mortgage Inputs'!$B$8),MONTH('Mortgage Inputs'!$B$8)+A553,DAY('Mortgage Inputs'!$B$8)))</f>
        <v/>
      </c>
      <c r="C553" s="2" t="str">
        <f t="shared" si="25"/>
        <v/>
      </c>
      <c r="D553" s="2" t="str">
        <f t="shared" si="26"/>
        <v/>
      </c>
      <c r="E553" s="2" t="str">
        <f>IF(A553="","",MAX(0,(C553-MIN(D553,C553))*'Mortgage Inputs'!$B$15))</f>
        <v/>
      </c>
      <c r="F553" s="2" t="str">
        <f>IF(A553="","",IF(AND('Offset Inputs'!$B$5&gt;='Mortgage Inputs'!$B$5,'Mortgage Inputs'!$B$5&gt;0),C553,MIN(C553,MAX(0,'Mortgage Inputs'!$B$17-E553))))</f>
        <v/>
      </c>
      <c r="G553" s="2" t="str">
        <f t="shared" si="24"/>
        <v/>
      </c>
      <c r="H553" s="2" t="str">
        <f>IF(A553="","",IF(AND('Offset Inputs'!$B$5&gt;='Mortgage Inputs'!$B$5,'Mortgage Inputs'!$B$5&gt;0),'Offset Inputs'!$B$5-'Mortgage Inputs'!$B$5,D553+'Offset Inputs'!$B$6))</f>
        <v/>
      </c>
    </row>
    <row r="554" spans="1:8" ht="22" customHeight="1">
      <c r="A554" s="1" t="str">
        <f>IF(AND('Mortgage Inputs'!$B$12,548&lt;=IF('Mortgage Inputs'!$B$12,'Mortgage Inputs'!$B$7,0)*12+600,ISNUMBER(G553),G553&gt;0.005),548,"")</f>
        <v/>
      </c>
      <c r="B554" s="4" t="str">
        <f>IF(A554="","",DATE(YEAR('Mortgage Inputs'!$B$8),MONTH('Mortgage Inputs'!$B$8)+A554,DAY('Mortgage Inputs'!$B$8)))</f>
        <v/>
      </c>
      <c r="C554" s="2" t="str">
        <f t="shared" si="25"/>
        <v/>
      </c>
      <c r="D554" s="2" t="str">
        <f t="shared" si="26"/>
        <v/>
      </c>
      <c r="E554" s="2" t="str">
        <f>IF(A554="","",MAX(0,(C554-MIN(D554,C554))*'Mortgage Inputs'!$B$15))</f>
        <v/>
      </c>
      <c r="F554" s="2" t="str">
        <f>IF(A554="","",IF(AND('Offset Inputs'!$B$5&gt;='Mortgage Inputs'!$B$5,'Mortgage Inputs'!$B$5&gt;0),C554,MIN(C554,MAX(0,'Mortgage Inputs'!$B$17-E554))))</f>
        <v/>
      </c>
      <c r="G554" s="2" t="str">
        <f t="shared" si="24"/>
        <v/>
      </c>
      <c r="H554" s="2" t="str">
        <f>IF(A554="","",IF(AND('Offset Inputs'!$B$5&gt;='Mortgage Inputs'!$B$5,'Mortgage Inputs'!$B$5&gt;0),'Offset Inputs'!$B$5-'Mortgage Inputs'!$B$5,D554+'Offset Inputs'!$B$6))</f>
        <v/>
      </c>
    </row>
    <row r="555" spans="1:8" ht="22" customHeight="1">
      <c r="A555" s="1" t="str">
        <f>IF(AND('Mortgage Inputs'!$B$12,549&lt;=IF('Mortgage Inputs'!$B$12,'Mortgage Inputs'!$B$7,0)*12+600,ISNUMBER(G554),G554&gt;0.005),549,"")</f>
        <v/>
      </c>
      <c r="B555" s="4" t="str">
        <f>IF(A555="","",DATE(YEAR('Mortgage Inputs'!$B$8),MONTH('Mortgage Inputs'!$B$8)+A555,DAY('Mortgage Inputs'!$B$8)))</f>
        <v/>
      </c>
      <c r="C555" s="2" t="str">
        <f t="shared" si="25"/>
        <v/>
      </c>
      <c r="D555" s="2" t="str">
        <f t="shared" si="26"/>
        <v/>
      </c>
      <c r="E555" s="2" t="str">
        <f>IF(A555="","",MAX(0,(C555-MIN(D555,C555))*'Mortgage Inputs'!$B$15))</f>
        <v/>
      </c>
      <c r="F555" s="2" t="str">
        <f>IF(A555="","",IF(AND('Offset Inputs'!$B$5&gt;='Mortgage Inputs'!$B$5,'Mortgage Inputs'!$B$5&gt;0),C555,MIN(C555,MAX(0,'Mortgage Inputs'!$B$17-E555))))</f>
        <v/>
      </c>
      <c r="G555" s="2" t="str">
        <f t="shared" si="24"/>
        <v/>
      </c>
      <c r="H555" s="2" t="str">
        <f>IF(A555="","",IF(AND('Offset Inputs'!$B$5&gt;='Mortgage Inputs'!$B$5,'Mortgage Inputs'!$B$5&gt;0),'Offset Inputs'!$B$5-'Mortgage Inputs'!$B$5,D555+'Offset Inputs'!$B$6))</f>
        <v/>
      </c>
    </row>
    <row r="556" spans="1:8" ht="22" customHeight="1">
      <c r="A556" s="1" t="str">
        <f>IF(AND('Mortgage Inputs'!$B$12,550&lt;=IF('Mortgage Inputs'!$B$12,'Mortgage Inputs'!$B$7,0)*12+600,ISNUMBER(G555),G555&gt;0.005),550,"")</f>
        <v/>
      </c>
      <c r="B556" s="4" t="str">
        <f>IF(A556="","",DATE(YEAR('Mortgage Inputs'!$B$8),MONTH('Mortgage Inputs'!$B$8)+A556,DAY('Mortgage Inputs'!$B$8)))</f>
        <v/>
      </c>
      <c r="C556" s="2" t="str">
        <f t="shared" si="25"/>
        <v/>
      </c>
      <c r="D556" s="2" t="str">
        <f t="shared" si="26"/>
        <v/>
      </c>
      <c r="E556" s="2" t="str">
        <f>IF(A556="","",MAX(0,(C556-MIN(D556,C556))*'Mortgage Inputs'!$B$15))</f>
        <v/>
      </c>
      <c r="F556" s="2" t="str">
        <f>IF(A556="","",IF(AND('Offset Inputs'!$B$5&gt;='Mortgage Inputs'!$B$5,'Mortgage Inputs'!$B$5&gt;0),C556,MIN(C556,MAX(0,'Mortgage Inputs'!$B$17-E556))))</f>
        <v/>
      </c>
      <c r="G556" s="2" t="str">
        <f t="shared" si="24"/>
        <v/>
      </c>
      <c r="H556" s="2" t="str">
        <f>IF(A556="","",IF(AND('Offset Inputs'!$B$5&gt;='Mortgage Inputs'!$B$5,'Mortgage Inputs'!$B$5&gt;0),'Offset Inputs'!$B$5-'Mortgage Inputs'!$B$5,D556+'Offset Inputs'!$B$6))</f>
        <v/>
      </c>
    </row>
    <row r="557" spans="1:8" ht="22" customHeight="1">
      <c r="A557" s="1" t="str">
        <f>IF(AND('Mortgage Inputs'!$B$12,551&lt;=IF('Mortgage Inputs'!$B$12,'Mortgage Inputs'!$B$7,0)*12+600,ISNUMBER(G556),G556&gt;0.005),551,"")</f>
        <v/>
      </c>
      <c r="B557" s="4" t="str">
        <f>IF(A557="","",DATE(YEAR('Mortgage Inputs'!$B$8),MONTH('Mortgage Inputs'!$B$8)+A557,DAY('Mortgage Inputs'!$B$8)))</f>
        <v/>
      </c>
      <c r="C557" s="2" t="str">
        <f t="shared" si="25"/>
        <v/>
      </c>
      <c r="D557" s="2" t="str">
        <f t="shared" si="26"/>
        <v/>
      </c>
      <c r="E557" s="2" t="str">
        <f>IF(A557="","",MAX(0,(C557-MIN(D557,C557))*'Mortgage Inputs'!$B$15))</f>
        <v/>
      </c>
      <c r="F557" s="2" t="str">
        <f>IF(A557="","",IF(AND('Offset Inputs'!$B$5&gt;='Mortgage Inputs'!$B$5,'Mortgage Inputs'!$B$5&gt;0),C557,MIN(C557,MAX(0,'Mortgage Inputs'!$B$17-E557))))</f>
        <v/>
      </c>
      <c r="G557" s="2" t="str">
        <f t="shared" si="24"/>
        <v/>
      </c>
      <c r="H557" s="2" t="str">
        <f>IF(A557="","",IF(AND('Offset Inputs'!$B$5&gt;='Mortgage Inputs'!$B$5,'Mortgage Inputs'!$B$5&gt;0),'Offset Inputs'!$B$5-'Mortgage Inputs'!$B$5,D557+'Offset Inputs'!$B$6))</f>
        <v/>
      </c>
    </row>
    <row r="558" spans="1:8" ht="22" customHeight="1">
      <c r="A558" s="1" t="str">
        <f>IF(AND('Mortgage Inputs'!$B$12,552&lt;=IF('Mortgage Inputs'!$B$12,'Mortgage Inputs'!$B$7,0)*12+600,ISNUMBER(G557),G557&gt;0.005),552,"")</f>
        <v/>
      </c>
      <c r="B558" s="4" t="str">
        <f>IF(A558="","",DATE(YEAR('Mortgage Inputs'!$B$8),MONTH('Mortgage Inputs'!$B$8)+A558,DAY('Mortgage Inputs'!$B$8)))</f>
        <v/>
      </c>
      <c r="C558" s="2" t="str">
        <f t="shared" si="25"/>
        <v/>
      </c>
      <c r="D558" s="2" t="str">
        <f t="shared" si="26"/>
        <v/>
      </c>
      <c r="E558" s="2" t="str">
        <f>IF(A558="","",MAX(0,(C558-MIN(D558,C558))*'Mortgage Inputs'!$B$15))</f>
        <v/>
      </c>
      <c r="F558" s="2" t="str">
        <f>IF(A558="","",IF(AND('Offset Inputs'!$B$5&gt;='Mortgage Inputs'!$B$5,'Mortgage Inputs'!$B$5&gt;0),C558,MIN(C558,MAX(0,'Mortgage Inputs'!$B$17-E558))))</f>
        <v/>
      </c>
      <c r="G558" s="2" t="str">
        <f t="shared" si="24"/>
        <v/>
      </c>
      <c r="H558" s="2" t="str">
        <f>IF(A558="","",IF(AND('Offset Inputs'!$B$5&gt;='Mortgage Inputs'!$B$5,'Mortgage Inputs'!$B$5&gt;0),'Offset Inputs'!$B$5-'Mortgage Inputs'!$B$5,D558+'Offset Inputs'!$B$6))</f>
        <v/>
      </c>
    </row>
    <row r="559" spans="1:8" ht="22" customHeight="1">
      <c r="A559" s="1" t="str">
        <f>IF(AND('Mortgage Inputs'!$B$12,553&lt;=IF('Mortgage Inputs'!$B$12,'Mortgage Inputs'!$B$7,0)*12+600,ISNUMBER(G558),G558&gt;0.005),553,"")</f>
        <v/>
      </c>
      <c r="B559" s="4" t="str">
        <f>IF(A559="","",DATE(YEAR('Mortgage Inputs'!$B$8),MONTH('Mortgage Inputs'!$B$8)+A559,DAY('Mortgage Inputs'!$B$8)))</f>
        <v/>
      </c>
      <c r="C559" s="2" t="str">
        <f t="shared" si="25"/>
        <v/>
      </c>
      <c r="D559" s="2" t="str">
        <f t="shared" si="26"/>
        <v/>
      </c>
      <c r="E559" s="2" t="str">
        <f>IF(A559="","",MAX(0,(C559-MIN(D559,C559))*'Mortgage Inputs'!$B$15))</f>
        <v/>
      </c>
      <c r="F559" s="2" t="str">
        <f>IF(A559="","",IF(AND('Offset Inputs'!$B$5&gt;='Mortgage Inputs'!$B$5,'Mortgage Inputs'!$B$5&gt;0),C559,MIN(C559,MAX(0,'Mortgage Inputs'!$B$17-E559))))</f>
        <v/>
      </c>
      <c r="G559" s="2" t="str">
        <f t="shared" si="24"/>
        <v/>
      </c>
      <c r="H559" s="2" t="str">
        <f>IF(A559="","",IF(AND('Offset Inputs'!$B$5&gt;='Mortgage Inputs'!$B$5,'Mortgage Inputs'!$B$5&gt;0),'Offset Inputs'!$B$5-'Mortgage Inputs'!$B$5,D559+'Offset Inputs'!$B$6))</f>
        <v/>
      </c>
    </row>
    <row r="560" spans="1:8" ht="22" customHeight="1">
      <c r="A560" s="1" t="str">
        <f>IF(AND('Mortgage Inputs'!$B$12,554&lt;=IF('Mortgage Inputs'!$B$12,'Mortgage Inputs'!$B$7,0)*12+600,ISNUMBER(G559),G559&gt;0.005),554,"")</f>
        <v/>
      </c>
      <c r="B560" s="4" t="str">
        <f>IF(A560="","",DATE(YEAR('Mortgage Inputs'!$B$8),MONTH('Mortgage Inputs'!$B$8)+A560,DAY('Mortgage Inputs'!$B$8)))</f>
        <v/>
      </c>
      <c r="C560" s="2" t="str">
        <f t="shared" si="25"/>
        <v/>
      </c>
      <c r="D560" s="2" t="str">
        <f t="shared" si="26"/>
        <v/>
      </c>
      <c r="E560" s="2" t="str">
        <f>IF(A560="","",MAX(0,(C560-MIN(D560,C560))*'Mortgage Inputs'!$B$15))</f>
        <v/>
      </c>
      <c r="F560" s="2" t="str">
        <f>IF(A560="","",IF(AND('Offset Inputs'!$B$5&gt;='Mortgage Inputs'!$B$5,'Mortgage Inputs'!$B$5&gt;0),C560,MIN(C560,MAX(0,'Mortgage Inputs'!$B$17-E560))))</f>
        <v/>
      </c>
      <c r="G560" s="2" t="str">
        <f t="shared" si="24"/>
        <v/>
      </c>
      <c r="H560" s="2" t="str">
        <f>IF(A560="","",IF(AND('Offset Inputs'!$B$5&gt;='Mortgage Inputs'!$B$5,'Mortgage Inputs'!$B$5&gt;0),'Offset Inputs'!$B$5-'Mortgage Inputs'!$B$5,D560+'Offset Inputs'!$B$6))</f>
        <v/>
      </c>
    </row>
    <row r="561" spans="1:8" ht="22" customHeight="1">
      <c r="A561" s="1" t="str">
        <f>IF(AND('Mortgage Inputs'!$B$12,555&lt;=IF('Mortgage Inputs'!$B$12,'Mortgage Inputs'!$B$7,0)*12+600,ISNUMBER(G560),G560&gt;0.005),555,"")</f>
        <v/>
      </c>
      <c r="B561" s="4" t="str">
        <f>IF(A561="","",DATE(YEAR('Mortgage Inputs'!$B$8),MONTH('Mortgage Inputs'!$B$8)+A561,DAY('Mortgage Inputs'!$B$8)))</f>
        <v/>
      </c>
      <c r="C561" s="2" t="str">
        <f t="shared" si="25"/>
        <v/>
      </c>
      <c r="D561" s="2" t="str">
        <f t="shared" si="26"/>
        <v/>
      </c>
      <c r="E561" s="2" t="str">
        <f>IF(A561="","",MAX(0,(C561-MIN(D561,C561))*'Mortgage Inputs'!$B$15))</f>
        <v/>
      </c>
      <c r="F561" s="2" t="str">
        <f>IF(A561="","",IF(AND('Offset Inputs'!$B$5&gt;='Mortgage Inputs'!$B$5,'Mortgage Inputs'!$B$5&gt;0),C561,MIN(C561,MAX(0,'Mortgage Inputs'!$B$17-E561))))</f>
        <v/>
      </c>
      <c r="G561" s="2" t="str">
        <f t="shared" si="24"/>
        <v/>
      </c>
      <c r="H561" s="2" t="str">
        <f>IF(A561="","",IF(AND('Offset Inputs'!$B$5&gt;='Mortgage Inputs'!$B$5,'Mortgage Inputs'!$B$5&gt;0),'Offset Inputs'!$B$5-'Mortgage Inputs'!$B$5,D561+'Offset Inputs'!$B$6))</f>
        <v/>
      </c>
    </row>
    <row r="562" spans="1:8" ht="22" customHeight="1">
      <c r="A562" s="1" t="str">
        <f>IF(AND('Mortgage Inputs'!$B$12,556&lt;=IF('Mortgage Inputs'!$B$12,'Mortgage Inputs'!$B$7,0)*12+600,ISNUMBER(G561),G561&gt;0.005),556,"")</f>
        <v/>
      </c>
      <c r="B562" s="4" t="str">
        <f>IF(A562="","",DATE(YEAR('Mortgage Inputs'!$B$8),MONTH('Mortgage Inputs'!$B$8)+A562,DAY('Mortgage Inputs'!$B$8)))</f>
        <v/>
      </c>
      <c r="C562" s="2" t="str">
        <f t="shared" si="25"/>
        <v/>
      </c>
      <c r="D562" s="2" t="str">
        <f t="shared" si="26"/>
        <v/>
      </c>
      <c r="E562" s="2" t="str">
        <f>IF(A562="","",MAX(0,(C562-MIN(D562,C562))*'Mortgage Inputs'!$B$15))</f>
        <v/>
      </c>
      <c r="F562" s="2" t="str">
        <f>IF(A562="","",IF(AND('Offset Inputs'!$B$5&gt;='Mortgage Inputs'!$B$5,'Mortgage Inputs'!$B$5&gt;0),C562,MIN(C562,MAX(0,'Mortgage Inputs'!$B$17-E562))))</f>
        <v/>
      </c>
      <c r="G562" s="2" t="str">
        <f t="shared" si="24"/>
        <v/>
      </c>
      <c r="H562" s="2" t="str">
        <f>IF(A562="","",IF(AND('Offset Inputs'!$B$5&gt;='Mortgage Inputs'!$B$5,'Mortgage Inputs'!$B$5&gt;0),'Offset Inputs'!$B$5-'Mortgage Inputs'!$B$5,D562+'Offset Inputs'!$B$6))</f>
        <v/>
      </c>
    </row>
    <row r="563" spans="1:8" ht="22" customHeight="1">
      <c r="A563" s="1" t="str">
        <f>IF(AND('Mortgage Inputs'!$B$12,557&lt;=IF('Mortgage Inputs'!$B$12,'Mortgage Inputs'!$B$7,0)*12+600,ISNUMBER(G562),G562&gt;0.005),557,"")</f>
        <v/>
      </c>
      <c r="B563" s="4" t="str">
        <f>IF(A563="","",DATE(YEAR('Mortgage Inputs'!$B$8),MONTH('Mortgage Inputs'!$B$8)+A563,DAY('Mortgage Inputs'!$B$8)))</f>
        <v/>
      </c>
      <c r="C563" s="2" t="str">
        <f t="shared" si="25"/>
        <v/>
      </c>
      <c r="D563" s="2" t="str">
        <f t="shared" si="26"/>
        <v/>
      </c>
      <c r="E563" s="2" t="str">
        <f>IF(A563="","",MAX(0,(C563-MIN(D563,C563))*'Mortgage Inputs'!$B$15))</f>
        <v/>
      </c>
      <c r="F563" s="2" t="str">
        <f>IF(A563="","",IF(AND('Offset Inputs'!$B$5&gt;='Mortgage Inputs'!$B$5,'Mortgage Inputs'!$B$5&gt;0),C563,MIN(C563,MAX(0,'Mortgage Inputs'!$B$17-E563))))</f>
        <v/>
      </c>
      <c r="G563" s="2" t="str">
        <f t="shared" si="24"/>
        <v/>
      </c>
      <c r="H563" s="2" t="str">
        <f>IF(A563="","",IF(AND('Offset Inputs'!$B$5&gt;='Mortgage Inputs'!$B$5,'Mortgage Inputs'!$B$5&gt;0),'Offset Inputs'!$B$5-'Mortgage Inputs'!$B$5,D563+'Offset Inputs'!$B$6))</f>
        <v/>
      </c>
    </row>
    <row r="564" spans="1:8" ht="22" customHeight="1">
      <c r="A564" s="1" t="str">
        <f>IF(AND('Mortgage Inputs'!$B$12,558&lt;=IF('Mortgage Inputs'!$B$12,'Mortgage Inputs'!$B$7,0)*12+600,ISNUMBER(G563),G563&gt;0.005),558,"")</f>
        <v/>
      </c>
      <c r="B564" s="4" t="str">
        <f>IF(A564="","",DATE(YEAR('Mortgage Inputs'!$B$8),MONTH('Mortgage Inputs'!$B$8)+A564,DAY('Mortgage Inputs'!$B$8)))</f>
        <v/>
      </c>
      <c r="C564" s="2" t="str">
        <f t="shared" si="25"/>
        <v/>
      </c>
      <c r="D564" s="2" t="str">
        <f t="shared" si="26"/>
        <v/>
      </c>
      <c r="E564" s="2" t="str">
        <f>IF(A564="","",MAX(0,(C564-MIN(D564,C564))*'Mortgage Inputs'!$B$15))</f>
        <v/>
      </c>
      <c r="F564" s="2" t="str">
        <f>IF(A564="","",IF(AND('Offset Inputs'!$B$5&gt;='Mortgage Inputs'!$B$5,'Mortgage Inputs'!$B$5&gt;0),C564,MIN(C564,MAX(0,'Mortgage Inputs'!$B$17-E564))))</f>
        <v/>
      </c>
      <c r="G564" s="2" t="str">
        <f t="shared" si="24"/>
        <v/>
      </c>
      <c r="H564" s="2" t="str">
        <f>IF(A564="","",IF(AND('Offset Inputs'!$B$5&gt;='Mortgage Inputs'!$B$5,'Mortgage Inputs'!$B$5&gt;0),'Offset Inputs'!$B$5-'Mortgage Inputs'!$B$5,D564+'Offset Inputs'!$B$6))</f>
        <v/>
      </c>
    </row>
    <row r="565" spans="1:8" ht="22" customHeight="1">
      <c r="A565" s="1" t="str">
        <f>IF(AND('Mortgage Inputs'!$B$12,559&lt;=IF('Mortgage Inputs'!$B$12,'Mortgage Inputs'!$B$7,0)*12+600,ISNUMBER(G564),G564&gt;0.005),559,"")</f>
        <v/>
      </c>
      <c r="B565" s="4" t="str">
        <f>IF(A565="","",DATE(YEAR('Mortgage Inputs'!$B$8),MONTH('Mortgage Inputs'!$B$8)+A565,DAY('Mortgage Inputs'!$B$8)))</f>
        <v/>
      </c>
      <c r="C565" s="2" t="str">
        <f t="shared" si="25"/>
        <v/>
      </c>
      <c r="D565" s="2" t="str">
        <f t="shared" si="26"/>
        <v/>
      </c>
      <c r="E565" s="2" t="str">
        <f>IF(A565="","",MAX(0,(C565-MIN(D565,C565))*'Mortgage Inputs'!$B$15))</f>
        <v/>
      </c>
      <c r="F565" s="2" t="str">
        <f>IF(A565="","",IF(AND('Offset Inputs'!$B$5&gt;='Mortgage Inputs'!$B$5,'Mortgage Inputs'!$B$5&gt;0),C565,MIN(C565,MAX(0,'Mortgage Inputs'!$B$17-E565))))</f>
        <v/>
      </c>
      <c r="G565" s="2" t="str">
        <f t="shared" si="24"/>
        <v/>
      </c>
      <c r="H565" s="2" t="str">
        <f>IF(A565="","",IF(AND('Offset Inputs'!$B$5&gt;='Mortgage Inputs'!$B$5,'Mortgage Inputs'!$B$5&gt;0),'Offset Inputs'!$B$5-'Mortgage Inputs'!$B$5,D565+'Offset Inputs'!$B$6))</f>
        <v/>
      </c>
    </row>
    <row r="566" spans="1:8" ht="22" customHeight="1">
      <c r="A566" s="1" t="str">
        <f>IF(AND('Mortgage Inputs'!$B$12,560&lt;=IF('Mortgage Inputs'!$B$12,'Mortgage Inputs'!$B$7,0)*12+600,ISNUMBER(G565),G565&gt;0.005),560,"")</f>
        <v/>
      </c>
      <c r="B566" s="4" t="str">
        <f>IF(A566="","",DATE(YEAR('Mortgage Inputs'!$B$8),MONTH('Mortgage Inputs'!$B$8)+A566,DAY('Mortgage Inputs'!$B$8)))</f>
        <v/>
      </c>
      <c r="C566" s="2" t="str">
        <f t="shared" si="25"/>
        <v/>
      </c>
      <c r="D566" s="2" t="str">
        <f t="shared" si="26"/>
        <v/>
      </c>
      <c r="E566" s="2" t="str">
        <f>IF(A566="","",MAX(0,(C566-MIN(D566,C566))*'Mortgage Inputs'!$B$15))</f>
        <v/>
      </c>
      <c r="F566" s="2" t="str">
        <f>IF(A566="","",IF(AND('Offset Inputs'!$B$5&gt;='Mortgage Inputs'!$B$5,'Mortgage Inputs'!$B$5&gt;0),C566,MIN(C566,MAX(0,'Mortgage Inputs'!$B$17-E566))))</f>
        <v/>
      </c>
      <c r="G566" s="2" t="str">
        <f t="shared" si="24"/>
        <v/>
      </c>
      <c r="H566" s="2" t="str">
        <f>IF(A566="","",IF(AND('Offset Inputs'!$B$5&gt;='Mortgage Inputs'!$B$5,'Mortgage Inputs'!$B$5&gt;0),'Offset Inputs'!$B$5-'Mortgage Inputs'!$B$5,D566+'Offset Inputs'!$B$6))</f>
        <v/>
      </c>
    </row>
    <row r="567" spans="1:8" ht="22" customHeight="1">
      <c r="A567" s="1" t="str">
        <f>IF(AND('Mortgage Inputs'!$B$12,561&lt;=IF('Mortgage Inputs'!$B$12,'Mortgage Inputs'!$B$7,0)*12+600,ISNUMBER(G566),G566&gt;0.005),561,"")</f>
        <v/>
      </c>
      <c r="B567" s="4" t="str">
        <f>IF(A567="","",DATE(YEAR('Mortgage Inputs'!$B$8),MONTH('Mortgage Inputs'!$B$8)+A567,DAY('Mortgage Inputs'!$B$8)))</f>
        <v/>
      </c>
      <c r="C567" s="2" t="str">
        <f t="shared" si="25"/>
        <v/>
      </c>
      <c r="D567" s="2" t="str">
        <f t="shared" si="26"/>
        <v/>
      </c>
      <c r="E567" s="2" t="str">
        <f>IF(A567="","",MAX(0,(C567-MIN(D567,C567))*'Mortgage Inputs'!$B$15))</f>
        <v/>
      </c>
      <c r="F567" s="2" t="str">
        <f>IF(A567="","",IF(AND('Offset Inputs'!$B$5&gt;='Mortgage Inputs'!$B$5,'Mortgage Inputs'!$B$5&gt;0),C567,MIN(C567,MAX(0,'Mortgage Inputs'!$B$17-E567))))</f>
        <v/>
      </c>
      <c r="G567" s="2" t="str">
        <f t="shared" si="24"/>
        <v/>
      </c>
      <c r="H567" s="2" t="str">
        <f>IF(A567="","",IF(AND('Offset Inputs'!$B$5&gt;='Mortgage Inputs'!$B$5,'Mortgage Inputs'!$B$5&gt;0),'Offset Inputs'!$B$5-'Mortgage Inputs'!$B$5,D567+'Offset Inputs'!$B$6))</f>
        <v/>
      </c>
    </row>
    <row r="568" spans="1:8" ht="22" customHeight="1">
      <c r="A568" s="1" t="str">
        <f>IF(AND('Mortgage Inputs'!$B$12,562&lt;=IF('Mortgage Inputs'!$B$12,'Mortgage Inputs'!$B$7,0)*12+600,ISNUMBER(G567),G567&gt;0.005),562,"")</f>
        <v/>
      </c>
      <c r="B568" s="4" t="str">
        <f>IF(A568="","",DATE(YEAR('Mortgage Inputs'!$B$8),MONTH('Mortgage Inputs'!$B$8)+A568,DAY('Mortgage Inputs'!$B$8)))</f>
        <v/>
      </c>
      <c r="C568" s="2" t="str">
        <f t="shared" si="25"/>
        <v/>
      </c>
      <c r="D568" s="2" t="str">
        <f t="shared" si="26"/>
        <v/>
      </c>
      <c r="E568" s="2" t="str">
        <f>IF(A568="","",MAX(0,(C568-MIN(D568,C568))*'Mortgage Inputs'!$B$15))</f>
        <v/>
      </c>
      <c r="F568" s="2" t="str">
        <f>IF(A568="","",IF(AND('Offset Inputs'!$B$5&gt;='Mortgage Inputs'!$B$5,'Mortgage Inputs'!$B$5&gt;0),C568,MIN(C568,MAX(0,'Mortgage Inputs'!$B$17-E568))))</f>
        <v/>
      </c>
      <c r="G568" s="2" t="str">
        <f t="shared" si="24"/>
        <v/>
      </c>
      <c r="H568" s="2" t="str">
        <f>IF(A568="","",IF(AND('Offset Inputs'!$B$5&gt;='Mortgage Inputs'!$B$5,'Mortgage Inputs'!$B$5&gt;0),'Offset Inputs'!$B$5-'Mortgage Inputs'!$B$5,D568+'Offset Inputs'!$B$6))</f>
        <v/>
      </c>
    </row>
    <row r="569" spans="1:8" ht="22" customHeight="1">
      <c r="A569" s="1" t="str">
        <f>IF(AND('Mortgage Inputs'!$B$12,563&lt;=IF('Mortgage Inputs'!$B$12,'Mortgage Inputs'!$B$7,0)*12+600,ISNUMBER(G568),G568&gt;0.005),563,"")</f>
        <v/>
      </c>
      <c r="B569" s="4" t="str">
        <f>IF(A569="","",DATE(YEAR('Mortgage Inputs'!$B$8),MONTH('Mortgage Inputs'!$B$8)+A569,DAY('Mortgage Inputs'!$B$8)))</f>
        <v/>
      </c>
      <c r="C569" s="2" t="str">
        <f t="shared" si="25"/>
        <v/>
      </c>
      <c r="D569" s="2" t="str">
        <f t="shared" si="26"/>
        <v/>
      </c>
      <c r="E569" s="2" t="str">
        <f>IF(A569="","",MAX(0,(C569-MIN(D569,C569))*'Mortgage Inputs'!$B$15))</f>
        <v/>
      </c>
      <c r="F569" s="2" t="str">
        <f>IF(A569="","",IF(AND('Offset Inputs'!$B$5&gt;='Mortgage Inputs'!$B$5,'Mortgage Inputs'!$B$5&gt;0),C569,MIN(C569,MAX(0,'Mortgage Inputs'!$B$17-E569))))</f>
        <v/>
      </c>
      <c r="G569" s="2" t="str">
        <f t="shared" si="24"/>
        <v/>
      </c>
      <c r="H569" s="2" t="str">
        <f>IF(A569="","",IF(AND('Offset Inputs'!$B$5&gt;='Mortgage Inputs'!$B$5,'Mortgage Inputs'!$B$5&gt;0),'Offset Inputs'!$B$5-'Mortgage Inputs'!$B$5,D569+'Offset Inputs'!$B$6))</f>
        <v/>
      </c>
    </row>
    <row r="570" spans="1:8" ht="22" customHeight="1">
      <c r="A570" s="1" t="str">
        <f>IF(AND('Mortgage Inputs'!$B$12,564&lt;=IF('Mortgage Inputs'!$B$12,'Mortgage Inputs'!$B$7,0)*12+600,ISNUMBER(G569),G569&gt;0.005),564,"")</f>
        <v/>
      </c>
      <c r="B570" s="4" t="str">
        <f>IF(A570="","",DATE(YEAR('Mortgage Inputs'!$B$8),MONTH('Mortgage Inputs'!$B$8)+A570,DAY('Mortgage Inputs'!$B$8)))</f>
        <v/>
      </c>
      <c r="C570" s="2" t="str">
        <f t="shared" si="25"/>
        <v/>
      </c>
      <c r="D570" s="2" t="str">
        <f t="shared" si="26"/>
        <v/>
      </c>
      <c r="E570" s="2" t="str">
        <f>IF(A570="","",MAX(0,(C570-MIN(D570,C570))*'Mortgage Inputs'!$B$15))</f>
        <v/>
      </c>
      <c r="F570" s="2" t="str">
        <f>IF(A570="","",IF(AND('Offset Inputs'!$B$5&gt;='Mortgage Inputs'!$B$5,'Mortgage Inputs'!$B$5&gt;0),C570,MIN(C570,MAX(0,'Mortgage Inputs'!$B$17-E570))))</f>
        <v/>
      </c>
      <c r="G570" s="2" t="str">
        <f t="shared" si="24"/>
        <v/>
      </c>
      <c r="H570" s="2" t="str">
        <f>IF(A570="","",IF(AND('Offset Inputs'!$B$5&gt;='Mortgage Inputs'!$B$5,'Mortgage Inputs'!$B$5&gt;0),'Offset Inputs'!$B$5-'Mortgage Inputs'!$B$5,D570+'Offset Inputs'!$B$6))</f>
        <v/>
      </c>
    </row>
    <row r="571" spans="1:8" ht="22" customHeight="1">
      <c r="A571" s="1" t="str">
        <f>IF(AND('Mortgage Inputs'!$B$12,565&lt;=IF('Mortgage Inputs'!$B$12,'Mortgage Inputs'!$B$7,0)*12+600,ISNUMBER(G570),G570&gt;0.005),565,"")</f>
        <v/>
      </c>
      <c r="B571" s="4" t="str">
        <f>IF(A571="","",DATE(YEAR('Mortgage Inputs'!$B$8),MONTH('Mortgage Inputs'!$B$8)+A571,DAY('Mortgage Inputs'!$B$8)))</f>
        <v/>
      </c>
      <c r="C571" s="2" t="str">
        <f t="shared" si="25"/>
        <v/>
      </c>
      <c r="D571" s="2" t="str">
        <f t="shared" si="26"/>
        <v/>
      </c>
      <c r="E571" s="2" t="str">
        <f>IF(A571="","",MAX(0,(C571-MIN(D571,C571))*'Mortgage Inputs'!$B$15))</f>
        <v/>
      </c>
      <c r="F571" s="2" t="str">
        <f>IF(A571="","",IF(AND('Offset Inputs'!$B$5&gt;='Mortgage Inputs'!$B$5,'Mortgage Inputs'!$B$5&gt;0),C571,MIN(C571,MAX(0,'Mortgage Inputs'!$B$17-E571))))</f>
        <v/>
      </c>
      <c r="G571" s="2" t="str">
        <f t="shared" si="24"/>
        <v/>
      </c>
      <c r="H571" s="2" t="str">
        <f>IF(A571="","",IF(AND('Offset Inputs'!$B$5&gt;='Mortgage Inputs'!$B$5,'Mortgage Inputs'!$B$5&gt;0),'Offset Inputs'!$B$5-'Mortgage Inputs'!$B$5,D571+'Offset Inputs'!$B$6))</f>
        <v/>
      </c>
    </row>
    <row r="572" spans="1:8" ht="22" customHeight="1">
      <c r="A572" s="1" t="str">
        <f>IF(AND('Mortgage Inputs'!$B$12,566&lt;=IF('Mortgage Inputs'!$B$12,'Mortgage Inputs'!$B$7,0)*12+600,ISNUMBER(G571),G571&gt;0.005),566,"")</f>
        <v/>
      </c>
      <c r="B572" s="4" t="str">
        <f>IF(A572="","",DATE(YEAR('Mortgage Inputs'!$B$8),MONTH('Mortgage Inputs'!$B$8)+A572,DAY('Mortgage Inputs'!$B$8)))</f>
        <v/>
      </c>
      <c r="C572" s="2" t="str">
        <f t="shared" si="25"/>
        <v/>
      </c>
      <c r="D572" s="2" t="str">
        <f t="shared" si="26"/>
        <v/>
      </c>
      <c r="E572" s="2" t="str">
        <f>IF(A572="","",MAX(0,(C572-MIN(D572,C572))*'Mortgage Inputs'!$B$15))</f>
        <v/>
      </c>
      <c r="F572" s="2" t="str">
        <f>IF(A572="","",IF(AND('Offset Inputs'!$B$5&gt;='Mortgage Inputs'!$B$5,'Mortgage Inputs'!$B$5&gt;0),C572,MIN(C572,MAX(0,'Mortgage Inputs'!$B$17-E572))))</f>
        <v/>
      </c>
      <c r="G572" s="2" t="str">
        <f t="shared" si="24"/>
        <v/>
      </c>
      <c r="H572" s="2" t="str">
        <f>IF(A572="","",IF(AND('Offset Inputs'!$B$5&gt;='Mortgage Inputs'!$B$5,'Mortgage Inputs'!$B$5&gt;0),'Offset Inputs'!$B$5-'Mortgage Inputs'!$B$5,D572+'Offset Inputs'!$B$6))</f>
        <v/>
      </c>
    </row>
    <row r="573" spans="1:8" ht="22" customHeight="1">
      <c r="A573" s="1" t="str">
        <f>IF(AND('Mortgage Inputs'!$B$12,567&lt;=IF('Mortgage Inputs'!$B$12,'Mortgage Inputs'!$B$7,0)*12+600,ISNUMBER(G572),G572&gt;0.005),567,"")</f>
        <v/>
      </c>
      <c r="B573" s="4" t="str">
        <f>IF(A573="","",DATE(YEAR('Mortgage Inputs'!$B$8),MONTH('Mortgage Inputs'!$B$8)+A573,DAY('Mortgage Inputs'!$B$8)))</f>
        <v/>
      </c>
      <c r="C573" s="2" t="str">
        <f t="shared" si="25"/>
        <v/>
      </c>
      <c r="D573" s="2" t="str">
        <f t="shared" si="26"/>
        <v/>
      </c>
      <c r="E573" s="2" t="str">
        <f>IF(A573="","",MAX(0,(C573-MIN(D573,C573))*'Mortgage Inputs'!$B$15))</f>
        <v/>
      </c>
      <c r="F573" s="2" t="str">
        <f>IF(A573="","",IF(AND('Offset Inputs'!$B$5&gt;='Mortgage Inputs'!$B$5,'Mortgage Inputs'!$B$5&gt;0),C573,MIN(C573,MAX(0,'Mortgage Inputs'!$B$17-E573))))</f>
        <v/>
      </c>
      <c r="G573" s="2" t="str">
        <f t="shared" si="24"/>
        <v/>
      </c>
      <c r="H573" s="2" t="str">
        <f>IF(A573="","",IF(AND('Offset Inputs'!$B$5&gt;='Mortgage Inputs'!$B$5,'Mortgage Inputs'!$B$5&gt;0),'Offset Inputs'!$B$5-'Mortgage Inputs'!$B$5,D573+'Offset Inputs'!$B$6))</f>
        <v/>
      </c>
    </row>
    <row r="574" spans="1:8" ht="22" customHeight="1">
      <c r="A574" s="1" t="str">
        <f>IF(AND('Mortgage Inputs'!$B$12,568&lt;=IF('Mortgage Inputs'!$B$12,'Mortgage Inputs'!$B$7,0)*12+600,ISNUMBER(G573),G573&gt;0.005),568,"")</f>
        <v/>
      </c>
      <c r="B574" s="4" t="str">
        <f>IF(A574="","",DATE(YEAR('Mortgage Inputs'!$B$8),MONTH('Mortgage Inputs'!$B$8)+A574,DAY('Mortgage Inputs'!$B$8)))</f>
        <v/>
      </c>
      <c r="C574" s="2" t="str">
        <f t="shared" si="25"/>
        <v/>
      </c>
      <c r="D574" s="2" t="str">
        <f t="shared" si="26"/>
        <v/>
      </c>
      <c r="E574" s="2" t="str">
        <f>IF(A574="","",MAX(0,(C574-MIN(D574,C574))*'Mortgage Inputs'!$B$15))</f>
        <v/>
      </c>
      <c r="F574" s="2" t="str">
        <f>IF(A574="","",IF(AND('Offset Inputs'!$B$5&gt;='Mortgage Inputs'!$B$5,'Mortgage Inputs'!$B$5&gt;0),C574,MIN(C574,MAX(0,'Mortgage Inputs'!$B$17-E574))))</f>
        <v/>
      </c>
      <c r="G574" s="2" t="str">
        <f t="shared" si="24"/>
        <v/>
      </c>
      <c r="H574" s="2" t="str">
        <f>IF(A574="","",IF(AND('Offset Inputs'!$B$5&gt;='Mortgage Inputs'!$B$5,'Mortgage Inputs'!$B$5&gt;0),'Offset Inputs'!$B$5-'Mortgage Inputs'!$B$5,D574+'Offset Inputs'!$B$6))</f>
        <v/>
      </c>
    </row>
    <row r="575" spans="1:8" ht="22" customHeight="1">
      <c r="A575" s="1" t="str">
        <f>IF(AND('Mortgage Inputs'!$B$12,569&lt;=IF('Mortgage Inputs'!$B$12,'Mortgage Inputs'!$B$7,0)*12+600,ISNUMBER(G574),G574&gt;0.005),569,"")</f>
        <v/>
      </c>
      <c r="B575" s="4" t="str">
        <f>IF(A575="","",DATE(YEAR('Mortgage Inputs'!$B$8),MONTH('Mortgage Inputs'!$B$8)+A575,DAY('Mortgage Inputs'!$B$8)))</f>
        <v/>
      </c>
      <c r="C575" s="2" t="str">
        <f t="shared" si="25"/>
        <v/>
      </c>
      <c r="D575" s="2" t="str">
        <f t="shared" si="26"/>
        <v/>
      </c>
      <c r="E575" s="2" t="str">
        <f>IF(A575="","",MAX(0,(C575-MIN(D575,C575))*'Mortgage Inputs'!$B$15))</f>
        <v/>
      </c>
      <c r="F575" s="2" t="str">
        <f>IF(A575="","",IF(AND('Offset Inputs'!$B$5&gt;='Mortgage Inputs'!$B$5,'Mortgage Inputs'!$B$5&gt;0),C575,MIN(C575,MAX(0,'Mortgage Inputs'!$B$17-E575))))</f>
        <v/>
      </c>
      <c r="G575" s="2" t="str">
        <f t="shared" si="24"/>
        <v/>
      </c>
      <c r="H575" s="2" t="str">
        <f>IF(A575="","",IF(AND('Offset Inputs'!$B$5&gt;='Mortgage Inputs'!$B$5,'Mortgage Inputs'!$B$5&gt;0),'Offset Inputs'!$B$5-'Mortgage Inputs'!$B$5,D575+'Offset Inputs'!$B$6))</f>
        <v/>
      </c>
    </row>
    <row r="576" spans="1:8" ht="22" customHeight="1">
      <c r="A576" s="1" t="str">
        <f>IF(AND('Mortgage Inputs'!$B$12,570&lt;=IF('Mortgage Inputs'!$B$12,'Mortgage Inputs'!$B$7,0)*12+600,ISNUMBER(G575),G575&gt;0.005),570,"")</f>
        <v/>
      </c>
      <c r="B576" s="4" t="str">
        <f>IF(A576="","",DATE(YEAR('Mortgage Inputs'!$B$8),MONTH('Mortgage Inputs'!$B$8)+A576,DAY('Mortgage Inputs'!$B$8)))</f>
        <v/>
      </c>
      <c r="C576" s="2" t="str">
        <f t="shared" si="25"/>
        <v/>
      </c>
      <c r="D576" s="2" t="str">
        <f t="shared" si="26"/>
        <v/>
      </c>
      <c r="E576" s="2" t="str">
        <f>IF(A576="","",MAX(0,(C576-MIN(D576,C576))*'Mortgage Inputs'!$B$15))</f>
        <v/>
      </c>
      <c r="F576" s="2" t="str">
        <f>IF(A576="","",IF(AND('Offset Inputs'!$B$5&gt;='Mortgage Inputs'!$B$5,'Mortgage Inputs'!$B$5&gt;0),C576,MIN(C576,MAX(0,'Mortgage Inputs'!$B$17-E576))))</f>
        <v/>
      </c>
      <c r="G576" s="2" t="str">
        <f t="shared" si="24"/>
        <v/>
      </c>
      <c r="H576" s="2" t="str">
        <f>IF(A576="","",IF(AND('Offset Inputs'!$B$5&gt;='Mortgage Inputs'!$B$5,'Mortgage Inputs'!$B$5&gt;0),'Offset Inputs'!$B$5-'Mortgage Inputs'!$B$5,D576+'Offset Inputs'!$B$6))</f>
        <v/>
      </c>
    </row>
    <row r="577" spans="1:8" ht="22" customHeight="1">
      <c r="A577" s="1" t="str">
        <f>IF(AND('Mortgage Inputs'!$B$12,571&lt;=IF('Mortgage Inputs'!$B$12,'Mortgage Inputs'!$B$7,0)*12+600,ISNUMBER(G576),G576&gt;0.005),571,"")</f>
        <v/>
      </c>
      <c r="B577" s="4" t="str">
        <f>IF(A577="","",DATE(YEAR('Mortgage Inputs'!$B$8),MONTH('Mortgage Inputs'!$B$8)+A577,DAY('Mortgage Inputs'!$B$8)))</f>
        <v/>
      </c>
      <c r="C577" s="2" t="str">
        <f t="shared" si="25"/>
        <v/>
      </c>
      <c r="D577" s="2" t="str">
        <f t="shared" si="26"/>
        <v/>
      </c>
      <c r="E577" s="2" t="str">
        <f>IF(A577="","",MAX(0,(C577-MIN(D577,C577))*'Mortgage Inputs'!$B$15))</f>
        <v/>
      </c>
      <c r="F577" s="2" t="str">
        <f>IF(A577="","",IF(AND('Offset Inputs'!$B$5&gt;='Mortgage Inputs'!$B$5,'Mortgage Inputs'!$B$5&gt;0),C577,MIN(C577,MAX(0,'Mortgage Inputs'!$B$17-E577))))</f>
        <v/>
      </c>
      <c r="G577" s="2" t="str">
        <f t="shared" si="24"/>
        <v/>
      </c>
      <c r="H577" s="2" t="str">
        <f>IF(A577="","",IF(AND('Offset Inputs'!$B$5&gt;='Mortgage Inputs'!$B$5,'Mortgage Inputs'!$B$5&gt;0),'Offset Inputs'!$B$5-'Mortgage Inputs'!$B$5,D577+'Offset Inputs'!$B$6))</f>
        <v/>
      </c>
    </row>
    <row r="578" spans="1:8" ht="22" customHeight="1">
      <c r="A578" s="1" t="str">
        <f>IF(AND('Mortgage Inputs'!$B$12,572&lt;=IF('Mortgage Inputs'!$B$12,'Mortgage Inputs'!$B$7,0)*12+600,ISNUMBER(G577),G577&gt;0.005),572,"")</f>
        <v/>
      </c>
      <c r="B578" s="4" t="str">
        <f>IF(A578="","",DATE(YEAR('Mortgage Inputs'!$B$8),MONTH('Mortgage Inputs'!$B$8)+A578,DAY('Mortgage Inputs'!$B$8)))</f>
        <v/>
      </c>
      <c r="C578" s="2" t="str">
        <f t="shared" si="25"/>
        <v/>
      </c>
      <c r="D578" s="2" t="str">
        <f t="shared" si="26"/>
        <v/>
      </c>
      <c r="E578" s="2" t="str">
        <f>IF(A578="","",MAX(0,(C578-MIN(D578,C578))*'Mortgage Inputs'!$B$15))</f>
        <v/>
      </c>
      <c r="F578" s="2" t="str">
        <f>IF(A578="","",IF(AND('Offset Inputs'!$B$5&gt;='Mortgage Inputs'!$B$5,'Mortgage Inputs'!$B$5&gt;0),C578,MIN(C578,MAX(0,'Mortgage Inputs'!$B$17-E578))))</f>
        <v/>
      </c>
      <c r="G578" s="2" t="str">
        <f t="shared" si="24"/>
        <v/>
      </c>
      <c r="H578" s="2" t="str">
        <f>IF(A578="","",IF(AND('Offset Inputs'!$B$5&gt;='Mortgage Inputs'!$B$5,'Mortgage Inputs'!$B$5&gt;0),'Offset Inputs'!$B$5-'Mortgage Inputs'!$B$5,D578+'Offset Inputs'!$B$6))</f>
        <v/>
      </c>
    </row>
    <row r="579" spans="1:8" ht="22" customHeight="1">
      <c r="A579" s="1" t="str">
        <f>IF(AND('Mortgage Inputs'!$B$12,573&lt;=IF('Mortgage Inputs'!$B$12,'Mortgage Inputs'!$B$7,0)*12+600,ISNUMBER(G578),G578&gt;0.005),573,"")</f>
        <v/>
      </c>
      <c r="B579" s="4" t="str">
        <f>IF(A579="","",DATE(YEAR('Mortgage Inputs'!$B$8),MONTH('Mortgage Inputs'!$B$8)+A579,DAY('Mortgage Inputs'!$B$8)))</f>
        <v/>
      </c>
      <c r="C579" s="2" t="str">
        <f t="shared" si="25"/>
        <v/>
      </c>
      <c r="D579" s="2" t="str">
        <f t="shared" si="26"/>
        <v/>
      </c>
      <c r="E579" s="2" t="str">
        <f>IF(A579="","",MAX(0,(C579-MIN(D579,C579))*'Mortgage Inputs'!$B$15))</f>
        <v/>
      </c>
      <c r="F579" s="2" t="str">
        <f>IF(A579="","",IF(AND('Offset Inputs'!$B$5&gt;='Mortgage Inputs'!$B$5,'Mortgage Inputs'!$B$5&gt;0),C579,MIN(C579,MAX(0,'Mortgage Inputs'!$B$17-E579))))</f>
        <v/>
      </c>
      <c r="G579" s="2" t="str">
        <f t="shared" si="24"/>
        <v/>
      </c>
      <c r="H579" s="2" t="str">
        <f>IF(A579="","",IF(AND('Offset Inputs'!$B$5&gt;='Mortgage Inputs'!$B$5,'Mortgage Inputs'!$B$5&gt;0),'Offset Inputs'!$B$5-'Mortgage Inputs'!$B$5,D579+'Offset Inputs'!$B$6))</f>
        <v/>
      </c>
    </row>
    <row r="580" spans="1:8" ht="22" customHeight="1">
      <c r="A580" s="1" t="str">
        <f>IF(AND('Mortgage Inputs'!$B$12,574&lt;=IF('Mortgage Inputs'!$B$12,'Mortgage Inputs'!$B$7,0)*12+600,ISNUMBER(G579),G579&gt;0.005),574,"")</f>
        <v/>
      </c>
      <c r="B580" s="4" t="str">
        <f>IF(A580="","",DATE(YEAR('Mortgage Inputs'!$B$8),MONTH('Mortgage Inputs'!$B$8)+A580,DAY('Mortgage Inputs'!$B$8)))</f>
        <v/>
      </c>
      <c r="C580" s="2" t="str">
        <f t="shared" si="25"/>
        <v/>
      </c>
      <c r="D580" s="2" t="str">
        <f t="shared" si="26"/>
        <v/>
      </c>
      <c r="E580" s="2" t="str">
        <f>IF(A580="","",MAX(0,(C580-MIN(D580,C580))*'Mortgage Inputs'!$B$15))</f>
        <v/>
      </c>
      <c r="F580" s="2" t="str">
        <f>IF(A580="","",IF(AND('Offset Inputs'!$B$5&gt;='Mortgage Inputs'!$B$5,'Mortgage Inputs'!$B$5&gt;0),C580,MIN(C580,MAX(0,'Mortgage Inputs'!$B$17-E580))))</f>
        <v/>
      </c>
      <c r="G580" s="2" t="str">
        <f t="shared" si="24"/>
        <v/>
      </c>
      <c r="H580" s="2" t="str">
        <f>IF(A580="","",IF(AND('Offset Inputs'!$B$5&gt;='Mortgage Inputs'!$B$5,'Mortgage Inputs'!$B$5&gt;0),'Offset Inputs'!$B$5-'Mortgage Inputs'!$B$5,D580+'Offset Inputs'!$B$6))</f>
        <v/>
      </c>
    </row>
    <row r="581" spans="1:8" ht="22" customHeight="1">
      <c r="A581" s="1" t="str">
        <f>IF(AND('Mortgage Inputs'!$B$12,575&lt;=IF('Mortgage Inputs'!$B$12,'Mortgage Inputs'!$B$7,0)*12+600,ISNUMBER(G580),G580&gt;0.005),575,"")</f>
        <v/>
      </c>
      <c r="B581" s="4" t="str">
        <f>IF(A581="","",DATE(YEAR('Mortgage Inputs'!$B$8),MONTH('Mortgage Inputs'!$B$8)+A581,DAY('Mortgage Inputs'!$B$8)))</f>
        <v/>
      </c>
      <c r="C581" s="2" t="str">
        <f t="shared" si="25"/>
        <v/>
      </c>
      <c r="D581" s="2" t="str">
        <f t="shared" si="26"/>
        <v/>
      </c>
      <c r="E581" s="2" t="str">
        <f>IF(A581="","",MAX(0,(C581-MIN(D581,C581))*'Mortgage Inputs'!$B$15))</f>
        <v/>
      </c>
      <c r="F581" s="2" t="str">
        <f>IF(A581="","",IF(AND('Offset Inputs'!$B$5&gt;='Mortgage Inputs'!$B$5,'Mortgage Inputs'!$B$5&gt;0),C581,MIN(C581,MAX(0,'Mortgage Inputs'!$B$17-E581))))</f>
        <v/>
      </c>
      <c r="G581" s="2" t="str">
        <f t="shared" si="24"/>
        <v/>
      </c>
      <c r="H581" s="2" t="str">
        <f>IF(A581="","",IF(AND('Offset Inputs'!$B$5&gt;='Mortgage Inputs'!$B$5,'Mortgage Inputs'!$B$5&gt;0),'Offset Inputs'!$B$5-'Mortgage Inputs'!$B$5,D581+'Offset Inputs'!$B$6))</f>
        <v/>
      </c>
    </row>
    <row r="582" spans="1:8" ht="22" customHeight="1">
      <c r="A582" s="1" t="str">
        <f>IF(AND('Mortgage Inputs'!$B$12,576&lt;=IF('Mortgage Inputs'!$B$12,'Mortgage Inputs'!$B$7,0)*12+600,ISNUMBER(G581),G581&gt;0.005),576,"")</f>
        <v/>
      </c>
      <c r="B582" s="4" t="str">
        <f>IF(A582="","",DATE(YEAR('Mortgage Inputs'!$B$8),MONTH('Mortgage Inputs'!$B$8)+A582,DAY('Mortgage Inputs'!$B$8)))</f>
        <v/>
      </c>
      <c r="C582" s="2" t="str">
        <f t="shared" si="25"/>
        <v/>
      </c>
      <c r="D582" s="2" t="str">
        <f t="shared" si="26"/>
        <v/>
      </c>
      <c r="E582" s="2" t="str">
        <f>IF(A582="","",MAX(0,(C582-MIN(D582,C582))*'Mortgage Inputs'!$B$15))</f>
        <v/>
      </c>
      <c r="F582" s="2" t="str">
        <f>IF(A582="","",IF(AND('Offset Inputs'!$B$5&gt;='Mortgage Inputs'!$B$5,'Mortgage Inputs'!$B$5&gt;0),C582,MIN(C582,MAX(0,'Mortgage Inputs'!$B$17-E582))))</f>
        <v/>
      </c>
      <c r="G582" s="2" t="str">
        <f t="shared" si="24"/>
        <v/>
      </c>
      <c r="H582" s="2" t="str">
        <f>IF(A582="","",IF(AND('Offset Inputs'!$B$5&gt;='Mortgage Inputs'!$B$5,'Mortgage Inputs'!$B$5&gt;0),'Offset Inputs'!$B$5-'Mortgage Inputs'!$B$5,D582+'Offset Inputs'!$B$6))</f>
        <v/>
      </c>
    </row>
    <row r="583" spans="1:8" ht="22" customHeight="1">
      <c r="A583" s="1" t="str">
        <f>IF(AND('Mortgage Inputs'!$B$12,577&lt;=IF('Mortgage Inputs'!$B$12,'Mortgage Inputs'!$B$7,0)*12+600,ISNUMBER(G582),G582&gt;0.005),577,"")</f>
        <v/>
      </c>
      <c r="B583" s="4" t="str">
        <f>IF(A583="","",DATE(YEAR('Mortgage Inputs'!$B$8),MONTH('Mortgage Inputs'!$B$8)+A583,DAY('Mortgage Inputs'!$B$8)))</f>
        <v/>
      </c>
      <c r="C583" s="2" t="str">
        <f t="shared" si="25"/>
        <v/>
      </c>
      <c r="D583" s="2" t="str">
        <f t="shared" si="26"/>
        <v/>
      </c>
      <c r="E583" s="2" t="str">
        <f>IF(A583="","",MAX(0,(C583-MIN(D583,C583))*'Mortgage Inputs'!$B$15))</f>
        <v/>
      </c>
      <c r="F583" s="2" t="str">
        <f>IF(A583="","",IF(AND('Offset Inputs'!$B$5&gt;='Mortgage Inputs'!$B$5,'Mortgage Inputs'!$B$5&gt;0),C583,MIN(C583,MAX(0,'Mortgage Inputs'!$B$17-E583))))</f>
        <v/>
      </c>
      <c r="G583" s="2" t="str">
        <f t="shared" ref="G583:G646" si="27">IF(A583="","",MAX(0,C583-F583))</f>
        <v/>
      </c>
      <c r="H583" s="2" t="str">
        <f>IF(A583="","",IF(AND('Offset Inputs'!$B$5&gt;='Mortgage Inputs'!$B$5,'Mortgage Inputs'!$B$5&gt;0),'Offset Inputs'!$B$5-'Mortgage Inputs'!$B$5,D583+'Offset Inputs'!$B$6))</f>
        <v/>
      </c>
    </row>
    <row r="584" spans="1:8" ht="22" customHeight="1">
      <c r="A584" s="1" t="str">
        <f>IF(AND('Mortgage Inputs'!$B$12,578&lt;=IF('Mortgage Inputs'!$B$12,'Mortgage Inputs'!$B$7,0)*12+600,ISNUMBER(G583),G583&gt;0.005),578,"")</f>
        <v/>
      </c>
      <c r="B584" s="4" t="str">
        <f>IF(A584="","",DATE(YEAR('Mortgage Inputs'!$B$8),MONTH('Mortgage Inputs'!$B$8)+A584,DAY('Mortgage Inputs'!$B$8)))</f>
        <v/>
      </c>
      <c r="C584" s="2" t="str">
        <f t="shared" ref="C584:C647" si="28">IF(A584="","",G583)</f>
        <v/>
      </c>
      <c r="D584" s="2" t="str">
        <f t="shared" ref="D584:D647" si="29">IF(A584="","",H583)</f>
        <v/>
      </c>
      <c r="E584" s="2" t="str">
        <f>IF(A584="","",MAX(0,(C584-MIN(D584,C584))*'Mortgage Inputs'!$B$15))</f>
        <v/>
      </c>
      <c r="F584" s="2" t="str">
        <f>IF(A584="","",IF(AND('Offset Inputs'!$B$5&gt;='Mortgage Inputs'!$B$5,'Mortgage Inputs'!$B$5&gt;0),C584,MIN(C584,MAX(0,'Mortgage Inputs'!$B$17-E584))))</f>
        <v/>
      </c>
      <c r="G584" s="2" t="str">
        <f t="shared" si="27"/>
        <v/>
      </c>
      <c r="H584" s="2" t="str">
        <f>IF(A584="","",IF(AND('Offset Inputs'!$B$5&gt;='Mortgage Inputs'!$B$5,'Mortgage Inputs'!$B$5&gt;0),'Offset Inputs'!$B$5-'Mortgage Inputs'!$B$5,D584+'Offset Inputs'!$B$6))</f>
        <v/>
      </c>
    </row>
    <row r="585" spans="1:8" ht="22" customHeight="1">
      <c r="A585" s="1" t="str">
        <f>IF(AND('Mortgage Inputs'!$B$12,579&lt;=IF('Mortgage Inputs'!$B$12,'Mortgage Inputs'!$B$7,0)*12+600,ISNUMBER(G584),G584&gt;0.005),579,"")</f>
        <v/>
      </c>
      <c r="B585" s="4" t="str">
        <f>IF(A585="","",DATE(YEAR('Mortgage Inputs'!$B$8),MONTH('Mortgage Inputs'!$B$8)+A585,DAY('Mortgage Inputs'!$B$8)))</f>
        <v/>
      </c>
      <c r="C585" s="2" t="str">
        <f t="shared" si="28"/>
        <v/>
      </c>
      <c r="D585" s="2" t="str">
        <f t="shared" si="29"/>
        <v/>
      </c>
      <c r="E585" s="2" t="str">
        <f>IF(A585="","",MAX(0,(C585-MIN(D585,C585))*'Mortgage Inputs'!$B$15))</f>
        <v/>
      </c>
      <c r="F585" s="2" t="str">
        <f>IF(A585="","",IF(AND('Offset Inputs'!$B$5&gt;='Mortgage Inputs'!$B$5,'Mortgage Inputs'!$B$5&gt;0),C585,MIN(C585,MAX(0,'Mortgage Inputs'!$B$17-E585))))</f>
        <v/>
      </c>
      <c r="G585" s="2" t="str">
        <f t="shared" si="27"/>
        <v/>
      </c>
      <c r="H585" s="2" t="str">
        <f>IF(A585="","",IF(AND('Offset Inputs'!$B$5&gt;='Mortgage Inputs'!$B$5,'Mortgage Inputs'!$B$5&gt;0),'Offset Inputs'!$B$5-'Mortgage Inputs'!$B$5,D585+'Offset Inputs'!$B$6))</f>
        <v/>
      </c>
    </row>
    <row r="586" spans="1:8" ht="22" customHeight="1">
      <c r="A586" s="1" t="str">
        <f>IF(AND('Mortgage Inputs'!$B$12,580&lt;=IF('Mortgage Inputs'!$B$12,'Mortgage Inputs'!$B$7,0)*12+600,ISNUMBER(G585),G585&gt;0.005),580,"")</f>
        <v/>
      </c>
      <c r="B586" s="4" t="str">
        <f>IF(A586="","",DATE(YEAR('Mortgage Inputs'!$B$8),MONTH('Mortgage Inputs'!$B$8)+A586,DAY('Mortgage Inputs'!$B$8)))</f>
        <v/>
      </c>
      <c r="C586" s="2" t="str">
        <f t="shared" si="28"/>
        <v/>
      </c>
      <c r="D586" s="2" t="str">
        <f t="shared" si="29"/>
        <v/>
      </c>
      <c r="E586" s="2" t="str">
        <f>IF(A586="","",MAX(0,(C586-MIN(D586,C586))*'Mortgage Inputs'!$B$15))</f>
        <v/>
      </c>
      <c r="F586" s="2" t="str">
        <f>IF(A586="","",IF(AND('Offset Inputs'!$B$5&gt;='Mortgage Inputs'!$B$5,'Mortgage Inputs'!$B$5&gt;0),C586,MIN(C586,MAX(0,'Mortgage Inputs'!$B$17-E586))))</f>
        <v/>
      </c>
      <c r="G586" s="2" t="str">
        <f t="shared" si="27"/>
        <v/>
      </c>
      <c r="H586" s="2" t="str">
        <f>IF(A586="","",IF(AND('Offset Inputs'!$B$5&gt;='Mortgage Inputs'!$B$5,'Mortgage Inputs'!$B$5&gt;0),'Offset Inputs'!$B$5-'Mortgage Inputs'!$B$5,D586+'Offset Inputs'!$B$6))</f>
        <v/>
      </c>
    </row>
    <row r="587" spans="1:8" ht="22" customHeight="1">
      <c r="A587" s="1" t="str">
        <f>IF(AND('Mortgage Inputs'!$B$12,581&lt;=IF('Mortgage Inputs'!$B$12,'Mortgage Inputs'!$B$7,0)*12+600,ISNUMBER(G586),G586&gt;0.005),581,"")</f>
        <v/>
      </c>
      <c r="B587" s="4" t="str">
        <f>IF(A587="","",DATE(YEAR('Mortgage Inputs'!$B$8),MONTH('Mortgage Inputs'!$B$8)+A587,DAY('Mortgage Inputs'!$B$8)))</f>
        <v/>
      </c>
      <c r="C587" s="2" t="str">
        <f t="shared" si="28"/>
        <v/>
      </c>
      <c r="D587" s="2" t="str">
        <f t="shared" si="29"/>
        <v/>
      </c>
      <c r="E587" s="2" t="str">
        <f>IF(A587="","",MAX(0,(C587-MIN(D587,C587))*'Mortgage Inputs'!$B$15))</f>
        <v/>
      </c>
      <c r="F587" s="2" t="str">
        <f>IF(A587="","",IF(AND('Offset Inputs'!$B$5&gt;='Mortgage Inputs'!$B$5,'Mortgage Inputs'!$B$5&gt;0),C587,MIN(C587,MAX(0,'Mortgage Inputs'!$B$17-E587))))</f>
        <v/>
      </c>
      <c r="G587" s="2" t="str">
        <f t="shared" si="27"/>
        <v/>
      </c>
      <c r="H587" s="2" t="str">
        <f>IF(A587="","",IF(AND('Offset Inputs'!$B$5&gt;='Mortgage Inputs'!$B$5,'Mortgage Inputs'!$B$5&gt;0),'Offset Inputs'!$B$5-'Mortgage Inputs'!$B$5,D587+'Offset Inputs'!$B$6))</f>
        <v/>
      </c>
    </row>
    <row r="588" spans="1:8" ht="22" customHeight="1">
      <c r="A588" s="1" t="str">
        <f>IF(AND('Mortgage Inputs'!$B$12,582&lt;=IF('Mortgage Inputs'!$B$12,'Mortgage Inputs'!$B$7,0)*12+600,ISNUMBER(G587),G587&gt;0.005),582,"")</f>
        <v/>
      </c>
      <c r="B588" s="4" t="str">
        <f>IF(A588="","",DATE(YEAR('Mortgage Inputs'!$B$8),MONTH('Mortgage Inputs'!$B$8)+A588,DAY('Mortgage Inputs'!$B$8)))</f>
        <v/>
      </c>
      <c r="C588" s="2" t="str">
        <f t="shared" si="28"/>
        <v/>
      </c>
      <c r="D588" s="2" t="str">
        <f t="shared" si="29"/>
        <v/>
      </c>
      <c r="E588" s="2" t="str">
        <f>IF(A588="","",MAX(0,(C588-MIN(D588,C588))*'Mortgage Inputs'!$B$15))</f>
        <v/>
      </c>
      <c r="F588" s="2" t="str">
        <f>IF(A588="","",IF(AND('Offset Inputs'!$B$5&gt;='Mortgage Inputs'!$B$5,'Mortgage Inputs'!$B$5&gt;0),C588,MIN(C588,MAX(0,'Mortgage Inputs'!$B$17-E588))))</f>
        <v/>
      </c>
      <c r="G588" s="2" t="str">
        <f t="shared" si="27"/>
        <v/>
      </c>
      <c r="H588" s="2" t="str">
        <f>IF(A588="","",IF(AND('Offset Inputs'!$B$5&gt;='Mortgage Inputs'!$B$5,'Mortgage Inputs'!$B$5&gt;0),'Offset Inputs'!$B$5-'Mortgage Inputs'!$B$5,D588+'Offset Inputs'!$B$6))</f>
        <v/>
      </c>
    </row>
    <row r="589" spans="1:8" ht="22" customHeight="1">
      <c r="A589" s="1" t="str">
        <f>IF(AND('Mortgage Inputs'!$B$12,583&lt;=IF('Mortgage Inputs'!$B$12,'Mortgage Inputs'!$B$7,0)*12+600,ISNUMBER(G588),G588&gt;0.005),583,"")</f>
        <v/>
      </c>
      <c r="B589" s="4" t="str">
        <f>IF(A589="","",DATE(YEAR('Mortgage Inputs'!$B$8),MONTH('Mortgage Inputs'!$B$8)+A589,DAY('Mortgage Inputs'!$B$8)))</f>
        <v/>
      </c>
      <c r="C589" s="2" t="str">
        <f t="shared" si="28"/>
        <v/>
      </c>
      <c r="D589" s="2" t="str">
        <f t="shared" si="29"/>
        <v/>
      </c>
      <c r="E589" s="2" t="str">
        <f>IF(A589="","",MAX(0,(C589-MIN(D589,C589))*'Mortgage Inputs'!$B$15))</f>
        <v/>
      </c>
      <c r="F589" s="2" t="str">
        <f>IF(A589="","",IF(AND('Offset Inputs'!$B$5&gt;='Mortgage Inputs'!$B$5,'Mortgage Inputs'!$B$5&gt;0),C589,MIN(C589,MAX(0,'Mortgage Inputs'!$B$17-E589))))</f>
        <v/>
      </c>
      <c r="G589" s="2" t="str">
        <f t="shared" si="27"/>
        <v/>
      </c>
      <c r="H589" s="2" t="str">
        <f>IF(A589="","",IF(AND('Offset Inputs'!$B$5&gt;='Mortgage Inputs'!$B$5,'Mortgage Inputs'!$B$5&gt;0),'Offset Inputs'!$B$5-'Mortgage Inputs'!$B$5,D589+'Offset Inputs'!$B$6))</f>
        <v/>
      </c>
    </row>
    <row r="590" spans="1:8" ht="22" customHeight="1">
      <c r="A590" s="1" t="str">
        <f>IF(AND('Mortgage Inputs'!$B$12,584&lt;=IF('Mortgage Inputs'!$B$12,'Mortgage Inputs'!$B$7,0)*12+600,ISNUMBER(G589),G589&gt;0.005),584,"")</f>
        <v/>
      </c>
      <c r="B590" s="4" t="str">
        <f>IF(A590="","",DATE(YEAR('Mortgage Inputs'!$B$8),MONTH('Mortgage Inputs'!$B$8)+A590,DAY('Mortgage Inputs'!$B$8)))</f>
        <v/>
      </c>
      <c r="C590" s="2" t="str">
        <f t="shared" si="28"/>
        <v/>
      </c>
      <c r="D590" s="2" t="str">
        <f t="shared" si="29"/>
        <v/>
      </c>
      <c r="E590" s="2" t="str">
        <f>IF(A590="","",MAX(0,(C590-MIN(D590,C590))*'Mortgage Inputs'!$B$15))</f>
        <v/>
      </c>
      <c r="F590" s="2" t="str">
        <f>IF(A590="","",IF(AND('Offset Inputs'!$B$5&gt;='Mortgage Inputs'!$B$5,'Mortgage Inputs'!$B$5&gt;0),C590,MIN(C590,MAX(0,'Mortgage Inputs'!$B$17-E590))))</f>
        <v/>
      </c>
      <c r="G590" s="2" t="str">
        <f t="shared" si="27"/>
        <v/>
      </c>
      <c r="H590" s="2" t="str">
        <f>IF(A590="","",IF(AND('Offset Inputs'!$B$5&gt;='Mortgage Inputs'!$B$5,'Mortgage Inputs'!$B$5&gt;0),'Offset Inputs'!$B$5-'Mortgage Inputs'!$B$5,D590+'Offset Inputs'!$B$6))</f>
        <v/>
      </c>
    </row>
    <row r="591" spans="1:8" ht="22" customHeight="1">
      <c r="A591" s="1" t="str">
        <f>IF(AND('Mortgage Inputs'!$B$12,585&lt;=IF('Mortgage Inputs'!$B$12,'Mortgage Inputs'!$B$7,0)*12+600,ISNUMBER(G590),G590&gt;0.005),585,"")</f>
        <v/>
      </c>
      <c r="B591" s="4" t="str">
        <f>IF(A591="","",DATE(YEAR('Mortgage Inputs'!$B$8),MONTH('Mortgage Inputs'!$B$8)+A591,DAY('Mortgage Inputs'!$B$8)))</f>
        <v/>
      </c>
      <c r="C591" s="2" t="str">
        <f t="shared" si="28"/>
        <v/>
      </c>
      <c r="D591" s="2" t="str">
        <f t="shared" si="29"/>
        <v/>
      </c>
      <c r="E591" s="2" t="str">
        <f>IF(A591="","",MAX(0,(C591-MIN(D591,C591))*'Mortgage Inputs'!$B$15))</f>
        <v/>
      </c>
      <c r="F591" s="2" t="str">
        <f>IF(A591="","",IF(AND('Offset Inputs'!$B$5&gt;='Mortgage Inputs'!$B$5,'Mortgage Inputs'!$B$5&gt;0),C591,MIN(C591,MAX(0,'Mortgage Inputs'!$B$17-E591))))</f>
        <v/>
      </c>
      <c r="G591" s="2" t="str">
        <f t="shared" si="27"/>
        <v/>
      </c>
      <c r="H591" s="2" t="str">
        <f>IF(A591="","",IF(AND('Offset Inputs'!$B$5&gt;='Mortgage Inputs'!$B$5,'Mortgage Inputs'!$B$5&gt;0),'Offset Inputs'!$B$5-'Mortgage Inputs'!$B$5,D591+'Offset Inputs'!$B$6))</f>
        <v/>
      </c>
    </row>
    <row r="592" spans="1:8" ht="22" customHeight="1">
      <c r="A592" s="1" t="str">
        <f>IF(AND('Mortgage Inputs'!$B$12,586&lt;=IF('Mortgage Inputs'!$B$12,'Mortgage Inputs'!$B$7,0)*12+600,ISNUMBER(G591),G591&gt;0.005),586,"")</f>
        <v/>
      </c>
      <c r="B592" s="4" t="str">
        <f>IF(A592="","",DATE(YEAR('Mortgage Inputs'!$B$8),MONTH('Mortgage Inputs'!$B$8)+A592,DAY('Mortgage Inputs'!$B$8)))</f>
        <v/>
      </c>
      <c r="C592" s="2" t="str">
        <f t="shared" si="28"/>
        <v/>
      </c>
      <c r="D592" s="2" t="str">
        <f t="shared" si="29"/>
        <v/>
      </c>
      <c r="E592" s="2" t="str">
        <f>IF(A592="","",MAX(0,(C592-MIN(D592,C592))*'Mortgage Inputs'!$B$15))</f>
        <v/>
      </c>
      <c r="F592" s="2" t="str">
        <f>IF(A592="","",IF(AND('Offset Inputs'!$B$5&gt;='Mortgage Inputs'!$B$5,'Mortgage Inputs'!$B$5&gt;0),C592,MIN(C592,MAX(0,'Mortgage Inputs'!$B$17-E592))))</f>
        <v/>
      </c>
      <c r="G592" s="2" t="str">
        <f t="shared" si="27"/>
        <v/>
      </c>
      <c r="H592" s="2" t="str">
        <f>IF(A592="","",IF(AND('Offset Inputs'!$B$5&gt;='Mortgage Inputs'!$B$5,'Mortgage Inputs'!$B$5&gt;0),'Offset Inputs'!$B$5-'Mortgage Inputs'!$B$5,D592+'Offset Inputs'!$B$6))</f>
        <v/>
      </c>
    </row>
    <row r="593" spans="1:8" ht="22" customHeight="1">
      <c r="A593" s="1" t="str">
        <f>IF(AND('Mortgage Inputs'!$B$12,587&lt;=IF('Mortgage Inputs'!$B$12,'Mortgage Inputs'!$B$7,0)*12+600,ISNUMBER(G592),G592&gt;0.005),587,"")</f>
        <v/>
      </c>
      <c r="B593" s="4" t="str">
        <f>IF(A593="","",DATE(YEAR('Mortgage Inputs'!$B$8),MONTH('Mortgage Inputs'!$B$8)+A593,DAY('Mortgage Inputs'!$B$8)))</f>
        <v/>
      </c>
      <c r="C593" s="2" t="str">
        <f t="shared" si="28"/>
        <v/>
      </c>
      <c r="D593" s="2" t="str">
        <f t="shared" si="29"/>
        <v/>
      </c>
      <c r="E593" s="2" t="str">
        <f>IF(A593="","",MAX(0,(C593-MIN(D593,C593))*'Mortgage Inputs'!$B$15))</f>
        <v/>
      </c>
      <c r="F593" s="2" t="str">
        <f>IF(A593="","",IF(AND('Offset Inputs'!$B$5&gt;='Mortgage Inputs'!$B$5,'Mortgage Inputs'!$B$5&gt;0),C593,MIN(C593,MAX(0,'Mortgage Inputs'!$B$17-E593))))</f>
        <v/>
      </c>
      <c r="G593" s="2" t="str">
        <f t="shared" si="27"/>
        <v/>
      </c>
      <c r="H593" s="2" t="str">
        <f>IF(A593="","",IF(AND('Offset Inputs'!$B$5&gt;='Mortgage Inputs'!$B$5,'Mortgage Inputs'!$B$5&gt;0),'Offset Inputs'!$B$5-'Mortgage Inputs'!$B$5,D593+'Offset Inputs'!$B$6))</f>
        <v/>
      </c>
    </row>
    <row r="594" spans="1:8" ht="22" customHeight="1">
      <c r="A594" s="1" t="str">
        <f>IF(AND('Mortgage Inputs'!$B$12,588&lt;=IF('Mortgage Inputs'!$B$12,'Mortgage Inputs'!$B$7,0)*12+600,ISNUMBER(G593),G593&gt;0.005),588,"")</f>
        <v/>
      </c>
      <c r="B594" s="4" t="str">
        <f>IF(A594="","",DATE(YEAR('Mortgage Inputs'!$B$8),MONTH('Mortgage Inputs'!$B$8)+A594,DAY('Mortgage Inputs'!$B$8)))</f>
        <v/>
      </c>
      <c r="C594" s="2" t="str">
        <f t="shared" si="28"/>
        <v/>
      </c>
      <c r="D594" s="2" t="str">
        <f t="shared" si="29"/>
        <v/>
      </c>
      <c r="E594" s="2" t="str">
        <f>IF(A594="","",MAX(0,(C594-MIN(D594,C594))*'Mortgage Inputs'!$B$15))</f>
        <v/>
      </c>
      <c r="F594" s="2" t="str">
        <f>IF(A594="","",IF(AND('Offset Inputs'!$B$5&gt;='Mortgage Inputs'!$B$5,'Mortgage Inputs'!$B$5&gt;0),C594,MIN(C594,MAX(0,'Mortgage Inputs'!$B$17-E594))))</f>
        <v/>
      </c>
      <c r="G594" s="2" t="str">
        <f t="shared" si="27"/>
        <v/>
      </c>
      <c r="H594" s="2" t="str">
        <f>IF(A594="","",IF(AND('Offset Inputs'!$B$5&gt;='Mortgage Inputs'!$B$5,'Mortgage Inputs'!$B$5&gt;0),'Offset Inputs'!$B$5-'Mortgage Inputs'!$B$5,D594+'Offset Inputs'!$B$6))</f>
        <v/>
      </c>
    </row>
    <row r="595" spans="1:8" ht="22" customHeight="1">
      <c r="A595" s="1" t="str">
        <f>IF(AND('Mortgage Inputs'!$B$12,589&lt;=IF('Mortgage Inputs'!$B$12,'Mortgage Inputs'!$B$7,0)*12+600,ISNUMBER(G594),G594&gt;0.005),589,"")</f>
        <v/>
      </c>
      <c r="B595" s="4" t="str">
        <f>IF(A595="","",DATE(YEAR('Mortgage Inputs'!$B$8),MONTH('Mortgage Inputs'!$B$8)+A595,DAY('Mortgage Inputs'!$B$8)))</f>
        <v/>
      </c>
      <c r="C595" s="2" t="str">
        <f t="shared" si="28"/>
        <v/>
      </c>
      <c r="D595" s="2" t="str">
        <f t="shared" si="29"/>
        <v/>
      </c>
      <c r="E595" s="2" t="str">
        <f>IF(A595="","",MAX(0,(C595-MIN(D595,C595))*'Mortgage Inputs'!$B$15))</f>
        <v/>
      </c>
      <c r="F595" s="2" t="str">
        <f>IF(A595="","",IF(AND('Offset Inputs'!$B$5&gt;='Mortgage Inputs'!$B$5,'Mortgage Inputs'!$B$5&gt;0),C595,MIN(C595,MAX(0,'Mortgage Inputs'!$B$17-E595))))</f>
        <v/>
      </c>
      <c r="G595" s="2" t="str">
        <f t="shared" si="27"/>
        <v/>
      </c>
      <c r="H595" s="2" t="str">
        <f>IF(A595="","",IF(AND('Offset Inputs'!$B$5&gt;='Mortgage Inputs'!$B$5,'Mortgage Inputs'!$B$5&gt;0),'Offset Inputs'!$B$5-'Mortgage Inputs'!$B$5,D595+'Offset Inputs'!$B$6))</f>
        <v/>
      </c>
    </row>
    <row r="596" spans="1:8" ht="22" customHeight="1">
      <c r="A596" s="1" t="str">
        <f>IF(AND('Mortgage Inputs'!$B$12,590&lt;=IF('Mortgage Inputs'!$B$12,'Mortgage Inputs'!$B$7,0)*12+600,ISNUMBER(G595),G595&gt;0.005),590,"")</f>
        <v/>
      </c>
      <c r="B596" s="4" t="str">
        <f>IF(A596="","",DATE(YEAR('Mortgage Inputs'!$B$8),MONTH('Mortgage Inputs'!$B$8)+A596,DAY('Mortgage Inputs'!$B$8)))</f>
        <v/>
      </c>
      <c r="C596" s="2" t="str">
        <f t="shared" si="28"/>
        <v/>
      </c>
      <c r="D596" s="2" t="str">
        <f t="shared" si="29"/>
        <v/>
      </c>
      <c r="E596" s="2" t="str">
        <f>IF(A596="","",MAX(0,(C596-MIN(D596,C596))*'Mortgage Inputs'!$B$15))</f>
        <v/>
      </c>
      <c r="F596" s="2" t="str">
        <f>IF(A596="","",IF(AND('Offset Inputs'!$B$5&gt;='Mortgage Inputs'!$B$5,'Mortgage Inputs'!$B$5&gt;0),C596,MIN(C596,MAX(0,'Mortgage Inputs'!$B$17-E596))))</f>
        <v/>
      </c>
      <c r="G596" s="2" t="str">
        <f t="shared" si="27"/>
        <v/>
      </c>
      <c r="H596" s="2" t="str">
        <f>IF(A596="","",IF(AND('Offset Inputs'!$B$5&gt;='Mortgage Inputs'!$B$5,'Mortgage Inputs'!$B$5&gt;0),'Offset Inputs'!$B$5-'Mortgage Inputs'!$B$5,D596+'Offset Inputs'!$B$6))</f>
        <v/>
      </c>
    </row>
    <row r="597" spans="1:8" ht="22" customHeight="1">
      <c r="A597" s="1" t="str">
        <f>IF(AND('Mortgage Inputs'!$B$12,591&lt;=IF('Mortgage Inputs'!$B$12,'Mortgage Inputs'!$B$7,0)*12+600,ISNUMBER(G596),G596&gt;0.005),591,"")</f>
        <v/>
      </c>
      <c r="B597" s="4" t="str">
        <f>IF(A597="","",DATE(YEAR('Mortgage Inputs'!$B$8),MONTH('Mortgage Inputs'!$B$8)+A597,DAY('Mortgage Inputs'!$B$8)))</f>
        <v/>
      </c>
      <c r="C597" s="2" t="str">
        <f t="shared" si="28"/>
        <v/>
      </c>
      <c r="D597" s="2" t="str">
        <f t="shared" si="29"/>
        <v/>
      </c>
      <c r="E597" s="2" t="str">
        <f>IF(A597="","",MAX(0,(C597-MIN(D597,C597))*'Mortgage Inputs'!$B$15))</f>
        <v/>
      </c>
      <c r="F597" s="2" t="str">
        <f>IF(A597="","",IF(AND('Offset Inputs'!$B$5&gt;='Mortgage Inputs'!$B$5,'Mortgage Inputs'!$B$5&gt;0),C597,MIN(C597,MAX(0,'Mortgage Inputs'!$B$17-E597))))</f>
        <v/>
      </c>
      <c r="G597" s="2" t="str">
        <f t="shared" si="27"/>
        <v/>
      </c>
      <c r="H597" s="2" t="str">
        <f>IF(A597="","",IF(AND('Offset Inputs'!$B$5&gt;='Mortgage Inputs'!$B$5,'Mortgage Inputs'!$B$5&gt;0),'Offset Inputs'!$B$5-'Mortgage Inputs'!$B$5,D597+'Offset Inputs'!$B$6))</f>
        <v/>
      </c>
    </row>
    <row r="598" spans="1:8" ht="22" customHeight="1">
      <c r="A598" s="1" t="str">
        <f>IF(AND('Mortgage Inputs'!$B$12,592&lt;=IF('Mortgage Inputs'!$B$12,'Mortgage Inputs'!$B$7,0)*12+600,ISNUMBER(G597),G597&gt;0.005),592,"")</f>
        <v/>
      </c>
      <c r="B598" s="4" t="str">
        <f>IF(A598="","",DATE(YEAR('Mortgage Inputs'!$B$8),MONTH('Mortgage Inputs'!$B$8)+A598,DAY('Mortgage Inputs'!$B$8)))</f>
        <v/>
      </c>
      <c r="C598" s="2" t="str">
        <f t="shared" si="28"/>
        <v/>
      </c>
      <c r="D598" s="2" t="str">
        <f t="shared" si="29"/>
        <v/>
      </c>
      <c r="E598" s="2" t="str">
        <f>IF(A598="","",MAX(0,(C598-MIN(D598,C598))*'Mortgage Inputs'!$B$15))</f>
        <v/>
      </c>
      <c r="F598" s="2" t="str">
        <f>IF(A598="","",IF(AND('Offset Inputs'!$B$5&gt;='Mortgage Inputs'!$B$5,'Mortgage Inputs'!$B$5&gt;0),C598,MIN(C598,MAX(0,'Mortgage Inputs'!$B$17-E598))))</f>
        <v/>
      </c>
      <c r="G598" s="2" t="str">
        <f t="shared" si="27"/>
        <v/>
      </c>
      <c r="H598" s="2" t="str">
        <f>IF(A598="","",IF(AND('Offset Inputs'!$B$5&gt;='Mortgage Inputs'!$B$5,'Mortgage Inputs'!$B$5&gt;0),'Offset Inputs'!$B$5-'Mortgage Inputs'!$B$5,D598+'Offset Inputs'!$B$6))</f>
        <v/>
      </c>
    </row>
    <row r="599" spans="1:8" ht="22" customHeight="1">
      <c r="A599" s="1" t="str">
        <f>IF(AND('Mortgage Inputs'!$B$12,593&lt;=IF('Mortgage Inputs'!$B$12,'Mortgage Inputs'!$B$7,0)*12+600,ISNUMBER(G598),G598&gt;0.005),593,"")</f>
        <v/>
      </c>
      <c r="B599" s="4" t="str">
        <f>IF(A599="","",DATE(YEAR('Mortgage Inputs'!$B$8),MONTH('Mortgage Inputs'!$B$8)+A599,DAY('Mortgage Inputs'!$B$8)))</f>
        <v/>
      </c>
      <c r="C599" s="2" t="str">
        <f t="shared" si="28"/>
        <v/>
      </c>
      <c r="D599" s="2" t="str">
        <f t="shared" si="29"/>
        <v/>
      </c>
      <c r="E599" s="2" t="str">
        <f>IF(A599="","",MAX(0,(C599-MIN(D599,C599))*'Mortgage Inputs'!$B$15))</f>
        <v/>
      </c>
      <c r="F599" s="2" t="str">
        <f>IF(A599="","",IF(AND('Offset Inputs'!$B$5&gt;='Mortgage Inputs'!$B$5,'Mortgage Inputs'!$B$5&gt;0),C599,MIN(C599,MAX(0,'Mortgage Inputs'!$B$17-E599))))</f>
        <v/>
      </c>
      <c r="G599" s="2" t="str">
        <f t="shared" si="27"/>
        <v/>
      </c>
      <c r="H599" s="2" t="str">
        <f>IF(A599="","",IF(AND('Offset Inputs'!$B$5&gt;='Mortgage Inputs'!$B$5,'Mortgage Inputs'!$B$5&gt;0),'Offset Inputs'!$B$5-'Mortgage Inputs'!$B$5,D599+'Offset Inputs'!$B$6))</f>
        <v/>
      </c>
    </row>
    <row r="600" spans="1:8" ht="22" customHeight="1">
      <c r="A600" s="1" t="str">
        <f>IF(AND('Mortgage Inputs'!$B$12,594&lt;=IF('Mortgage Inputs'!$B$12,'Mortgage Inputs'!$B$7,0)*12+600,ISNUMBER(G599),G599&gt;0.005),594,"")</f>
        <v/>
      </c>
      <c r="B600" s="4" t="str">
        <f>IF(A600="","",DATE(YEAR('Mortgage Inputs'!$B$8),MONTH('Mortgage Inputs'!$B$8)+A600,DAY('Mortgage Inputs'!$B$8)))</f>
        <v/>
      </c>
      <c r="C600" s="2" t="str">
        <f t="shared" si="28"/>
        <v/>
      </c>
      <c r="D600" s="2" t="str">
        <f t="shared" si="29"/>
        <v/>
      </c>
      <c r="E600" s="2" t="str">
        <f>IF(A600="","",MAX(0,(C600-MIN(D600,C600))*'Mortgage Inputs'!$B$15))</f>
        <v/>
      </c>
      <c r="F600" s="2" t="str">
        <f>IF(A600="","",IF(AND('Offset Inputs'!$B$5&gt;='Mortgage Inputs'!$B$5,'Mortgage Inputs'!$B$5&gt;0),C600,MIN(C600,MAX(0,'Mortgage Inputs'!$B$17-E600))))</f>
        <v/>
      </c>
      <c r="G600" s="2" t="str">
        <f t="shared" si="27"/>
        <v/>
      </c>
      <c r="H600" s="2" t="str">
        <f>IF(A600="","",IF(AND('Offset Inputs'!$B$5&gt;='Mortgage Inputs'!$B$5,'Mortgage Inputs'!$B$5&gt;0),'Offset Inputs'!$B$5-'Mortgage Inputs'!$B$5,D600+'Offset Inputs'!$B$6))</f>
        <v/>
      </c>
    </row>
    <row r="601" spans="1:8" ht="22" customHeight="1">
      <c r="A601" s="1" t="str">
        <f>IF(AND('Mortgage Inputs'!$B$12,595&lt;=IF('Mortgage Inputs'!$B$12,'Mortgage Inputs'!$B$7,0)*12+600,ISNUMBER(G600),G600&gt;0.005),595,"")</f>
        <v/>
      </c>
      <c r="B601" s="4" t="str">
        <f>IF(A601="","",DATE(YEAR('Mortgage Inputs'!$B$8),MONTH('Mortgage Inputs'!$B$8)+A601,DAY('Mortgage Inputs'!$B$8)))</f>
        <v/>
      </c>
      <c r="C601" s="2" t="str">
        <f t="shared" si="28"/>
        <v/>
      </c>
      <c r="D601" s="2" t="str">
        <f t="shared" si="29"/>
        <v/>
      </c>
      <c r="E601" s="2" t="str">
        <f>IF(A601="","",MAX(0,(C601-MIN(D601,C601))*'Mortgage Inputs'!$B$15))</f>
        <v/>
      </c>
      <c r="F601" s="2" t="str">
        <f>IF(A601="","",IF(AND('Offset Inputs'!$B$5&gt;='Mortgage Inputs'!$B$5,'Mortgage Inputs'!$B$5&gt;0),C601,MIN(C601,MAX(0,'Mortgage Inputs'!$B$17-E601))))</f>
        <v/>
      </c>
      <c r="G601" s="2" t="str">
        <f t="shared" si="27"/>
        <v/>
      </c>
      <c r="H601" s="2" t="str">
        <f>IF(A601="","",IF(AND('Offset Inputs'!$B$5&gt;='Mortgage Inputs'!$B$5,'Mortgage Inputs'!$B$5&gt;0),'Offset Inputs'!$B$5-'Mortgage Inputs'!$B$5,D601+'Offset Inputs'!$B$6))</f>
        <v/>
      </c>
    </row>
    <row r="602" spans="1:8" ht="22" customHeight="1">
      <c r="A602" s="1" t="str">
        <f>IF(AND('Mortgage Inputs'!$B$12,596&lt;=IF('Mortgage Inputs'!$B$12,'Mortgage Inputs'!$B$7,0)*12+600,ISNUMBER(G601),G601&gt;0.005),596,"")</f>
        <v/>
      </c>
      <c r="B602" s="4" t="str">
        <f>IF(A602="","",DATE(YEAR('Mortgage Inputs'!$B$8),MONTH('Mortgage Inputs'!$B$8)+A602,DAY('Mortgage Inputs'!$B$8)))</f>
        <v/>
      </c>
      <c r="C602" s="2" t="str">
        <f t="shared" si="28"/>
        <v/>
      </c>
      <c r="D602" s="2" t="str">
        <f t="shared" si="29"/>
        <v/>
      </c>
      <c r="E602" s="2" t="str">
        <f>IF(A602="","",MAX(0,(C602-MIN(D602,C602))*'Mortgage Inputs'!$B$15))</f>
        <v/>
      </c>
      <c r="F602" s="2" t="str">
        <f>IF(A602="","",IF(AND('Offset Inputs'!$B$5&gt;='Mortgage Inputs'!$B$5,'Mortgage Inputs'!$B$5&gt;0),C602,MIN(C602,MAX(0,'Mortgage Inputs'!$B$17-E602))))</f>
        <v/>
      </c>
      <c r="G602" s="2" t="str">
        <f t="shared" si="27"/>
        <v/>
      </c>
      <c r="H602" s="2" t="str">
        <f>IF(A602="","",IF(AND('Offset Inputs'!$B$5&gt;='Mortgage Inputs'!$B$5,'Mortgage Inputs'!$B$5&gt;0),'Offset Inputs'!$B$5-'Mortgage Inputs'!$B$5,D602+'Offset Inputs'!$B$6))</f>
        <v/>
      </c>
    </row>
    <row r="603" spans="1:8" ht="22" customHeight="1">
      <c r="A603" s="1" t="str">
        <f>IF(AND('Mortgage Inputs'!$B$12,597&lt;=IF('Mortgage Inputs'!$B$12,'Mortgage Inputs'!$B$7,0)*12+600,ISNUMBER(G602),G602&gt;0.005),597,"")</f>
        <v/>
      </c>
      <c r="B603" s="4" t="str">
        <f>IF(A603="","",DATE(YEAR('Mortgage Inputs'!$B$8),MONTH('Mortgage Inputs'!$B$8)+A603,DAY('Mortgage Inputs'!$B$8)))</f>
        <v/>
      </c>
      <c r="C603" s="2" t="str">
        <f t="shared" si="28"/>
        <v/>
      </c>
      <c r="D603" s="2" t="str">
        <f t="shared" si="29"/>
        <v/>
      </c>
      <c r="E603" s="2" t="str">
        <f>IF(A603="","",MAX(0,(C603-MIN(D603,C603))*'Mortgage Inputs'!$B$15))</f>
        <v/>
      </c>
      <c r="F603" s="2" t="str">
        <f>IF(A603="","",IF(AND('Offset Inputs'!$B$5&gt;='Mortgage Inputs'!$B$5,'Mortgage Inputs'!$B$5&gt;0),C603,MIN(C603,MAX(0,'Mortgage Inputs'!$B$17-E603))))</f>
        <v/>
      </c>
      <c r="G603" s="2" t="str">
        <f t="shared" si="27"/>
        <v/>
      </c>
      <c r="H603" s="2" t="str">
        <f>IF(A603="","",IF(AND('Offset Inputs'!$B$5&gt;='Mortgage Inputs'!$B$5,'Mortgage Inputs'!$B$5&gt;0),'Offset Inputs'!$B$5-'Mortgage Inputs'!$B$5,D603+'Offset Inputs'!$B$6))</f>
        <v/>
      </c>
    </row>
    <row r="604" spans="1:8" ht="22" customHeight="1">
      <c r="A604" s="1" t="str">
        <f>IF(AND('Mortgage Inputs'!$B$12,598&lt;=IF('Mortgage Inputs'!$B$12,'Mortgage Inputs'!$B$7,0)*12+600,ISNUMBER(G603),G603&gt;0.005),598,"")</f>
        <v/>
      </c>
      <c r="B604" s="4" t="str">
        <f>IF(A604="","",DATE(YEAR('Mortgage Inputs'!$B$8),MONTH('Mortgage Inputs'!$B$8)+A604,DAY('Mortgage Inputs'!$B$8)))</f>
        <v/>
      </c>
      <c r="C604" s="2" t="str">
        <f t="shared" si="28"/>
        <v/>
      </c>
      <c r="D604" s="2" t="str">
        <f t="shared" si="29"/>
        <v/>
      </c>
      <c r="E604" s="2" t="str">
        <f>IF(A604="","",MAX(0,(C604-MIN(D604,C604))*'Mortgage Inputs'!$B$15))</f>
        <v/>
      </c>
      <c r="F604" s="2" t="str">
        <f>IF(A604="","",IF(AND('Offset Inputs'!$B$5&gt;='Mortgage Inputs'!$B$5,'Mortgage Inputs'!$B$5&gt;0),C604,MIN(C604,MAX(0,'Mortgage Inputs'!$B$17-E604))))</f>
        <v/>
      </c>
      <c r="G604" s="2" t="str">
        <f t="shared" si="27"/>
        <v/>
      </c>
      <c r="H604" s="2" t="str">
        <f>IF(A604="","",IF(AND('Offset Inputs'!$B$5&gt;='Mortgage Inputs'!$B$5,'Mortgage Inputs'!$B$5&gt;0),'Offset Inputs'!$B$5-'Mortgage Inputs'!$B$5,D604+'Offset Inputs'!$B$6))</f>
        <v/>
      </c>
    </row>
    <row r="605" spans="1:8" ht="22" customHeight="1">
      <c r="A605" s="1" t="str">
        <f>IF(AND('Mortgage Inputs'!$B$12,599&lt;=IF('Mortgage Inputs'!$B$12,'Mortgage Inputs'!$B$7,0)*12+600,ISNUMBER(G604),G604&gt;0.005),599,"")</f>
        <v/>
      </c>
      <c r="B605" s="4" t="str">
        <f>IF(A605="","",DATE(YEAR('Mortgage Inputs'!$B$8),MONTH('Mortgage Inputs'!$B$8)+A605,DAY('Mortgage Inputs'!$B$8)))</f>
        <v/>
      </c>
      <c r="C605" s="2" t="str">
        <f t="shared" si="28"/>
        <v/>
      </c>
      <c r="D605" s="2" t="str">
        <f t="shared" si="29"/>
        <v/>
      </c>
      <c r="E605" s="2" t="str">
        <f>IF(A605="","",MAX(0,(C605-MIN(D605,C605))*'Mortgage Inputs'!$B$15))</f>
        <v/>
      </c>
      <c r="F605" s="2" t="str">
        <f>IF(A605="","",IF(AND('Offset Inputs'!$B$5&gt;='Mortgage Inputs'!$B$5,'Mortgage Inputs'!$B$5&gt;0),C605,MIN(C605,MAX(0,'Mortgage Inputs'!$B$17-E605))))</f>
        <v/>
      </c>
      <c r="G605" s="2" t="str">
        <f t="shared" si="27"/>
        <v/>
      </c>
      <c r="H605" s="2" t="str">
        <f>IF(A605="","",IF(AND('Offset Inputs'!$B$5&gt;='Mortgage Inputs'!$B$5,'Mortgage Inputs'!$B$5&gt;0),'Offset Inputs'!$B$5-'Mortgage Inputs'!$B$5,D605+'Offset Inputs'!$B$6))</f>
        <v/>
      </c>
    </row>
    <row r="606" spans="1:8" ht="22" customHeight="1">
      <c r="A606" s="1" t="str">
        <f>IF(AND('Mortgage Inputs'!$B$12,600&lt;=IF('Mortgage Inputs'!$B$12,'Mortgage Inputs'!$B$7,0)*12+600,ISNUMBER(G605),G605&gt;0.005),600,"")</f>
        <v/>
      </c>
      <c r="B606" s="4" t="str">
        <f>IF(A606="","",DATE(YEAR('Mortgage Inputs'!$B$8),MONTH('Mortgage Inputs'!$B$8)+A606,DAY('Mortgage Inputs'!$B$8)))</f>
        <v/>
      </c>
      <c r="C606" s="2" t="str">
        <f t="shared" si="28"/>
        <v/>
      </c>
      <c r="D606" s="2" t="str">
        <f t="shared" si="29"/>
        <v/>
      </c>
      <c r="E606" s="2" t="str">
        <f>IF(A606="","",MAX(0,(C606-MIN(D606,C606))*'Mortgage Inputs'!$B$15))</f>
        <v/>
      </c>
      <c r="F606" s="2" t="str">
        <f>IF(A606="","",IF(AND('Offset Inputs'!$B$5&gt;='Mortgage Inputs'!$B$5,'Mortgage Inputs'!$B$5&gt;0),C606,MIN(C606,MAX(0,'Mortgage Inputs'!$B$17-E606))))</f>
        <v/>
      </c>
      <c r="G606" s="2" t="str">
        <f t="shared" si="27"/>
        <v/>
      </c>
      <c r="H606" s="2" t="str">
        <f>IF(A606="","",IF(AND('Offset Inputs'!$B$5&gt;='Mortgage Inputs'!$B$5,'Mortgage Inputs'!$B$5&gt;0),'Offset Inputs'!$B$5-'Mortgage Inputs'!$B$5,D606+'Offset Inputs'!$B$6))</f>
        <v/>
      </c>
    </row>
    <row r="607" spans="1:8" ht="22" customHeight="1">
      <c r="A607" s="1" t="str">
        <f>IF(AND('Mortgage Inputs'!$B$12,601&lt;=IF('Mortgage Inputs'!$B$12,'Mortgage Inputs'!$B$7,0)*12+600,ISNUMBER(G606),G606&gt;0.005),601,"")</f>
        <v/>
      </c>
      <c r="B607" s="4" t="str">
        <f>IF(A607="","",DATE(YEAR('Mortgage Inputs'!$B$8),MONTH('Mortgage Inputs'!$B$8)+A607,DAY('Mortgage Inputs'!$B$8)))</f>
        <v/>
      </c>
      <c r="C607" s="2" t="str">
        <f t="shared" si="28"/>
        <v/>
      </c>
      <c r="D607" s="2" t="str">
        <f t="shared" si="29"/>
        <v/>
      </c>
      <c r="E607" s="2" t="str">
        <f>IF(A607="","",MAX(0,(C607-MIN(D607,C607))*'Mortgage Inputs'!$B$15))</f>
        <v/>
      </c>
      <c r="F607" s="2" t="str">
        <f>IF(A607="","",IF(AND('Offset Inputs'!$B$5&gt;='Mortgage Inputs'!$B$5,'Mortgage Inputs'!$B$5&gt;0),C607,MIN(C607,MAX(0,'Mortgage Inputs'!$B$17-E607))))</f>
        <v/>
      </c>
      <c r="G607" s="2" t="str">
        <f t="shared" si="27"/>
        <v/>
      </c>
      <c r="H607" s="2" t="str">
        <f>IF(A607="","",IF(AND('Offset Inputs'!$B$5&gt;='Mortgage Inputs'!$B$5,'Mortgage Inputs'!$B$5&gt;0),'Offset Inputs'!$B$5-'Mortgage Inputs'!$B$5,D607+'Offset Inputs'!$B$6))</f>
        <v/>
      </c>
    </row>
    <row r="608" spans="1:8" ht="22" customHeight="1">
      <c r="A608" s="1" t="str">
        <f>IF(AND('Mortgage Inputs'!$B$12,602&lt;=IF('Mortgage Inputs'!$B$12,'Mortgage Inputs'!$B$7,0)*12+600,ISNUMBER(G607),G607&gt;0.005),602,"")</f>
        <v/>
      </c>
      <c r="B608" s="4" t="str">
        <f>IF(A608="","",DATE(YEAR('Mortgage Inputs'!$B$8),MONTH('Mortgage Inputs'!$B$8)+A608,DAY('Mortgage Inputs'!$B$8)))</f>
        <v/>
      </c>
      <c r="C608" s="2" t="str">
        <f t="shared" si="28"/>
        <v/>
      </c>
      <c r="D608" s="2" t="str">
        <f t="shared" si="29"/>
        <v/>
      </c>
      <c r="E608" s="2" t="str">
        <f>IF(A608="","",MAX(0,(C608-MIN(D608,C608))*'Mortgage Inputs'!$B$15))</f>
        <v/>
      </c>
      <c r="F608" s="2" t="str">
        <f>IF(A608="","",IF(AND('Offset Inputs'!$B$5&gt;='Mortgage Inputs'!$B$5,'Mortgage Inputs'!$B$5&gt;0),C608,MIN(C608,MAX(0,'Mortgage Inputs'!$B$17-E608))))</f>
        <v/>
      </c>
      <c r="G608" s="2" t="str">
        <f t="shared" si="27"/>
        <v/>
      </c>
      <c r="H608" s="2" t="str">
        <f>IF(A608="","",IF(AND('Offset Inputs'!$B$5&gt;='Mortgage Inputs'!$B$5,'Mortgage Inputs'!$B$5&gt;0),'Offset Inputs'!$B$5-'Mortgage Inputs'!$B$5,D608+'Offset Inputs'!$B$6))</f>
        <v/>
      </c>
    </row>
    <row r="609" spans="1:8" ht="22" customHeight="1">
      <c r="A609" s="1" t="str">
        <f>IF(AND('Mortgage Inputs'!$B$12,603&lt;=IF('Mortgage Inputs'!$B$12,'Mortgage Inputs'!$B$7,0)*12+600,ISNUMBER(G608),G608&gt;0.005),603,"")</f>
        <v/>
      </c>
      <c r="B609" s="4" t="str">
        <f>IF(A609="","",DATE(YEAR('Mortgage Inputs'!$B$8),MONTH('Mortgage Inputs'!$B$8)+A609,DAY('Mortgage Inputs'!$B$8)))</f>
        <v/>
      </c>
      <c r="C609" s="2" t="str">
        <f t="shared" si="28"/>
        <v/>
      </c>
      <c r="D609" s="2" t="str">
        <f t="shared" si="29"/>
        <v/>
      </c>
      <c r="E609" s="2" t="str">
        <f>IF(A609="","",MAX(0,(C609-MIN(D609,C609))*'Mortgage Inputs'!$B$15))</f>
        <v/>
      </c>
      <c r="F609" s="2" t="str">
        <f>IF(A609="","",IF(AND('Offset Inputs'!$B$5&gt;='Mortgage Inputs'!$B$5,'Mortgage Inputs'!$B$5&gt;0),C609,MIN(C609,MAX(0,'Mortgage Inputs'!$B$17-E609))))</f>
        <v/>
      </c>
      <c r="G609" s="2" t="str">
        <f t="shared" si="27"/>
        <v/>
      </c>
      <c r="H609" s="2" t="str">
        <f>IF(A609="","",IF(AND('Offset Inputs'!$B$5&gt;='Mortgage Inputs'!$B$5,'Mortgage Inputs'!$B$5&gt;0),'Offset Inputs'!$B$5-'Mortgage Inputs'!$B$5,D609+'Offset Inputs'!$B$6))</f>
        <v/>
      </c>
    </row>
    <row r="610" spans="1:8" ht="22" customHeight="1">
      <c r="A610" s="1" t="str">
        <f>IF(AND('Mortgage Inputs'!$B$12,604&lt;=IF('Mortgage Inputs'!$B$12,'Mortgage Inputs'!$B$7,0)*12+600,ISNUMBER(G609),G609&gt;0.005),604,"")</f>
        <v/>
      </c>
      <c r="B610" s="4" t="str">
        <f>IF(A610="","",DATE(YEAR('Mortgage Inputs'!$B$8),MONTH('Mortgage Inputs'!$B$8)+A610,DAY('Mortgage Inputs'!$B$8)))</f>
        <v/>
      </c>
      <c r="C610" s="2" t="str">
        <f t="shared" si="28"/>
        <v/>
      </c>
      <c r="D610" s="2" t="str">
        <f t="shared" si="29"/>
        <v/>
      </c>
      <c r="E610" s="2" t="str">
        <f>IF(A610="","",MAX(0,(C610-MIN(D610,C610))*'Mortgage Inputs'!$B$15))</f>
        <v/>
      </c>
      <c r="F610" s="2" t="str">
        <f>IF(A610="","",IF(AND('Offset Inputs'!$B$5&gt;='Mortgage Inputs'!$B$5,'Mortgage Inputs'!$B$5&gt;0),C610,MIN(C610,MAX(0,'Mortgage Inputs'!$B$17-E610))))</f>
        <v/>
      </c>
      <c r="G610" s="2" t="str">
        <f t="shared" si="27"/>
        <v/>
      </c>
      <c r="H610" s="2" t="str">
        <f>IF(A610="","",IF(AND('Offset Inputs'!$B$5&gt;='Mortgage Inputs'!$B$5,'Mortgage Inputs'!$B$5&gt;0),'Offset Inputs'!$B$5-'Mortgage Inputs'!$B$5,D610+'Offset Inputs'!$B$6))</f>
        <v/>
      </c>
    </row>
    <row r="611" spans="1:8" ht="22" customHeight="1">
      <c r="A611" s="1" t="str">
        <f>IF(AND('Mortgage Inputs'!$B$12,605&lt;=IF('Mortgage Inputs'!$B$12,'Mortgage Inputs'!$B$7,0)*12+600,ISNUMBER(G610),G610&gt;0.005),605,"")</f>
        <v/>
      </c>
      <c r="B611" s="4" t="str">
        <f>IF(A611="","",DATE(YEAR('Mortgage Inputs'!$B$8),MONTH('Mortgage Inputs'!$B$8)+A611,DAY('Mortgage Inputs'!$B$8)))</f>
        <v/>
      </c>
      <c r="C611" s="2" t="str">
        <f t="shared" si="28"/>
        <v/>
      </c>
      <c r="D611" s="2" t="str">
        <f t="shared" si="29"/>
        <v/>
      </c>
      <c r="E611" s="2" t="str">
        <f>IF(A611="","",MAX(0,(C611-MIN(D611,C611))*'Mortgage Inputs'!$B$15))</f>
        <v/>
      </c>
      <c r="F611" s="2" t="str">
        <f>IF(A611="","",IF(AND('Offset Inputs'!$B$5&gt;='Mortgage Inputs'!$B$5,'Mortgage Inputs'!$B$5&gt;0),C611,MIN(C611,MAX(0,'Mortgage Inputs'!$B$17-E611))))</f>
        <v/>
      </c>
      <c r="G611" s="2" t="str">
        <f t="shared" si="27"/>
        <v/>
      </c>
      <c r="H611" s="2" t="str">
        <f>IF(A611="","",IF(AND('Offset Inputs'!$B$5&gt;='Mortgage Inputs'!$B$5,'Mortgage Inputs'!$B$5&gt;0),'Offset Inputs'!$B$5-'Mortgage Inputs'!$B$5,D611+'Offset Inputs'!$B$6))</f>
        <v/>
      </c>
    </row>
    <row r="612" spans="1:8" ht="22" customHeight="1">
      <c r="A612" s="1" t="str">
        <f>IF(AND('Mortgage Inputs'!$B$12,606&lt;=IF('Mortgage Inputs'!$B$12,'Mortgage Inputs'!$B$7,0)*12+600,ISNUMBER(G611),G611&gt;0.005),606,"")</f>
        <v/>
      </c>
      <c r="B612" s="4" t="str">
        <f>IF(A612="","",DATE(YEAR('Mortgage Inputs'!$B$8),MONTH('Mortgage Inputs'!$B$8)+A612,DAY('Mortgage Inputs'!$B$8)))</f>
        <v/>
      </c>
      <c r="C612" s="2" t="str">
        <f t="shared" si="28"/>
        <v/>
      </c>
      <c r="D612" s="2" t="str">
        <f t="shared" si="29"/>
        <v/>
      </c>
      <c r="E612" s="2" t="str">
        <f>IF(A612="","",MAX(0,(C612-MIN(D612,C612))*'Mortgage Inputs'!$B$15))</f>
        <v/>
      </c>
      <c r="F612" s="2" t="str">
        <f>IF(A612="","",IF(AND('Offset Inputs'!$B$5&gt;='Mortgage Inputs'!$B$5,'Mortgage Inputs'!$B$5&gt;0),C612,MIN(C612,MAX(0,'Mortgage Inputs'!$B$17-E612))))</f>
        <v/>
      </c>
      <c r="G612" s="2" t="str">
        <f t="shared" si="27"/>
        <v/>
      </c>
      <c r="H612" s="2" t="str">
        <f>IF(A612="","",IF(AND('Offset Inputs'!$B$5&gt;='Mortgage Inputs'!$B$5,'Mortgage Inputs'!$B$5&gt;0),'Offset Inputs'!$B$5-'Mortgage Inputs'!$B$5,D612+'Offset Inputs'!$B$6))</f>
        <v/>
      </c>
    </row>
    <row r="613" spans="1:8" ht="22" customHeight="1">
      <c r="A613" s="1" t="str">
        <f>IF(AND('Mortgage Inputs'!$B$12,607&lt;=IF('Mortgage Inputs'!$B$12,'Mortgage Inputs'!$B$7,0)*12+600,ISNUMBER(G612),G612&gt;0.005),607,"")</f>
        <v/>
      </c>
      <c r="B613" s="4" t="str">
        <f>IF(A613="","",DATE(YEAR('Mortgage Inputs'!$B$8),MONTH('Mortgage Inputs'!$B$8)+A613,DAY('Mortgage Inputs'!$B$8)))</f>
        <v/>
      </c>
      <c r="C613" s="2" t="str">
        <f t="shared" si="28"/>
        <v/>
      </c>
      <c r="D613" s="2" t="str">
        <f t="shared" si="29"/>
        <v/>
      </c>
      <c r="E613" s="2" t="str">
        <f>IF(A613="","",MAX(0,(C613-MIN(D613,C613))*'Mortgage Inputs'!$B$15))</f>
        <v/>
      </c>
      <c r="F613" s="2" t="str">
        <f>IF(A613="","",IF(AND('Offset Inputs'!$B$5&gt;='Mortgage Inputs'!$B$5,'Mortgage Inputs'!$B$5&gt;0),C613,MIN(C613,MAX(0,'Mortgage Inputs'!$B$17-E613))))</f>
        <v/>
      </c>
      <c r="G613" s="2" t="str">
        <f t="shared" si="27"/>
        <v/>
      </c>
      <c r="H613" s="2" t="str">
        <f>IF(A613="","",IF(AND('Offset Inputs'!$B$5&gt;='Mortgage Inputs'!$B$5,'Mortgage Inputs'!$B$5&gt;0),'Offset Inputs'!$B$5-'Mortgage Inputs'!$B$5,D613+'Offset Inputs'!$B$6))</f>
        <v/>
      </c>
    </row>
    <row r="614" spans="1:8" ht="22" customHeight="1">
      <c r="A614" s="1" t="str">
        <f>IF(AND('Mortgage Inputs'!$B$12,608&lt;=IF('Mortgage Inputs'!$B$12,'Mortgage Inputs'!$B$7,0)*12+600,ISNUMBER(G613),G613&gt;0.005),608,"")</f>
        <v/>
      </c>
      <c r="B614" s="4" t="str">
        <f>IF(A614="","",DATE(YEAR('Mortgage Inputs'!$B$8),MONTH('Mortgage Inputs'!$B$8)+A614,DAY('Mortgage Inputs'!$B$8)))</f>
        <v/>
      </c>
      <c r="C614" s="2" t="str">
        <f t="shared" si="28"/>
        <v/>
      </c>
      <c r="D614" s="2" t="str">
        <f t="shared" si="29"/>
        <v/>
      </c>
      <c r="E614" s="2" t="str">
        <f>IF(A614="","",MAX(0,(C614-MIN(D614,C614))*'Mortgage Inputs'!$B$15))</f>
        <v/>
      </c>
      <c r="F614" s="2" t="str">
        <f>IF(A614="","",IF(AND('Offset Inputs'!$B$5&gt;='Mortgage Inputs'!$B$5,'Mortgage Inputs'!$B$5&gt;0),C614,MIN(C614,MAX(0,'Mortgage Inputs'!$B$17-E614))))</f>
        <v/>
      </c>
      <c r="G614" s="2" t="str">
        <f t="shared" si="27"/>
        <v/>
      </c>
      <c r="H614" s="2" t="str">
        <f>IF(A614="","",IF(AND('Offset Inputs'!$B$5&gt;='Mortgage Inputs'!$B$5,'Mortgage Inputs'!$B$5&gt;0),'Offset Inputs'!$B$5-'Mortgage Inputs'!$B$5,D614+'Offset Inputs'!$B$6))</f>
        <v/>
      </c>
    </row>
    <row r="615" spans="1:8" ht="22" customHeight="1">
      <c r="A615" s="1" t="str">
        <f>IF(AND('Mortgage Inputs'!$B$12,609&lt;=IF('Mortgage Inputs'!$B$12,'Mortgage Inputs'!$B$7,0)*12+600,ISNUMBER(G614),G614&gt;0.005),609,"")</f>
        <v/>
      </c>
      <c r="B615" s="4" t="str">
        <f>IF(A615="","",DATE(YEAR('Mortgage Inputs'!$B$8),MONTH('Mortgage Inputs'!$B$8)+A615,DAY('Mortgage Inputs'!$B$8)))</f>
        <v/>
      </c>
      <c r="C615" s="2" t="str">
        <f t="shared" si="28"/>
        <v/>
      </c>
      <c r="D615" s="2" t="str">
        <f t="shared" si="29"/>
        <v/>
      </c>
      <c r="E615" s="2" t="str">
        <f>IF(A615="","",MAX(0,(C615-MIN(D615,C615))*'Mortgage Inputs'!$B$15))</f>
        <v/>
      </c>
      <c r="F615" s="2" t="str">
        <f>IF(A615="","",IF(AND('Offset Inputs'!$B$5&gt;='Mortgage Inputs'!$B$5,'Mortgage Inputs'!$B$5&gt;0),C615,MIN(C615,MAX(0,'Mortgage Inputs'!$B$17-E615))))</f>
        <v/>
      </c>
      <c r="G615" s="2" t="str">
        <f t="shared" si="27"/>
        <v/>
      </c>
      <c r="H615" s="2" t="str">
        <f>IF(A615="","",IF(AND('Offset Inputs'!$B$5&gt;='Mortgage Inputs'!$B$5,'Mortgage Inputs'!$B$5&gt;0),'Offset Inputs'!$B$5-'Mortgage Inputs'!$B$5,D615+'Offset Inputs'!$B$6))</f>
        <v/>
      </c>
    </row>
    <row r="616" spans="1:8" ht="22" customHeight="1">
      <c r="A616" s="1" t="str">
        <f>IF(AND('Mortgage Inputs'!$B$12,610&lt;=IF('Mortgage Inputs'!$B$12,'Mortgage Inputs'!$B$7,0)*12+600,ISNUMBER(G615),G615&gt;0.005),610,"")</f>
        <v/>
      </c>
      <c r="B616" s="4" t="str">
        <f>IF(A616="","",DATE(YEAR('Mortgage Inputs'!$B$8),MONTH('Mortgage Inputs'!$B$8)+A616,DAY('Mortgage Inputs'!$B$8)))</f>
        <v/>
      </c>
      <c r="C616" s="2" t="str">
        <f t="shared" si="28"/>
        <v/>
      </c>
      <c r="D616" s="2" t="str">
        <f t="shared" si="29"/>
        <v/>
      </c>
      <c r="E616" s="2" t="str">
        <f>IF(A616="","",MAX(0,(C616-MIN(D616,C616))*'Mortgage Inputs'!$B$15))</f>
        <v/>
      </c>
      <c r="F616" s="2" t="str">
        <f>IF(A616="","",IF(AND('Offset Inputs'!$B$5&gt;='Mortgage Inputs'!$B$5,'Mortgage Inputs'!$B$5&gt;0),C616,MIN(C616,MAX(0,'Mortgage Inputs'!$B$17-E616))))</f>
        <v/>
      </c>
      <c r="G616" s="2" t="str">
        <f t="shared" si="27"/>
        <v/>
      </c>
      <c r="H616" s="2" t="str">
        <f>IF(A616="","",IF(AND('Offset Inputs'!$B$5&gt;='Mortgage Inputs'!$B$5,'Mortgage Inputs'!$B$5&gt;0),'Offset Inputs'!$B$5-'Mortgage Inputs'!$B$5,D616+'Offset Inputs'!$B$6))</f>
        <v/>
      </c>
    </row>
    <row r="617" spans="1:8" ht="22" customHeight="1">
      <c r="A617" s="1" t="str">
        <f>IF(AND('Mortgage Inputs'!$B$12,611&lt;=IF('Mortgage Inputs'!$B$12,'Mortgage Inputs'!$B$7,0)*12+600,ISNUMBER(G616),G616&gt;0.005),611,"")</f>
        <v/>
      </c>
      <c r="B617" s="4" t="str">
        <f>IF(A617="","",DATE(YEAR('Mortgage Inputs'!$B$8),MONTH('Mortgage Inputs'!$B$8)+A617,DAY('Mortgage Inputs'!$B$8)))</f>
        <v/>
      </c>
      <c r="C617" s="2" t="str">
        <f t="shared" si="28"/>
        <v/>
      </c>
      <c r="D617" s="2" t="str">
        <f t="shared" si="29"/>
        <v/>
      </c>
      <c r="E617" s="2" t="str">
        <f>IF(A617="","",MAX(0,(C617-MIN(D617,C617))*'Mortgage Inputs'!$B$15))</f>
        <v/>
      </c>
      <c r="F617" s="2" t="str">
        <f>IF(A617="","",IF(AND('Offset Inputs'!$B$5&gt;='Mortgage Inputs'!$B$5,'Mortgage Inputs'!$B$5&gt;0),C617,MIN(C617,MAX(0,'Mortgage Inputs'!$B$17-E617))))</f>
        <v/>
      </c>
      <c r="G617" s="2" t="str">
        <f t="shared" si="27"/>
        <v/>
      </c>
      <c r="H617" s="2" t="str">
        <f>IF(A617="","",IF(AND('Offset Inputs'!$B$5&gt;='Mortgage Inputs'!$B$5,'Mortgage Inputs'!$B$5&gt;0),'Offset Inputs'!$B$5-'Mortgage Inputs'!$B$5,D617+'Offset Inputs'!$B$6))</f>
        <v/>
      </c>
    </row>
    <row r="618" spans="1:8" ht="22" customHeight="1">
      <c r="A618" s="1" t="str">
        <f>IF(AND('Mortgage Inputs'!$B$12,612&lt;=IF('Mortgage Inputs'!$B$12,'Mortgage Inputs'!$B$7,0)*12+600,ISNUMBER(G617),G617&gt;0.005),612,"")</f>
        <v/>
      </c>
      <c r="B618" s="4" t="str">
        <f>IF(A618="","",DATE(YEAR('Mortgage Inputs'!$B$8),MONTH('Mortgage Inputs'!$B$8)+A618,DAY('Mortgage Inputs'!$B$8)))</f>
        <v/>
      </c>
      <c r="C618" s="2" t="str">
        <f t="shared" si="28"/>
        <v/>
      </c>
      <c r="D618" s="2" t="str">
        <f t="shared" si="29"/>
        <v/>
      </c>
      <c r="E618" s="2" t="str">
        <f>IF(A618="","",MAX(0,(C618-MIN(D618,C618))*'Mortgage Inputs'!$B$15))</f>
        <v/>
      </c>
      <c r="F618" s="2" t="str">
        <f>IF(A618="","",IF(AND('Offset Inputs'!$B$5&gt;='Mortgage Inputs'!$B$5,'Mortgage Inputs'!$B$5&gt;0),C618,MIN(C618,MAX(0,'Mortgage Inputs'!$B$17-E618))))</f>
        <v/>
      </c>
      <c r="G618" s="2" t="str">
        <f t="shared" si="27"/>
        <v/>
      </c>
      <c r="H618" s="2" t="str">
        <f>IF(A618="","",IF(AND('Offset Inputs'!$B$5&gt;='Mortgage Inputs'!$B$5,'Mortgage Inputs'!$B$5&gt;0),'Offset Inputs'!$B$5-'Mortgage Inputs'!$B$5,D618+'Offset Inputs'!$B$6))</f>
        <v/>
      </c>
    </row>
    <row r="619" spans="1:8" ht="22" customHeight="1">
      <c r="A619" s="1" t="str">
        <f>IF(AND('Mortgage Inputs'!$B$12,613&lt;=IF('Mortgage Inputs'!$B$12,'Mortgage Inputs'!$B$7,0)*12+600,ISNUMBER(G618),G618&gt;0.005),613,"")</f>
        <v/>
      </c>
      <c r="B619" s="4" t="str">
        <f>IF(A619="","",DATE(YEAR('Mortgage Inputs'!$B$8),MONTH('Mortgage Inputs'!$B$8)+A619,DAY('Mortgage Inputs'!$B$8)))</f>
        <v/>
      </c>
      <c r="C619" s="2" t="str">
        <f t="shared" si="28"/>
        <v/>
      </c>
      <c r="D619" s="2" t="str">
        <f t="shared" si="29"/>
        <v/>
      </c>
      <c r="E619" s="2" t="str">
        <f>IF(A619="","",MAX(0,(C619-MIN(D619,C619))*'Mortgage Inputs'!$B$15))</f>
        <v/>
      </c>
      <c r="F619" s="2" t="str">
        <f>IF(A619="","",IF(AND('Offset Inputs'!$B$5&gt;='Mortgage Inputs'!$B$5,'Mortgage Inputs'!$B$5&gt;0),C619,MIN(C619,MAX(0,'Mortgage Inputs'!$B$17-E619))))</f>
        <v/>
      </c>
      <c r="G619" s="2" t="str">
        <f t="shared" si="27"/>
        <v/>
      </c>
      <c r="H619" s="2" t="str">
        <f>IF(A619="","",IF(AND('Offset Inputs'!$B$5&gt;='Mortgage Inputs'!$B$5,'Mortgage Inputs'!$B$5&gt;0),'Offset Inputs'!$B$5-'Mortgage Inputs'!$B$5,D619+'Offset Inputs'!$B$6))</f>
        <v/>
      </c>
    </row>
    <row r="620" spans="1:8" ht="22" customHeight="1">
      <c r="A620" s="1" t="str">
        <f>IF(AND('Mortgage Inputs'!$B$12,614&lt;=IF('Mortgage Inputs'!$B$12,'Mortgage Inputs'!$B$7,0)*12+600,ISNUMBER(G619),G619&gt;0.005),614,"")</f>
        <v/>
      </c>
      <c r="B620" s="4" t="str">
        <f>IF(A620="","",DATE(YEAR('Mortgage Inputs'!$B$8),MONTH('Mortgage Inputs'!$B$8)+A620,DAY('Mortgage Inputs'!$B$8)))</f>
        <v/>
      </c>
      <c r="C620" s="2" t="str">
        <f t="shared" si="28"/>
        <v/>
      </c>
      <c r="D620" s="2" t="str">
        <f t="shared" si="29"/>
        <v/>
      </c>
      <c r="E620" s="2" t="str">
        <f>IF(A620="","",MAX(0,(C620-MIN(D620,C620))*'Mortgage Inputs'!$B$15))</f>
        <v/>
      </c>
      <c r="F620" s="2" t="str">
        <f>IF(A620="","",IF(AND('Offset Inputs'!$B$5&gt;='Mortgage Inputs'!$B$5,'Mortgage Inputs'!$B$5&gt;0),C620,MIN(C620,MAX(0,'Mortgage Inputs'!$B$17-E620))))</f>
        <v/>
      </c>
      <c r="G620" s="2" t="str">
        <f t="shared" si="27"/>
        <v/>
      </c>
      <c r="H620" s="2" t="str">
        <f>IF(A620="","",IF(AND('Offset Inputs'!$B$5&gt;='Mortgage Inputs'!$B$5,'Mortgage Inputs'!$B$5&gt;0),'Offset Inputs'!$B$5-'Mortgage Inputs'!$B$5,D620+'Offset Inputs'!$B$6))</f>
        <v/>
      </c>
    </row>
    <row r="621" spans="1:8" ht="22" customHeight="1">
      <c r="A621" s="1" t="str">
        <f>IF(AND('Mortgage Inputs'!$B$12,615&lt;=IF('Mortgage Inputs'!$B$12,'Mortgage Inputs'!$B$7,0)*12+600,ISNUMBER(G620),G620&gt;0.005),615,"")</f>
        <v/>
      </c>
      <c r="B621" s="4" t="str">
        <f>IF(A621="","",DATE(YEAR('Mortgage Inputs'!$B$8),MONTH('Mortgage Inputs'!$B$8)+A621,DAY('Mortgage Inputs'!$B$8)))</f>
        <v/>
      </c>
      <c r="C621" s="2" t="str">
        <f t="shared" si="28"/>
        <v/>
      </c>
      <c r="D621" s="2" t="str">
        <f t="shared" si="29"/>
        <v/>
      </c>
      <c r="E621" s="2" t="str">
        <f>IF(A621="","",MAX(0,(C621-MIN(D621,C621))*'Mortgage Inputs'!$B$15))</f>
        <v/>
      </c>
      <c r="F621" s="2" t="str">
        <f>IF(A621="","",IF(AND('Offset Inputs'!$B$5&gt;='Mortgage Inputs'!$B$5,'Mortgage Inputs'!$B$5&gt;0),C621,MIN(C621,MAX(0,'Mortgage Inputs'!$B$17-E621))))</f>
        <v/>
      </c>
      <c r="G621" s="2" t="str">
        <f t="shared" si="27"/>
        <v/>
      </c>
      <c r="H621" s="2" t="str">
        <f>IF(A621="","",IF(AND('Offset Inputs'!$B$5&gt;='Mortgage Inputs'!$B$5,'Mortgage Inputs'!$B$5&gt;0),'Offset Inputs'!$B$5-'Mortgage Inputs'!$B$5,D621+'Offset Inputs'!$B$6))</f>
        <v/>
      </c>
    </row>
    <row r="622" spans="1:8" ht="22" customHeight="1">
      <c r="A622" s="1" t="str">
        <f>IF(AND('Mortgage Inputs'!$B$12,616&lt;=IF('Mortgage Inputs'!$B$12,'Mortgage Inputs'!$B$7,0)*12+600,ISNUMBER(G621),G621&gt;0.005),616,"")</f>
        <v/>
      </c>
      <c r="B622" s="4" t="str">
        <f>IF(A622="","",DATE(YEAR('Mortgage Inputs'!$B$8),MONTH('Mortgage Inputs'!$B$8)+A622,DAY('Mortgage Inputs'!$B$8)))</f>
        <v/>
      </c>
      <c r="C622" s="2" t="str">
        <f t="shared" si="28"/>
        <v/>
      </c>
      <c r="D622" s="2" t="str">
        <f t="shared" si="29"/>
        <v/>
      </c>
      <c r="E622" s="2" t="str">
        <f>IF(A622="","",MAX(0,(C622-MIN(D622,C622))*'Mortgage Inputs'!$B$15))</f>
        <v/>
      </c>
      <c r="F622" s="2" t="str">
        <f>IF(A622="","",IF(AND('Offset Inputs'!$B$5&gt;='Mortgage Inputs'!$B$5,'Mortgage Inputs'!$B$5&gt;0),C622,MIN(C622,MAX(0,'Mortgage Inputs'!$B$17-E622))))</f>
        <v/>
      </c>
      <c r="G622" s="2" t="str">
        <f t="shared" si="27"/>
        <v/>
      </c>
      <c r="H622" s="2" t="str">
        <f>IF(A622="","",IF(AND('Offset Inputs'!$B$5&gt;='Mortgage Inputs'!$B$5,'Mortgage Inputs'!$B$5&gt;0),'Offset Inputs'!$B$5-'Mortgage Inputs'!$B$5,D622+'Offset Inputs'!$B$6))</f>
        <v/>
      </c>
    </row>
    <row r="623" spans="1:8" ht="22" customHeight="1">
      <c r="A623" s="1" t="str">
        <f>IF(AND('Mortgage Inputs'!$B$12,617&lt;=IF('Mortgage Inputs'!$B$12,'Mortgage Inputs'!$B$7,0)*12+600,ISNUMBER(G622),G622&gt;0.005),617,"")</f>
        <v/>
      </c>
      <c r="B623" s="4" t="str">
        <f>IF(A623="","",DATE(YEAR('Mortgage Inputs'!$B$8),MONTH('Mortgage Inputs'!$B$8)+A623,DAY('Mortgage Inputs'!$B$8)))</f>
        <v/>
      </c>
      <c r="C623" s="2" t="str">
        <f t="shared" si="28"/>
        <v/>
      </c>
      <c r="D623" s="2" t="str">
        <f t="shared" si="29"/>
        <v/>
      </c>
      <c r="E623" s="2" t="str">
        <f>IF(A623="","",MAX(0,(C623-MIN(D623,C623))*'Mortgage Inputs'!$B$15))</f>
        <v/>
      </c>
      <c r="F623" s="2" t="str">
        <f>IF(A623="","",IF(AND('Offset Inputs'!$B$5&gt;='Mortgage Inputs'!$B$5,'Mortgage Inputs'!$B$5&gt;0),C623,MIN(C623,MAX(0,'Mortgage Inputs'!$B$17-E623))))</f>
        <v/>
      </c>
      <c r="G623" s="2" t="str">
        <f t="shared" si="27"/>
        <v/>
      </c>
      <c r="H623" s="2" t="str">
        <f>IF(A623="","",IF(AND('Offset Inputs'!$B$5&gt;='Mortgage Inputs'!$B$5,'Mortgage Inputs'!$B$5&gt;0),'Offset Inputs'!$B$5-'Mortgage Inputs'!$B$5,D623+'Offset Inputs'!$B$6))</f>
        <v/>
      </c>
    </row>
    <row r="624" spans="1:8" ht="22" customHeight="1">
      <c r="A624" s="1" t="str">
        <f>IF(AND('Mortgage Inputs'!$B$12,618&lt;=IF('Mortgage Inputs'!$B$12,'Mortgage Inputs'!$B$7,0)*12+600,ISNUMBER(G623),G623&gt;0.005),618,"")</f>
        <v/>
      </c>
      <c r="B624" s="4" t="str">
        <f>IF(A624="","",DATE(YEAR('Mortgage Inputs'!$B$8),MONTH('Mortgage Inputs'!$B$8)+A624,DAY('Mortgage Inputs'!$B$8)))</f>
        <v/>
      </c>
      <c r="C624" s="2" t="str">
        <f t="shared" si="28"/>
        <v/>
      </c>
      <c r="D624" s="2" t="str">
        <f t="shared" si="29"/>
        <v/>
      </c>
      <c r="E624" s="2" t="str">
        <f>IF(A624="","",MAX(0,(C624-MIN(D624,C624))*'Mortgage Inputs'!$B$15))</f>
        <v/>
      </c>
      <c r="F624" s="2" t="str">
        <f>IF(A624="","",IF(AND('Offset Inputs'!$B$5&gt;='Mortgage Inputs'!$B$5,'Mortgage Inputs'!$B$5&gt;0),C624,MIN(C624,MAX(0,'Mortgage Inputs'!$B$17-E624))))</f>
        <v/>
      </c>
      <c r="G624" s="2" t="str">
        <f t="shared" si="27"/>
        <v/>
      </c>
      <c r="H624" s="2" t="str">
        <f>IF(A624="","",IF(AND('Offset Inputs'!$B$5&gt;='Mortgage Inputs'!$B$5,'Mortgage Inputs'!$B$5&gt;0),'Offset Inputs'!$B$5-'Mortgage Inputs'!$B$5,D624+'Offset Inputs'!$B$6))</f>
        <v/>
      </c>
    </row>
    <row r="625" spans="1:8" ht="22" customHeight="1">
      <c r="A625" s="1" t="str">
        <f>IF(AND('Mortgage Inputs'!$B$12,619&lt;=IF('Mortgage Inputs'!$B$12,'Mortgage Inputs'!$B$7,0)*12+600,ISNUMBER(G624),G624&gt;0.005),619,"")</f>
        <v/>
      </c>
      <c r="B625" s="4" t="str">
        <f>IF(A625="","",DATE(YEAR('Mortgage Inputs'!$B$8),MONTH('Mortgage Inputs'!$B$8)+A625,DAY('Mortgage Inputs'!$B$8)))</f>
        <v/>
      </c>
      <c r="C625" s="2" t="str">
        <f t="shared" si="28"/>
        <v/>
      </c>
      <c r="D625" s="2" t="str">
        <f t="shared" si="29"/>
        <v/>
      </c>
      <c r="E625" s="2" t="str">
        <f>IF(A625="","",MAX(0,(C625-MIN(D625,C625))*'Mortgage Inputs'!$B$15))</f>
        <v/>
      </c>
      <c r="F625" s="2" t="str">
        <f>IF(A625="","",IF(AND('Offset Inputs'!$B$5&gt;='Mortgage Inputs'!$B$5,'Mortgage Inputs'!$B$5&gt;0),C625,MIN(C625,MAX(0,'Mortgage Inputs'!$B$17-E625))))</f>
        <v/>
      </c>
      <c r="G625" s="2" t="str">
        <f t="shared" si="27"/>
        <v/>
      </c>
      <c r="H625" s="2" t="str">
        <f>IF(A625="","",IF(AND('Offset Inputs'!$B$5&gt;='Mortgage Inputs'!$B$5,'Mortgage Inputs'!$B$5&gt;0),'Offset Inputs'!$B$5-'Mortgage Inputs'!$B$5,D625+'Offset Inputs'!$B$6))</f>
        <v/>
      </c>
    </row>
    <row r="626" spans="1:8" ht="22" customHeight="1">
      <c r="A626" s="1" t="str">
        <f>IF(AND('Mortgage Inputs'!$B$12,620&lt;=IF('Mortgage Inputs'!$B$12,'Mortgage Inputs'!$B$7,0)*12+600,ISNUMBER(G625),G625&gt;0.005),620,"")</f>
        <v/>
      </c>
      <c r="B626" s="4" t="str">
        <f>IF(A626="","",DATE(YEAR('Mortgage Inputs'!$B$8),MONTH('Mortgage Inputs'!$B$8)+A626,DAY('Mortgage Inputs'!$B$8)))</f>
        <v/>
      </c>
      <c r="C626" s="2" t="str">
        <f t="shared" si="28"/>
        <v/>
      </c>
      <c r="D626" s="2" t="str">
        <f t="shared" si="29"/>
        <v/>
      </c>
      <c r="E626" s="2" t="str">
        <f>IF(A626="","",MAX(0,(C626-MIN(D626,C626))*'Mortgage Inputs'!$B$15))</f>
        <v/>
      </c>
      <c r="F626" s="2" t="str">
        <f>IF(A626="","",IF(AND('Offset Inputs'!$B$5&gt;='Mortgage Inputs'!$B$5,'Mortgage Inputs'!$B$5&gt;0),C626,MIN(C626,MAX(0,'Mortgage Inputs'!$B$17-E626))))</f>
        <v/>
      </c>
      <c r="G626" s="2" t="str">
        <f t="shared" si="27"/>
        <v/>
      </c>
      <c r="H626" s="2" t="str">
        <f>IF(A626="","",IF(AND('Offset Inputs'!$B$5&gt;='Mortgage Inputs'!$B$5,'Mortgage Inputs'!$B$5&gt;0),'Offset Inputs'!$B$5-'Mortgage Inputs'!$B$5,D626+'Offset Inputs'!$B$6))</f>
        <v/>
      </c>
    </row>
    <row r="627" spans="1:8" ht="22" customHeight="1">
      <c r="A627" s="1" t="str">
        <f>IF(AND('Mortgage Inputs'!$B$12,621&lt;=IF('Mortgage Inputs'!$B$12,'Mortgage Inputs'!$B$7,0)*12+600,ISNUMBER(G626),G626&gt;0.005),621,"")</f>
        <v/>
      </c>
      <c r="B627" s="4" t="str">
        <f>IF(A627="","",DATE(YEAR('Mortgage Inputs'!$B$8),MONTH('Mortgage Inputs'!$B$8)+A627,DAY('Mortgage Inputs'!$B$8)))</f>
        <v/>
      </c>
      <c r="C627" s="2" t="str">
        <f t="shared" si="28"/>
        <v/>
      </c>
      <c r="D627" s="2" t="str">
        <f t="shared" si="29"/>
        <v/>
      </c>
      <c r="E627" s="2" t="str">
        <f>IF(A627="","",MAX(0,(C627-MIN(D627,C627))*'Mortgage Inputs'!$B$15))</f>
        <v/>
      </c>
      <c r="F627" s="2" t="str">
        <f>IF(A627="","",IF(AND('Offset Inputs'!$B$5&gt;='Mortgage Inputs'!$B$5,'Mortgage Inputs'!$B$5&gt;0),C627,MIN(C627,MAX(0,'Mortgage Inputs'!$B$17-E627))))</f>
        <v/>
      </c>
      <c r="G627" s="2" t="str">
        <f t="shared" si="27"/>
        <v/>
      </c>
      <c r="H627" s="2" t="str">
        <f>IF(A627="","",IF(AND('Offset Inputs'!$B$5&gt;='Mortgage Inputs'!$B$5,'Mortgage Inputs'!$B$5&gt;0),'Offset Inputs'!$B$5-'Mortgage Inputs'!$B$5,D627+'Offset Inputs'!$B$6))</f>
        <v/>
      </c>
    </row>
    <row r="628" spans="1:8" ht="22" customHeight="1">
      <c r="A628" s="1" t="str">
        <f>IF(AND('Mortgage Inputs'!$B$12,622&lt;=IF('Mortgage Inputs'!$B$12,'Mortgage Inputs'!$B$7,0)*12+600,ISNUMBER(G627),G627&gt;0.005),622,"")</f>
        <v/>
      </c>
      <c r="B628" s="4" t="str">
        <f>IF(A628="","",DATE(YEAR('Mortgage Inputs'!$B$8),MONTH('Mortgage Inputs'!$B$8)+A628,DAY('Mortgage Inputs'!$B$8)))</f>
        <v/>
      </c>
      <c r="C628" s="2" t="str">
        <f t="shared" si="28"/>
        <v/>
      </c>
      <c r="D628" s="2" t="str">
        <f t="shared" si="29"/>
        <v/>
      </c>
      <c r="E628" s="2" t="str">
        <f>IF(A628="","",MAX(0,(C628-MIN(D628,C628))*'Mortgage Inputs'!$B$15))</f>
        <v/>
      </c>
      <c r="F628" s="2" t="str">
        <f>IF(A628="","",IF(AND('Offset Inputs'!$B$5&gt;='Mortgage Inputs'!$B$5,'Mortgage Inputs'!$B$5&gt;0),C628,MIN(C628,MAX(0,'Mortgage Inputs'!$B$17-E628))))</f>
        <v/>
      </c>
      <c r="G628" s="2" t="str">
        <f t="shared" si="27"/>
        <v/>
      </c>
      <c r="H628" s="2" t="str">
        <f>IF(A628="","",IF(AND('Offset Inputs'!$B$5&gt;='Mortgage Inputs'!$B$5,'Mortgage Inputs'!$B$5&gt;0),'Offset Inputs'!$B$5-'Mortgage Inputs'!$B$5,D628+'Offset Inputs'!$B$6))</f>
        <v/>
      </c>
    </row>
    <row r="629" spans="1:8" ht="22" customHeight="1">
      <c r="A629" s="1" t="str">
        <f>IF(AND('Mortgage Inputs'!$B$12,623&lt;=IF('Mortgage Inputs'!$B$12,'Mortgage Inputs'!$B$7,0)*12+600,ISNUMBER(G628),G628&gt;0.005),623,"")</f>
        <v/>
      </c>
      <c r="B629" s="4" t="str">
        <f>IF(A629="","",DATE(YEAR('Mortgage Inputs'!$B$8),MONTH('Mortgage Inputs'!$B$8)+A629,DAY('Mortgage Inputs'!$B$8)))</f>
        <v/>
      </c>
      <c r="C629" s="2" t="str">
        <f t="shared" si="28"/>
        <v/>
      </c>
      <c r="D629" s="2" t="str">
        <f t="shared" si="29"/>
        <v/>
      </c>
      <c r="E629" s="2" t="str">
        <f>IF(A629="","",MAX(0,(C629-MIN(D629,C629))*'Mortgage Inputs'!$B$15))</f>
        <v/>
      </c>
      <c r="F629" s="2" t="str">
        <f>IF(A629="","",IF(AND('Offset Inputs'!$B$5&gt;='Mortgage Inputs'!$B$5,'Mortgage Inputs'!$B$5&gt;0),C629,MIN(C629,MAX(0,'Mortgage Inputs'!$B$17-E629))))</f>
        <v/>
      </c>
      <c r="G629" s="2" t="str">
        <f t="shared" si="27"/>
        <v/>
      </c>
      <c r="H629" s="2" t="str">
        <f>IF(A629="","",IF(AND('Offset Inputs'!$B$5&gt;='Mortgage Inputs'!$B$5,'Mortgage Inputs'!$B$5&gt;0),'Offset Inputs'!$B$5-'Mortgage Inputs'!$B$5,D629+'Offset Inputs'!$B$6))</f>
        <v/>
      </c>
    </row>
    <row r="630" spans="1:8" ht="22" customHeight="1">
      <c r="A630" s="1" t="str">
        <f>IF(AND('Mortgage Inputs'!$B$12,624&lt;=IF('Mortgage Inputs'!$B$12,'Mortgage Inputs'!$B$7,0)*12+600,ISNUMBER(G629),G629&gt;0.005),624,"")</f>
        <v/>
      </c>
      <c r="B630" s="4" t="str">
        <f>IF(A630="","",DATE(YEAR('Mortgage Inputs'!$B$8),MONTH('Mortgage Inputs'!$B$8)+A630,DAY('Mortgage Inputs'!$B$8)))</f>
        <v/>
      </c>
      <c r="C630" s="2" t="str">
        <f t="shared" si="28"/>
        <v/>
      </c>
      <c r="D630" s="2" t="str">
        <f t="shared" si="29"/>
        <v/>
      </c>
      <c r="E630" s="2" t="str">
        <f>IF(A630="","",MAX(0,(C630-MIN(D630,C630))*'Mortgage Inputs'!$B$15))</f>
        <v/>
      </c>
      <c r="F630" s="2" t="str">
        <f>IF(A630="","",IF(AND('Offset Inputs'!$B$5&gt;='Mortgage Inputs'!$B$5,'Mortgage Inputs'!$B$5&gt;0),C630,MIN(C630,MAX(0,'Mortgage Inputs'!$B$17-E630))))</f>
        <v/>
      </c>
      <c r="G630" s="2" t="str">
        <f t="shared" si="27"/>
        <v/>
      </c>
      <c r="H630" s="2" t="str">
        <f>IF(A630="","",IF(AND('Offset Inputs'!$B$5&gt;='Mortgage Inputs'!$B$5,'Mortgage Inputs'!$B$5&gt;0),'Offset Inputs'!$B$5-'Mortgage Inputs'!$B$5,D630+'Offset Inputs'!$B$6))</f>
        <v/>
      </c>
    </row>
    <row r="631" spans="1:8" ht="22" customHeight="1">
      <c r="A631" s="1" t="str">
        <f>IF(AND('Mortgage Inputs'!$B$12,625&lt;=IF('Mortgage Inputs'!$B$12,'Mortgage Inputs'!$B$7,0)*12+600,ISNUMBER(G630),G630&gt;0.005),625,"")</f>
        <v/>
      </c>
      <c r="B631" s="4" t="str">
        <f>IF(A631="","",DATE(YEAR('Mortgage Inputs'!$B$8),MONTH('Mortgage Inputs'!$B$8)+A631,DAY('Mortgage Inputs'!$B$8)))</f>
        <v/>
      </c>
      <c r="C631" s="2" t="str">
        <f t="shared" si="28"/>
        <v/>
      </c>
      <c r="D631" s="2" t="str">
        <f t="shared" si="29"/>
        <v/>
      </c>
      <c r="E631" s="2" t="str">
        <f>IF(A631="","",MAX(0,(C631-MIN(D631,C631))*'Mortgage Inputs'!$B$15))</f>
        <v/>
      </c>
      <c r="F631" s="2" t="str">
        <f>IF(A631="","",IF(AND('Offset Inputs'!$B$5&gt;='Mortgage Inputs'!$B$5,'Mortgage Inputs'!$B$5&gt;0),C631,MIN(C631,MAX(0,'Mortgage Inputs'!$B$17-E631))))</f>
        <v/>
      </c>
      <c r="G631" s="2" t="str">
        <f t="shared" si="27"/>
        <v/>
      </c>
      <c r="H631" s="2" t="str">
        <f>IF(A631="","",IF(AND('Offset Inputs'!$B$5&gt;='Mortgage Inputs'!$B$5,'Mortgage Inputs'!$B$5&gt;0),'Offset Inputs'!$B$5-'Mortgage Inputs'!$B$5,D631+'Offset Inputs'!$B$6))</f>
        <v/>
      </c>
    </row>
    <row r="632" spans="1:8" ht="22" customHeight="1">
      <c r="A632" s="1" t="str">
        <f>IF(AND('Mortgage Inputs'!$B$12,626&lt;=IF('Mortgage Inputs'!$B$12,'Mortgage Inputs'!$B$7,0)*12+600,ISNUMBER(G631),G631&gt;0.005),626,"")</f>
        <v/>
      </c>
      <c r="B632" s="4" t="str">
        <f>IF(A632="","",DATE(YEAR('Mortgage Inputs'!$B$8),MONTH('Mortgage Inputs'!$B$8)+A632,DAY('Mortgage Inputs'!$B$8)))</f>
        <v/>
      </c>
      <c r="C632" s="2" t="str">
        <f t="shared" si="28"/>
        <v/>
      </c>
      <c r="D632" s="2" t="str">
        <f t="shared" si="29"/>
        <v/>
      </c>
      <c r="E632" s="2" t="str">
        <f>IF(A632="","",MAX(0,(C632-MIN(D632,C632))*'Mortgage Inputs'!$B$15))</f>
        <v/>
      </c>
      <c r="F632" s="2" t="str">
        <f>IF(A632="","",IF(AND('Offset Inputs'!$B$5&gt;='Mortgage Inputs'!$B$5,'Mortgage Inputs'!$B$5&gt;0),C632,MIN(C632,MAX(0,'Mortgage Inputs'!$B$17-E632))))</f>
        <v/>
      </c>
      <c r="G632" s="2" t="str">
        <f t="shared" si="27"/>
        <v/>
      </c>
      <c r="H632" s="2" t="str">
        <f>IF(A632="","",IF(AND('Offset Inputs'!$B$5&gt;='Mortgage Inputs'!$B$5,'Mortgage Inputs'!$B$5&gt;0),'Offset Inputs'!$B$5-'Mortgage Inputs'!$B$5,D632+'Offset Inputs'!$B$6))</f>
        <v/>
      </c>
    </row>
    <row r="633" spans="1:8" ht="22" customHeight="1">
      <c r="A633" s="1" t="str">
        <f>IF(AND('Mortgage Inputs'!$B$12,627&lt;=IF('Mortgage Inputs'!$B$12,'Mortgage Inputs'!$B$7,0)*12+600,ISNUMBER(G632),G632&gt;0.005),627,"")</f>
        <v/>
      </c>
      <c r="B633" s="4" t="str">
        <f>IF(A633="","",DATE(YEAR('Mortgage Inputs'!$B$8),MONTH('Mortgage Inputs'!$B$8)+A633,DAY('Mortgage Inputs'!$B$8)))</f>
        <v/>
      </c>
      <c r="C633" s="2" t="str">
        <f t="shared" si="28"/>
        <v/>
      </c>
      <c r="D633" s="2" t="str">
        <f t="shared" si="29"/>
        <v/>
      </c>
      <c r="E633" s="2" t="str">
        <f>IF(A633="","",MAX(0,(C633-MIN(D633,C633))*'Mortgage Inputs'!$B$15))</f>
        <v/>
      </c>
      <c r="F633" s="2" t="str">
        <f>IF(A633="","",IF(AND('Offset Inputs'!$B$5&gt;='Mortgage Inputs'!$B$5,'Mortgage Inputs'!$B$5&gt;0),C633,MIN(C633,MAX(0,'Mortgage Inputs'!$B$17-E633))))</f>
        <v/>
      </c>
      <c r="G633" s="2" t="str">
        <f t="shared" si="27"/>
        <v/>
      </c>
      <c r="H633" s="2" t="str">
        <f>IF(A633="","",IF(AND('Offset Inputs'!$B$5&gt;='Mortgage Inputs'!$B$5,'Mortgage Inputs'!$B$5&gt;0),'Offset Inputs'!$B$5-'Mortgage Inputs'!$B$5,D633+'Offset Inputs'!$B$6))</f>
        <v/>
      </c>
    </row>
    <row r="634" spans="1:8" ht="22" customHeight="1">
      <c r="A634" s="1" t="str">
        <f>IF(AND('Mortgage Inputs'!$B$12,628&lt;=IF('Mortgage Inputs'!$B$12,'Mortgage Inputs'!$B$7,0)*12+600,ISNUMBER(G633),G633&gt;0.005),628,"")</f>
        <v/>
      </c>
      <c r="B634" s="4" t="str">
        <f>IF(A634="","",DATE(YEAR('Mortgage Inputs'!$B$8),MONTH('Mortgage Inputs'!$B$8)+A634,DAY('Mortgage Inputs'!$B$8)))</f>
        <v/>
      </c>
      <c r="C634" s="2" t="str">
        <f t="shared" si="28"/>
        <v/>
      </c>
      <c r="D634" s="2" t="str">
        <f t="shared" si="29"/>
        <v/>
      </c>
      <c r="E634" s="2" t="str">
        <f>IF(A634="","",MAX(0,(C634-MIN(D634,C634))*'Mortgage Inputs'!$B$15))</f>
        <v/>
      </c>
      <c r="F634" s="2" t="str">
        <f>IF(A634="","",IF(AND('Offset Inputs'!$B$5&gt;='Mortgage Inputs'!$B$5,'Mortgage Inputs'!$B$5&gt;0),C634,MIN(C634,MAX(0,'Mortgage Inputs'!$B$17-E634))))</f>
        <v/>
      </c>
      <c r="G634" s="2" t="str">
        <f t="shared" si="27"/>
        <v/>
      </c>
      <c r="H634" s="2" t="str">
        <f>IF(A634="","",IF(AND('Offset Inputs'!$B$5&gt;='Mortgage Inputs'!$B$5,'Mortgage Inputs'!$B$5&gt;0),'Offset Inputs'!$B$5-'Mortgage Inputs'!$B$5,D634+'Offset Inputs'!$B$6))</f>
        <v/>
      </c>
    </row>
    <row r="635" spans="1:8" ht="22" customHeight="1">
      <c r="A635" s="1" t="str">
        <f>IF(AND('Mortgage Inputs'!$B$12,629&lt;=IF('Mortgage Inputs'!$B$12,'Mortgage Inputs'!$B$7,0)*12+600,ISNUMBER(G634),G634&gt;0.005),629,"")</f>
        <v/>
      </c>
      <c r="B635" s="4" t="str">
        <f>IF(A635="","",DATE(YEAR('Mortgage Inputs'!$B$8),MONTH('Mortgage Inputs'!$B$8)+A635,DAY('Mortgage Inputs'!$B$8)))</f>
        <v/>
      </c>
      <c r="C635" s="2" t="str">
        <f t="shared" si="28"/>
        <v/>
      </c>
      <c r="D635" s="2" t="str">
        <f t="shared" si="29"/>
        <v/>
      </c>
      <c r="E635" s="2" t="str">
        <f>IF(A635="","",MAX(0,(C635-MIN(D635,C635))*'Mortgage Inputs'!$B$15))</f>
        <v/>
      </c>
      <c r="F635" s="2" t="str">
        <f>IF(A635="","",IF(AND('Offset Inputs'!$B$5&gt;='Mortgage Inputs'!$B$5,'Mortgage Inputs'!$B$5&gt;0),C635,MIN(C635,MAX(0,'Mortgage Inputs'!$B$17-E635))))</f>
        <v/>
      </c>
      <c r="G635" s="2" t="str">
        <f t="shared" si="27"/>
        <v/>
      </c>
      <c r="H635" s="2" t="str">
        <f>IF(A635="","",IF(AND('Offset Inputs'!$B$5&gt;='Mortgage Inputs'!$B$5,'Mortgage Inputs'!$B$5&gt;0),'Offset Inputs'!$B$5-'Mortgage Inputs'!$B$5,D635+'Offset Inputs'!$B$6))</f>
        <v/>
      </c>
    </row>
    <row r="636" spans="1:8" ht="22" customHeight="1">
      <c r="A636" s="1" t="str">
        <f>IF(AND('Mortgage Inputs'!$B$12,630&lt;=IF('Mortgage Inputs'!$B$12,'Mortgage Inputs'!$B$7,0)*12+600,ISNUMBER(G635),G635&gt;0.005),630,"")</f>
        <v/>
      </c>
      <c r="B636" s="4" t="str">
        <f>IF(A636="","",DATE(YEAR('Mortgage Inputs'!$B$8),MONTH('Mortgage Inputs'!$B$8)+A636,DAY('Mortgage Inputs'!$B$8)))</f>
        <v/>
      </c>
      <c r="C636" s="2" t="str">
        <f t="shared" si="28"/>
        <v/>
      </c>
      <c r="D636" s="2" t="str">
        <f t="shared" si="29"/>
        <v/>
      </c>
      <c r="E636" s="2" t="str">
        <f>IF(A636="","",MAX(0,(C636-MIN(D636,C636))*'Mortgage Inputs'!$B$15))</f>
        <v/>
      </c>
      <c r="F636" s="2" t="str">
        <f>IF(A636="","",IF(AND('Offset Inputs'!$B$5&gt;='Mortgage Inputs'!$B$5,'Mortgage Inputs'!$B$5&gt;0),C636,MIN(C636,MAX(0,'Mortgage Inputs'!$B$17-E636))))</f>
        <v/>
      </c>
      <c r="G636" s="2" t="str">
        <f t="shared" si="27"/>
        <v/>
      </c>
      <c r="H636" s="2" t="str">
        <f>IF(A636="","",IF(AND('Offset Inputs'!$B$5&gt;='Mortgage Inputs'!$B$5,'Mortgage Inputs'!$B$5&gt;0),'Offset Inputs'!$B$5-'Mortgage Inputs'!$B$5,D636+'Offset Inputs'!$B$6))</f>
        <v/>
      </c>
    </row>
    <row r="637" spans="1:8" ht="22" customHeight="1">
      <c r="A637" s="1" t="str">
        <f>IF(AND('Mortgage Inputs'!$B$12,631&lt;=IF('Mortgage Inputs'!$B$12,'Mortgage Inputs'!$B$7,0)*12+600,ISNUMBER(G636),G636&gt;0.005),631,"")</f>
        <v/>
      </c>
      <c r="B637" s="4" t="str">
        <f>IF(A637="","",DATE(YEAR('Mortgage Inputs'!$B$8),MONTH('Mortgage Inputs'!$B$8)+A637,DAY('Mortgage Inputs'!$B$8)))</f>
        <v/>
      </c>
      <c r="C637" s="2" t="str">
        <f t="shared" si="28"/>
        <v/>
      </c>
      <c r="D637" s="2" t="str">
        <f t="shared" si="29"/>
        <v/>
      </c>
      <c r="E637" s="2" t="str">
        <f>IF(A637="","",MAX(0,(C637-MIN(D637,C637))*'Mortgage Inputs'!$B$15))</f>
        <v/>
      </c>
      <c r="F637" s="2" t="str">
        <f>IF(A637="","",IF(AND('Offset Inputs'!$B$5&gt;='Mortgage Inputs'!$B$5,'Mortgage Inputs'!$B$5&gt;0),C637,MIN(C637,MAX(0,'Mortgage Inputs'!$B$17-E637))))</f>
        <v/>
      </c>
      <c r="G637" s="2" t="str">
        <f t="shared" si="27"/>
        <v/>
      </c>
      <c r="H637" s="2" t="str">
        <f>IF(A637="","",IF(AND('Offset Inputs'!$B$5&gt;='Mortgage Inputs'!$B$5,'Mortgage Inputs'!$B$5&gt;0),'Offset Inputs'!$B$5-'Mortgage Inputs'!$B$5,D637+'Offset Inputs'!$B$6))</f>
        <v/>
      </c>
    </row>
    <row r="638" spans="1:8" ht="22" customHeight="1">
      <c r="A638" s="1" t="str">
        <f>IF(AND('Mortgage Inputs'!$B$12,632&lt;=IF('Mortgage Inputs'!$B$12,'Mortgage Inputs'!$B$7,0)*12+600,ISNUMBER(G637),G637&gt;0.005),632,"")</f>
        <v/>
      </c>
      <c r="B638" s="4" t="str">
        <f>IF(A638="","",DATE(YEAR('Mortgage Inputs'!$B$8),MONTH('Mortgage Inputs'!$B$8)+A638,DAY('Mortgage Inputs'!$B$8)))</f>
        <v/>
      </c>
      <c r="C638" s="2" t="str">
        <f t="shared" si="28"/>
        <v/>
      </c>
      <c r="D638" s="2" t="str">
        <f t="shared" si="29"/>
        <v/>
      </c>
      <c r="E638" s="2" t="str">
        <f>IF(A638="","",MAX(0,(C638-MIN(D638,C638))*'Mortgage Inputs'!$B$15))</f>
        <v/>
      </c>
      <c r="F638" s="2" t="str">
        <f>IF(A638="","",IF(AND('Offset Inputs'!$B$5&gt;='Mortgage Inputs'!$B$5,'Mortgage Inputs'!$B$5&gt;0),C638,MIN(C638,MAX(0,'Mortgage Inputs'!$B$17-E638))))</f>
        <v/>
      </c>
      <c r="G638" s="2" t="str">
        <f t="shared" si="27"/>
        <v/>
      </c>
      <c r="H638" s="2" t="str">
        <f>IF(A638="","",IF(AND('Offset Inputs'!$B$5&gt;='Mortgage Inputs'!$B$5,'Mortgage Inputs'!$B$5&gt;0),'Offset Inputs'!$B$5-'Mortgage Inputs'!$B$5,D638+'Offset Inputs'!$B$6))</f>
        <v/>
      </c>
    </row>
    <row r="639" spans="1:8" ht="22" customHeight="1">
      <c r="A639" s="1" t="str">
        <f>IF(AND('Mortgage Inputs'!$B$12,633&lt;=IF('Mortgage Inputs'!$B$12,'Mortgage Inputs'!$B$7,0)*12+600,ISNUMBER(G638),G638&gt;0.005),633,"")</f>
        <v/>
      </c>
      <c r="B639" s="4" t="str">
        <f>IF(A639="","",DATE(YEAR('Mortgage Inputs'!$B$8),MONTH('Mortgage Inputs'!$B$8)+A639,DAY('Mortgage Inputs'!$B$8)))</f>
        <v/>
      </c>
      <c r="C639" s="2" t="str">
        <f t="shared" si="28"/>
        <v/>
      </c>
      <c r="D639" s="2" t="str">
        <f t="shared" si="29"/>
        <v/>
      </c>
      <c r="E639" s="2" t="str">
        <f>IF(A639="","",MAX(0,(C639-MIN(D639,C639))*'Mortgage Inputs'!$B$15))</f>
        <v/>
      </c>
      <c r="F639" s="2" t="str">
        <f>IF(A639="","",IF(AND('Offset Inputs'!$B$5&gt;='Mortgage Inputs'!$B$5,'Mortgage Inputs'!$B$5&gt;0),C639,MIN(C639,MAX(0,'Mortgage Inputs'!$B$17-E639))))</f>
        <v/>
      </c>
      <c r="G639" s="2" t="str">
        <f t="shared" si="27"/>
        <v/>
      </c>
      <c r="H639" s="2" t="str">
        <f>IF(A639="","",IF(AND('Offset Inputs'!$B$5&gt;='Mortgage Inputs'!$B$5,'Mortgage Inputs'!$B$5&gt;0),'Offset Inputs'!$B$5-'Mortgage Inputs'!$B$5,D639+'Offset Inputs'!$B$6))</f>
        <v/>
      </c>
    </row>
    <row r="640" spans="1:8" ht="22" customHeight="1">
      <c r="A640" s="1" t="str">
        <f>IF(AND('Mortgage Inputs'!$B$12,634&lt;=IF('Mortgage Inputs'!$B$12,'Mortgage Inputs'!$B$7,0)*12+600,ISNUMBER(G639),G639&gt;0.005),634,"")</f>
        <v/>
      </c>
      <c r="B640" s="4" t="str">
        <f>IF(A640="","",DATE(YEAR('Mortgage Inputs'!$B$8),MONTH('Mortgage Inputs'!$B$8)+A640,DAY('Mortgage Inputs'!$B$8)))</f>
        <v/>
      </c>
      <c r="C640" s="2" t="str">
        <f t="shared" si="28"/>
        <v/>
      </c>
      <c r="D640" s="2" t="str">
        <f t="shared" si="29"/>
        <v/>
      </c>
      <c r="E640" s="2" t="str">
        <f>IF(A640="","",MAX(0,(C640-MIN(D640,C640))*'Mortgage Inputs'!$B$15))</f>
        <v/>
      </c>
      <c r="F640" s="2" t="str">
        <f>IF(A640="","",IF(AND('Offset Inputs'!$B$5&gt;='Mortgage Inputs'!$B$5,'Mortgage Inputs'!$B$5&gt;0),C640,MIN(C640,MAX(0,'Mortgage Inputs'!$B$17-E640))))</f>
        <v/>
      </c>
      <c r="G640" s="2" t="str">
        <f t="shared" si="27"/>
        <v/>
      </c>
      <c r="H640" s="2" t="str">
        <f>IF(A640="","",IF(AND('Offset Inputs'!$B$5&gt;='Mortgage Inputs'!$B$5,'Mortgage Inputs'!$B$5&gt;0),'Offset Inputs'!$B$5-'Mortgage Inputs'!$B$5,D640+'Offset Inputs'!$B$6))</f>
        <v/>
      </c>
    </row>
    <row r="641" spans="1:8" ht="22" customHeight="1">
      <c r="A641" s="1" t="str">
        <f>IF(AND('Mortgage Inputs'!$B$12,635&lt;=IF('Mortgage Inputs'!$B$12,'Mortgage Inputs'!$B$7,0)*12+600,ISNUMBER(G640),G640&gt;0.005),635,"")</f>
        <v/>
      </c>
      <c r="B641" s="4" t="str">
        <f>IF(A641="","",DATE(YEAR('Mortgage Inputs'!$B$8),MONTH('Mortgage Inputs'!$B$8)+A641,DAY('Mortgage Inputs'!$B$8)))</f>
        <v/>
      </c>
      <c r="C641" s="2" t="str">
        <f t="shared" si="28"/>
        <v/>
      </c>
      <c r="D641" s="2" t="str">
        <f t="shared" si="29"/>
        <v/>
      </c>
      <c r="E641" s="2" t="str">
        <f>IF(A641="","",MAX(0,(C641-MIN(D641,C641))*'Mortgage Inputs'!$B$15))</f>
        <v/>
      </c>
      <c r="F641" s="2" t="str">
        <f>IF(A641="","",IF(AND('Offset Inputs'!$B$5&gt;='Mortgage Inputs'!$B$5,'Mortgage Inputs'!$B$5&gt;0),C641,MIN(C641,MAX(0,'Mortgage Inputs'!$B$17-E641))))</f>
        <v/>
      </c>
      <c r="G641" s="2" t="str">
        <f t="shared" si="27"/>
        <v/>
      </c>
      <c r="H641" s="2" t="str">
        <f>IF(A641="","",IF(AND('Offset Inputs'!$B$5&gt;='Mortgage Inputs'!$B$5,'Mortgage Inputs'!$B$5&gt;0),'Offset Inputs'!$B$5-'Mortgage Inputs'!$B$5,D641+'Offset Inputs'!$B$6))</f>
        <v/>
      </c>
    </row>
    <row r="642" spans="1:8" ht="22" customHeight="1">
      <c r="A642" s="1" t="str">
        <f>IF(AND('Mortgage Inputs'!$B$12,636&lt;=IF('Mortgage Inputs'!$B$12,'Mortgage Inputs'!$B$7,0)*12+600,ISNUMBER(G641),G641&gt;0.005),636,"")</f>
        <v/>
      </c>
      <c r="B642" s="4" t="str">
        <f>IF(A642="","",DATE(YEAR('Mortgage Inputs'!$B$8),MONTH('Mortgage Inputs'!$B$8)+A642,DAY('Mortgage Inputs'!$B$8)))</f>
        <v/>
      </c>
      <c r="C642" s="2" t="str">
        <f t="shared" si="28"/>
        <v/>
      </c>
      <c r="D642" s="2" t="str">
        <f t="shared" si="29"/>
        <v/>
      </c>
      <c r="E642" s="2" t="str">
        <f>IF(A642="","",MAX(0,(C642-MIN(D642,C642))*'Mortgage Inputs'!$B$15))</f>
        <v/>
      </c>
      <c r="F642" s="2" t="str">
        <f>IF(A642="","",IF(AND('Offset Inputs'!$B$5&gt;='Mortgage Inputs'!$B$5,'Mortgage Inputs'!$B$5&gt;0),C642,MIN(C642,MAX(0,'Mortgage Inputs'!$B$17-E642))))</f>
        <v/>
      </c>
      <c r="G642" s="2" t="str">
        <f t="shared" si="27"/>
        <v/>
      </c>
      <c r="H642" s="2" t="str">
        <f>IF(A642="","",IF(AND('Offset Inputs'!$B$5&gt;='Mortgage Inputs'!$B$5,'Mortgage Inputs'!$B$5&gt;0),'Offset Inputs'!$B$5-'Mortgage Inputs'!$B$5,D642+'Offset Inputs'!$B$6))</f>
        <v/>
      </c>
    </row>
    <row r="643" spans="1:8" ht="22" customHeight="1">
      <c r="A643" s="1" t="str">
        <f>IF(AND('Mortgage Inputs'!$B$12,637&lt;=IF('Mortgage Inputs'!$B$12,'Mortgage Inputs'!$B$7,0)*12+600,ISNUMBER(G642),G642&gt;0.005),637,"")</f>
        <v/>
      </c>
      <c r="B643" s="4" t="str">
        <f>IF(A643="","",DATE(YEAR('Mortgage Inputs'!$B$8),MONTH('Mortgage Inputs'!$B$8)+A643,DAY('Mortgage Inputs'!$B$8)))</f>
        <v/>
      </c>
      <c r="C643" s="2" t="str">
        <f t="shared" si="28"/>
        <v/>
      </c>
      <c r="D643" s="2" t="str">
        <f t="shared" si="29"/>
        <v/>
      </c>
      <c r="E643" s="2" t="str">
        <f>IF(A643="","",MAX(0,(C643-MIN(D643,C643))*'Mortgage Inputs'!$B$15))</f>
        <v/>
      </c>
      <c r="F643" s="2" t="str">
        <f>IF(A643="","",IF(AND('Offset Inputs'!$B$5&gt;='Mortgage Inputs'!$B$5,'Mortgage Inputs'!$B$5&gt;0),C643,MIN(C643,MAX(0,'Mortgage Inputs'!$B$17-E643))))</f>
        <v/>
      </c>
      <c r="G643" s="2" t="str">
        <f t="shared" si="27"/>
        <v/>
      </c>
      <c r="H643" s="2" t="str">
        <f>IF(A643="","",IF(AND('Offset Inputs'!$B$5&gt;='Mortgage Inputs'!$B$5,'Mortgage Inputs'!$B$5&gt;0),'Offset Inputs'!$B$5-'Mortgage Inputs'!$B$5,D643+'Offset Inputs'!$B$6))</f>
        <v/>
      </c>
    </row>
    <row r="644" spans="1:8" ht="22" customHeight="1">
      <c r="A644" s="1" t="str">
        <f>IF(AND('Mortgage Inputs'!$B$12,638&lt;=IF('Mortgage Inputs'!$B$12,'Mortgage Inputs'!$B$7,0)*12+600,ISNUMBER(G643),G643&gt;0.005),638,"")</f>
        <v/>
      </c>
      <c r="B644" s="4" t="str">
        <f>IF(A644="","",DATE(YEAR('Mortgage Inputs'!$B$8),MONTH('Mortgage Inputs'!$B$8)+A644,DAY('Mortgage Inputs'!$B$8)))</f>
        <v/>
      </c>
      <c r="C644" s="2" t="str">
        <f t="shared" si="28"/>
        <v/>
      </c>
      <c r="D644" s="2" t="str">
        <f t="shared" si="29"/>
        <v/>
      </c>
      <c r="E644" s="2" t="str">
        <f>IF(A644="","",MAX(0,(C644-MIN(D644,C644))*'Mortgage Inputs'!$B$15))</f>
        <v/>
      </c>
      <c r="F644" s="2" t="str">
        <f>IF(A644="","",IF(AND('Offset Inputs'!$B$5&gt;='Mortgage Inputs'!$B$5,'Mortgage Inputs'!$B$5&gt;0),C644,MIN(C644,MAX(0,'Mortgage Inputs'!$B$17-E644))))</f>
        <v/>
      </c>
      <c r="G644" s="2" t="str">
        <f t="shared" si="27"/>
        <v/>
      </c>
      <c r="H644" s="2" t="str">
        <f>IF(A644="","",IF(AND('Offset Inputs'!$B$5&gt;='Mortgage Inputs'!$B$5,'Mortgage Inputs'!$B$5&gt;0),'Offset Inputs'!$B$5-'Mortgage Inputs'!$B$5,D644+'Offset Inputs'!$B$6))</f>
        <v/>
      </c>
    </row>
    <row r="645" spans="1:8" ht="22" customHeight="1">
      <c r="A645" s="1" t="str">
        <f>IF(AND('Mortgage Inputs'!$B$12,639&lt;=IF('Mortgage Inputs'!$B$12,'Mortgage Inputs'!$B$7,0)*12+600,ISNUMBER(G644),G644&gt;0.005),639,"")</f>
        <v/>
      </c>
      <c r="B645" s="4" t="str">
        <f>IF(A645="","",DATE(YEAR('Mortgage Inputs'!$B$8),MONTH('Mortgage Inputs'!$B$8)+A645,DAY('Mortgage Inputs'!$B$8)))</f>
        <v/>
      </c>
      <c r="C645" s="2" t="str">
        <f t="shared" si="28"/>
        <v/>
      </c>
      <c r="D645" s="2" t="str">
        <f t="shared" si="29"/>
        <v/>
      </c>
      <c r="E645" s="2" t="str">
        <f>IF(A645="","",MAX(0,(C645-MIN(D645,C645))*'Mortgage Inputs'!$B$15))</f>
        <v/>
      </c>
      <c r="F645" s="2" t="str">
        <f>IF(A645="","",IF(AND('Offset Inputs'!$B$5&gt;='Mortgage Inputs'!$B$5,'Mortgage Inputs'!$B$5&gt;0),C645,MIN(C645,MAX(0,'Mortgage Inputs'!$B$17-E645))))</f>
        <v/>
      </c>
      <c r="G645" s="2" t="str">
        <f t="shared" si="27"/>
        <v/>
      </c>
      <c r="H645" s="2" t="str">
        <f>IF(A645="","",IF(AND('Offset Inputs'!$B$5&gt;='Mortgage Inputs'!$B$5,'Mortgage Inputs'!$B$5&gt;0),'Offset Inputs'!$B$5-'Mortgage Inputs'!$B$5,D645+'Offset Inputs'!$B$6))</f>
        <v/>
      </c>
    </row>
    <row r="646" spans="1:8" ht="22" customHeight="1">
      <c r="A646" s="1" t="str">
        <f>IF(AND('Mortgage Inputs'!$B$12,640&lt;=IF('Mortgage Inputs'!$B$12,'Mortgage Inputs'!$B$7,0)*12+600,ISNUMBER(G645),G645&gt;0.005),640,"")</f>
        <v/>
      </c>
      <c r="B646" s="4" t="str">
        <f>IF(A646="","",DATE(YEAR('Mortgage Inputs'!$B$8),MONTH('Mortgage Inputs'!$B$8)+A646,DAY('Mortgage Inputs'!$B$8)))</f>
        <v/>
      </c>
      <c r="C646" s="2" t="str">
        <f t="shared" si="28"/>
        <v/>
      </c>
      <c r="D646" s="2" t="str">
        <f t="shared" si="29"/>
        <v/>
      </c>
      <c r="E646" s="2" t="str">
        <f>IF(A646="","",MAX(0,(C646-MIN(D646,C646))*'Mortgage Inputs'!$B$15))</f>
        <v/>
      </c>
      <c r="F646" s="2" t="str">
        <f>IF(A646="","",IF(AND('Offset Inputs'!$B$5&gt;='Mortgage Inputs'!$B$5,'Mortgage Inputs'!$B$5&gt;0),C646,MIN(C646,MAX(0,'Mortgage Inputs'!$B$17-E646))))</f>
        <v/>
      </c>
      <c r="G646" s="2" t="str">
        <f t="shared" si="27"/>
        <v/>
      </c>
      <c r="H646" s="2" t="str">
        <f>IF(A646="","",IF(AND('Offset Inputs'!$B$5&gt;='Mortgage Inputs'!$B$5,'Mortgage Inputs'!$B$5&gt;0),'Offset Inputs'!$B$5-'Mortgage Inputs'!$B$5,D646+'Offset Inputs'!$B$6))</f>
        <v/>
      </c>
    </row>
    <row r="647" spans="1:8" ht="22" customHeight="1">
      <c r="A647" s="1" t="str">
        <f>IF(AND('Mortgage Inputs'!$B$12,641&lt;=IF('Mortgage Inputs'!$B$12,'Mortgage Inputs'!$B$7,0)*12+600,ISNUMBER(G646),G646&gt;0.005),641,"")</f>
        <v/>
      </c>
      <c r="B647" s="4" t="str">
        <f>IF(A647="","",DATE(YEAR('Mortgage Inputs'!$B$8),MONTH('Mortgage Inputs'!$B$8)+A647,DAY('Mortgage Inputs'!$B$8)))</f>
        <v/>
      </c>
      <c r="C647" s="2" t="str">
        <f t="shared" si="28"/>
        <v/>
      </c>
      <c r="D647" s="2" t="str">
        <f t="shared" si="29"/>
        <v/>
      </c>
      <c r="E647" s="2" t="str">
        <f>IF(A647="","",MAX(0,(C647-MIN(D647,C647))*'Mortgage Inputs'!$B$15))</f>
        <v/>
      </c>
      <c r="F647" s="2" t="str">
        <f>IF(A647="","",IF(AND('Offset Inputs'!$B$5&gt;='Mortgage Inputs'!$B$5,'Mortgage Inputs'!$B$5&gt;0),C647,MIN(C647,MAX(0,'Mortgage Inputs'!$B$17-E647))))</f>
        <v/>
      </c>
      <c r="G647" s="2" t="str">
        <f t="shared" ref="G647:G710" si="30">IF(A647="","",MAX(0,C647-F647))</f>
        <v/>
      </c>
      <c r="H647" s="2" t="str">
        <f>IF(A647="","",IF(AND('Offset Inputs'!$B$5&gt;='Mortgage Inputs'!$B$5,'Mortgage Inputs'!$B$5&gt;0),'Offset Inputs'!$B$5-'Mortgage Inputs'!$B$5,D647+'Offset Inputs'!$B$6))</f>
        <v/>
      </c>
    </row>
    <row r="648" spans="1:8" ht="22" customHeight="1">
      <c r="A648" s="1" t="str">
        <f>IF(AND('Mortgage Inputs'!$B$12,642&lt;=IF('Mortgage Inputs'!$B$12,'Mortgage Inputs'!$B$7,0)*12+600,ISNUMBER(G647),G647&gt;0.005),642,"")</f>
        <v/>
      </c>
      <c r="B648" s="4" t="str">
        <f>IF(A648="","",DATE(YEAR('Mortgage Inputs'!$B$8),MONTH('Mortgage Inputs'!$B$8)+A648,DAY('Mortgage Inputs'!$B$8)))</f>
        <v/>
      </c>
      <c r="C648" s="2" t="str">
        <f t="shared" ref="C648:C711" si="31">IF(A648="","",G647)</f>
        <v/>
      </c>
      <c r="D648" s="2" t="str">
        <f t="shared" ref="D648:D711" si="32">IF(A648="","",H647)</f>
        <v/>
      </c>
      <c r="E648" s="2" t="str">
        <f>IF(A648="","",MAX(0,(C648-MIN(D648,C648))*'Mortgage Inputs'!$B$15))</f>
        <v/>
      </c>
      <c r="F648" s="2" t="str">
        <f>IF(A648="","",IF(AND('Offset Inputs'!$B$5&gt;='Mortgage Inputs'!$B$5,'Mortgage Inputs'!$B$5&gt;0),C648,MIN(C648,MAX(0,'Mortgage Inputs'!$B$17-E648))))</f>
        <v/>
      </c>
      <c r="G648" s="2" t="str">
        <f t="shared" si="30"/>
        <v/>
      </c>
      <c r="H648" s="2" t="str">
        <f>IF(A648="","",IF(AND('Offset Inputs'!$B$5&gt;='Mortgage Inputs'!$B$5,'Mortgage Inputs'!$B$5&gt;0),'Offset Inputs'!$B$5-'Mortgage Inputs'!$B$5,D648+'Offset Inputs'!$B$6))</f>
        <v/>
      </c>
    </row>
    <row r="649" spans="1:8" ht="22" customHeight="1">
      <c r="A649" s="1" t="str">
        <f>IF(AND('Mortgage Inputs'!$B$12,643&lt;=IF('Mortgage Inputs'!$B$12,'Mortgage Inputs'!$B$7,0)*12+600,ISNUMBER(G648),G648&gt;0.005),643,"")</f>
        <v/>
      </c>
      <c r="B649" s="4" t="str">
        <f>IF(A649="","",DATE(YEAR('Mortgage Inputs'!$B$8),MONTH('Mortgage Inputs'!$B$8)+A649,DAY('Mortgage Inputs'!$B$8)))</f>
        <v/>
      </c>
      <c r="C649" s="2" t="str">
        <f t="shared" si="31"/>
        <v/>
      </c>
      <c r="D649" s="2" t="str">
        <f t="shared" si="32"/>
        <v/>
      </c>
      <c r="E649" s="2" t="str">
        <f>IF(A649="","",MAX(0,(C649-MIN(D649,C649))*'Mortgage Inputs'!$B$15))</f>
        <v/>
      </c>
      <c r="F649" s="2" t="str">
        <f>IF(A649="","",IF(AND('Offset Inputs'!$B$5&gt;='Mortgage Inputs'!$B$5,'Mortgage Inputs'!$B$5&gt;0),C649,MIN(C649,MAX(0,'Mortgage Inputs'!$B$17-E649))))</f>
        <v/>
      </c>
      <c r="G649" s="2" t="str">
        <f t="shared" si="30"/>
        <v/>
      </c>
      <c r="H649" s="2" t="str">
        <f>IF(A649="","",IF(AND('Offset Inputs'!$B$5&gt;='Mortgage Inputs'!$B$5,'Mortgage Inputs'!$B$5&gt;0),'Offset Inputs'!$B$5-'Mortgage Inputs'!$B$5,D649+'Offset Inputs'!$B$6))</f>
        <v/>
      </c>
    </row>
    <row r="650" spans="1:8" ht="22" customHeight="1">
      <c r="A650" s="1" t="str">
        <f>IF(AND('Mortgage Inputs'!$B$12,644&lt;=IF('Mortgage Inputs'!$B$12,'Mortgage Inputs'!$B$7,0)*12+600,ISNUMBER(G649),G649&gt;0.005),644,"")</f>
        <v/>
      </c>
      <c r="B650" s="4" t="str">
        <f>IF(A650="","",DATE(YEAR('Mortgage Inputs'!$B$8),MONTH('Mortgage Inputs'!$B$8)+A650,DAY('Mortgage Inputs'!$B$8)))</f>
        <v/>
      </c>
      <c r="C650" s="2" t="str">
        <f t="shared" si="31"/>
        <v/>
      </c>
      <c r="D650" s="2" t="str">
        <f t="shared" si="32"/>
        <v/>
      </c>
      <c r="E650" s="2" t="str">
        <f>IF(A650="","",MAX(0,(C650-MIN(D650,C650))*'Mortgage Inputs'!$B$15))</f>
        <v/>
      </c>
      <c r="F650" s="2" t="str">
        <f>IF(A650="","",IF(AND('Offset Inputs'!$B$5&gt;='Mortgage Inputs'!$B$5,'Mortgage Inputs'!$B$5&gt;0),C650,MIN(C650,MAX(0,'Mortgage Inputs'!$B$17-E650))))</f>
        <v/>
      </c>
      <c r="G650" s="2" t="str">
        <f t="shared" si="30"/>
        <v/>
      </c>
      <c r="H650" s="2" t="str">
        <f>IF(A650="","",IF(AND('Offset Inputs'!$B$5&gt;='Mortgage Inputs'!$B$5,'Mortgage Inputs'!$B$5&gt;0),'Offset Inputs'!$B$5-'Mortgage Inputs'!$B$5,D650+'Offset Inputs'!$B$6))</f>
        <v/>
      </c>
    </row>
    <row r="651" spans="1:8" ht="22" customHeight="1">
      <c r="A651" s="1" t="str">
        <f>IF(AND('Mortgage Inputs'!$B$12,645&lt;=IF('Mortgage Inputs'!$B$12,'Mortgage Inputs'!$B$7,0)*12+600,ISNUMBER(G650),G650&gt;0.005),645,"")</f>
        <v/>
      </c>
      <c r="B651" s="4" t="str">
        <f>IF(A651="","",DATE(YEAR('Mortgage Inputs'!$B$8),MONTH('Mortgage Inputs'!$B$8)+A651,DAY('Mortgage Inputs'!$B$8)))</f>
        <v/>
      </c>
      <c r="C651" s="2" t="str">
        <f t="shared" si="31"/>
        <v/>
      </c>
      <c r="D651" s="2" t="str">
        <f t="shared" si="32"/>
        <v/>
      </c>
      <c r="E651" s="2" t="str">
        <f>IF(A651="","",MAX(0,(C651-MIN(D651,C651))*'Mortgage Inputs'!$B$15))</f>
        <v/>
      </c>
      <c r="F651" s="2" t="str">
        <f>IF(A651="","",IF(AND('Offset Inputs'!$B$5&gt;='Mortgage Inputs'!$B$5,'Mortgage Inputs'!$B$5&gt;0),C651,MIN(C651,MAX(0,'Mortgage Inputs'!$B$17-E651))))</f>
        <v/>
      </c>
      <c r="G651" s="2" t="str">
        <f t="shared" si="30"/>
        <v/>
      </c>
      <c r="H651" s="2" t="str">
        <f>IF(A651="","",IF(AND('Offset Inputs'!$B$5&gt;='Mortgage Inputs'!$B$5,'Mortgage Inputs'!$B$5&gt;0),'Offset Inputs'!$B$5-'Mortgage Inputs'!$B$5,D651+'Offset Inputs'!$B$6))</f>
        <v/>
      </c>
    </row>
    <row r="652" spans="1:8" ht="22" customHeight="1">
      <c r="A652" s="1" t="str">
        <f>IF(AND('Mortgage Inputs'!$B$12,646&lt;=IF('Mortgage Inputs'!$B$12,'Mortgage Inputs'!$B$7,0)*12+600,ISNUMBER(G651),G651&gt;0.005),646,"")</f>
        <v/>
      </c>
      <c r="B652" s="4" t="str">
        <f>IF(A652="","",DATE(YEAR('Mortgage Inputs'!$B$8),MONTH('Mortgage Inputs'!$B$8)+A652,DAY('Mortgage Inputs'!$B$8)))</f>
        <v/>
      </c>
      <c r="C652" s="2" t="str">
        <f t="shared" si="31"/>
        <v/>
      </c>
      <c r="D652" s="2" t="str">
        <f t="shared" si="32"/>
        <v/>
      </c>
      <c r="E652" s="2" t="str">
        <f>IF(A652="","",MAX(0,(C652-MIN(D652,C652))*'Mortgage Inputs'!$B$15))</f>
        <v/>
      </c>
      <c r="F652" s="2" t="str">
        <f>IF(A652="","",IF(AND('Offset Inputs'!$B$5&gt;='Mortgage Inputs'!$B$5,'Mortgage Inputs'!$B$5&gt;0),C652,MIN(C652,MAX(0,'Mortgage Inputs'!$B$17-E652))))</f>
        <v/>
      </c>
      <c r="G652" s="2" t="str">
        <f t="shared" si="30"/>
        <v/>
      </c>
      <c r="H652" s="2" t="str">
        <f>IF(A652="","",IF(AND('Offset Inputs'!$B$5&gt;='Mortgage Inputs'!$B$5,'Mortgage Inputs'!$B$5&gt;0),'Offset Inputs'!$B$5-'Mortgage Inputs'!$B$5,D652+'Offset Inputs'!$B$6))</f>
        <v/>
      </c>
    </row>
    <row r="653" spans="1:8" ht="22" customHeight="1">
      <c r="A653" s="1" t="str">
        <f>IF(AND('Mortgage Inputs'!$B$12,647&lt;=IF('Mortgage Inputs'!$B$12,'Mortgage Inputs'!$B$7,0)*12+600,ISNUMBER(G652),G652&gt;0.005),647,"")</f>
        <v/>
      </c>
      <c r="B653" s="4" t="str">
        <f>IF(A653="","",DATE(YEAR('Mortgage Inputs'!$B$8),MONTH('Mortgage Inputs'!$B$8)+A653,DAY('Mortgage Inputs'!$B$8)))</f>
        <v/>
      </c>
      <c r="C653" s="2" t="str">
        <f t="shared" si="31"/>
        <v/>
      </c>
      <c r="D653" s="2" t="str">
        <f t="shared" si="32"/>
        <v/>
      </c>
      <c r="E653" s="2" t="str">
        <f>IF(A653="","",MAX(0,(C653-MIN(D653,C653))*'Mortgage Inputs'!$B$15))</f>
        <v/>
      </c>
      <c r="F653" s="2" t="str">
        <f>IF(A653="","",IF(AND('Offset Inputs'!$B$5&gt;='Mortgage Inputs'!$B$5,'Mortgage Inputs'!$B$5&gt;0),C653,MIN(C653,MAX(0,'Mortgage Inputs'!$B$17-E653))))</f>
        <v/>
      </c>
      <c r="G653" s="2" t="str">
        <f t="shared" si="30"/>
        <v/>
      </c>
      <c r="H653" s="2" t="str">
        <f>IF(A653="","",IF(AND('Offset Inputs'!$B$5&gt;='Mortgage Inputs'!$B$5,'Mortgage Inputs'!$B$5&gt;0),'Offset Inputs'!$B$5-'Mortgage Inputs'!$B$5,D653+'Offset Inputs'!$B$6))</f>
        <v/>
      </c>
    </row>
    <row r="654" spans="1:8" ht="22" customHeight="1">
      <c r="A654" s="1" t="str">
        <f>IF(AND('Mortgage Inputs'!$B$12,648&lt;=IF('Mortgage Inputs'!$B$12,'Mortgage Inputs'!$B$7,0)*12+600,ISNUMBER(G653),G653&gt;0.005),648,"")</f>
        <v/>
      </c>
      <c r="B654" s="4" t="str">
        <f>IF(A654="","",DATE(YEAR('Mortgage Inputs'!$B$8),MONTH('Mortgage Inputs'!$B$8)+A654,DAY('Mortgage Inputs'!$B$8)))</f>
        <v/>
      </c>
      <c r="C654" s="2" t="str">
        <f t="shared" si="31"/>
        <v/>
      </c>
      <c r="D654" s="2" t="str">
        <f t="shared" si="32"/>
        <v/>
      </c>
      <c r="E654" s="2" t="str">
        <f>IF(A654="","",MAX(0,(C654-MIN(D654,C654))*'Mortgage Inputs'!$B$15))</f>
        <v/>
      </c>
      <c r="F654" s="2" t="str">
        <f>IF(A654="","",IF(AND('Offset Inputs'!$B$5&gt;='Mortgage Inputs'!$B$5,'Mortgage Inputs'!$B$5&gt;0),C654,MIN(C654,MAX(0,'Mortgage Inputs'!$B$17-E654))))</f>
        <v/>
      </c>
      <c r="G654" s="2" t="str">
        <f t="shared" si="30"/>
        <v/>
      </c>
      <c r="H654" s="2" t="str">
        <f>IF(A654="","",IF(AND('Offset Inputs'!$B$5&gt;='Mortgage Inputs'!$B$5,'Mortgage Inputs'!$B$5&gt;0),'Offset Inputs'!$B$5-'Mortgage Inputs'!$B$5,D654+'Offset Inputs'!$B$6))</f>
        <v/>
      </c>
    </row>
    <row r="655" spans="1:8" ht="22" customHeight="1">
      <c r="A655" s="1" t="str">
        <f>IF(AND('Mortgage Inputs'!$B$12,649&lt;=IF('Mortgage Inputs'!$B$12,'Mortgage Inputs'!$B$7,0)*12+600,ISNUMBER(G654),G654&gt;0.005),649,"")</f>
        <v/>
      </c>
      <c r="B655" s="4" t="str">
        <f>IF(A655="","",DATE(YEAR('Mortgage Inputs'!$B$8),MONTH('Mortgage Inputs'!$B$8)+A655,DAY('Mortgage Inputs'!$B$8)))</f>
        <v/>
      </c>
      <c r="C655" s="2" t="str">
        <f t="shared" si="31"/>
        <v/>
      </c>
      <c r="D655" s="2" t="str">
        <f t="shared" si="32"/>
        <v/>
      </c>
      <c r="E655" s="2" t="str">
        <f>IF(A655="","",MAX(0,(C655-MIN(D655,C655))*'Mortgage Inputs'!$B$15))</f>
        <v/>
      </c>
      <c r="F655" s="2" t="str">
        <f>IF(A655="","",IF(AND('Offset Inputs'!$B$5&gt;='Mortgage Inputs'!$B$5,'Mortgage Inputs'!$B$5&gt;0),C655,MIN(C655,MAX(0,'Mortgage Inputs'!$B$17-E655))))</f>
        <v/>
      </c>
      <c r="G655" s="2" t="str">
        <f t="shared" si="30"/>
        <v/>
      </c>
      <c r="H655" s="2" t="str">
        <f>IF(A655="","",IF(AND('Offset Inputs'!$B$5&gt;='Mortgage Inputs'!$B$5,'Mortgage Inputs'!$B$5&gt;0),'Offset Inputs'!$B$5-'Mortgage Inputs'!$B$5,D655+'Offset Inputs'!$B$6))</f>
        <v/>
      </c>
    </row>
    <row r="656" spans="1:8" ht="22" customHeight="1">
      <c r="A656" s="1" t="str">
        <f>IF(AND('Mortgage Inputs'!$B$12,650&lt;=IF('Mortgage Inputs'!$B$12,'Mortgage Inputs'!$B$7,0)*12+600,ISNUMBER(G655),G655&gt;0.005),650,"")</f>
        <v/>
      </c>
      <c r="B656" s="4" t="str">
        <f>IF(A656="","",DATE(YEAR('Mortgage Inputs'!$B$8),MONTH('Mortgage Inputs'!$B$8)+A656,DAY('Mortgage Inputs'!$B$8)))</f>
        <v/>
      </c>
      <c r="C656" s="2" t="str">
        <f t="shared" si="31"/>
        <v/>
      </c>
      <c r="D656" s="2" t="str">
        <f t="shared" si="32"/>
        <v/>
      </c>
      <c r="E656" s="2" t="str">
        <f>IF(A656="","",MAX(0,(C656-MIN(D656,C656))*'Mortgage Inputs'!$B$15))</f>
        <v/>
      </c>
      <c r="F656" s="2" t="str">
        <f>IF(A656="","",IF(AND('Offset Inputs'!$B$5&gt;='Mortgage Inputs'!$B$5,'Mortgage Inputs'!$B$5&gt;0),C656,MIN(C656,MAX(0,'Mortgage Inputs'!$B$17-E656))))</f>
        <v/>
      </c>
      <c r="G656" s="2" t="str">
        <f t="shared" si="30"/>
        <v/>
      </c>
      <c r="H656" s="2" t="str">
        <f>IF(A656="","",IF(AND('Offset Inputs'!$B$5&gt;='Mortgage Inputs'!$B$5,'Mortgage Inputs'!$B$5&gt;0),'Offset Inputs'!$B$5-'Mortgage Inputs'!$B$5,D656+'Offset Inputs'!$B$6))</f>
        <v/>
      </c>
    </row>
    <row r="657" spans="1:8" ht="22" customHeight="1">
      <c r="A657" s="1" t="str">
        <f>IF(AND('Mortgage Inputs'!$B$12,651&lt;=IF('Mortgage Inputs'!$B$12,'Mortgage Inputs'!$B$7,0)*12+600,ISNUMBER(G656),G656&gt;0.005),651,"")</f>
        <v/>
      </c>
      <c r="B657" s="4" t="str">
        <f>IF(A657="","",DATE(YEAR('Mortgage Inputs'!$B$8),MONTH('Mortgage Inputs'!$B$8)+A657,DAY('Mortgage Inputs'!$B$8)))</f>
        <v/>
      </c>
      <c r="C657" s="2" t="str">
        <f t="shared" si="31"/>
        <v/>
      </c>
      <c r="D657" s="2" t="str">
        <f t="shared" si="32"/>
        <v/>
      </c>
      <c r="E657" s="2" t="str">
        <f>IF(A657="","",MAX(0,(C657-MIN(D657,C657))*'Mortgage Inputs'!$B$15))</f>
        <v/>
      </c>
      <c r="F657" s="2" t="str">
        <f>IF(A657="","",IF(AND('Offset Inputs'!$B$5&gt;='Mortgage Inputs'!$B$5,'Mortgage Inputs'!$B$5&gt;0),C657,MIN(C657,MAX(0,'Mortgage Inputs'!$B$17-E657))))</f>
        <v/>
      </c>
      <c r="G657" s="2" t="str">
        <f t="shared" si="30"/>
        <v/>
      </c>
      <c r="H657" s="2" t="str">
        <f>IF(A657="","",IF(AND('Offset Inputs'!$B$5&gt;='Mortgage Inputs'!$B$5,'Mortgage Inputs'!$B$5&gt;0),'Offset Inputs'!$B$5-'Mortgage Inputs'!$B$5,D657+'Offset Inputs'!$B$6))</f>
        <v/>
      </c>
    </row>
    <row r="658" spans="1:8" ht="22" customHeight="1">
      <c r="A658" s="1" t="str">
        <f>IF(AND('Mortgage Inputs'!$B$12,652&lt;=IF('Mortgage Inputs'!$B$12,'Mortgage Inputs'!$B$7,0)*12+600,ISNUMBER(G657),G657&gt;0.005),652,"")</f>
        <v/>
      </c>
      <c r="B658" s="4" t="str">
        <f>IF(A658="","",DATE(YEAR('Mortgage Inputs'!$B$8),MONTH('Mortgage Inputs'!$B$8)+A658,DAY('Mortgage Inputs'!$B$8)))</f>
        <v/>
      </c>
      <c r="C658" s="2" t="str">
        <f t="shared" si="31"/>
        <v/>
      </c>
      <c r="D658" s="2" t="str">
        <f t="shared" si="32"/>
        <v/>
      </c>
      <c r="E658" s="2" t="str">
        <f>IF(A658="","",MAX(0,(C658-MIN(D658,C658))*'Mortgage Inputs'!$B$15))</f>
        <v/>
      </c>
      <c r="F658" s="2" t="str">
        <f>IF(A658="","",IF(AND('Offset Inputs'!$B$5&gt;='Mortgage Inputs'!$B$5,'Mortgage Inputs'!$B$5&gt;0),C658,MIN(C658,MAX(0,'Mortgage Inputs'!$B$17-E658))))</f>
        <v/>
      </c>
      <c r="G658" s="2" t="str">
        <f t="shared" si="30"/>
        <v/>
      </c>
      <c r="H658" s="2" t="str">
        <f>IF(A658="","",IF(AND('Offset Inputs'!$B$5&gt;='Mortgage Inputs'!$B$5,'Mortgage Inputs'!$B$5&gt;0),'Offset Inputs'!$B$5-'Mortgage Inputs'!$B$5,D658+'Offset Inputs'!$B$6))</f>
        <v/>
      </c>
    </row>
    <row r="659" spans="1:8" ht="22" customHeight="1">
      <c r="A659" s="1" t="str">
        <f>IF(AND('Mortgage Inputs'!$B$12,653&lt;=IF('Mortgage Inputs'!$B$12,'Mortgage Inputs'!$B$7,0)*12+600,ISNUMBER(G658),G658&gt;0.005),653,"")</f>
        <v/>
      </c>
      <c r="B659" s="4" t="str">
        <f>IF(A659="","",DATE(YEAR('Mortgage Inputs'!$B$8),MONTH('Mortgage Inputs'!$B$8)+A659,DAY('Mortgage Inputs'!$B$8)))</f>
        <v/>
      </c>
      <c r="C659" s="2" t="str">
        <f t="shared" si="31"/>
        <v/>
      </c>
      <c r="D659" s="2" t="str">
        <f t="shared" si="32"/>
        <v/>
      </c>
      <c r="E659" s="2" t="str">
        <f>IF(A659="","",MAX(0,(C659-MIN(D659,C659))*'Mortgage Inputs'!$B$15))</f>
        <v/>
      </c>
      <c r="F659" s="2" t="str">
        <f>IF(A659="","",IF(AND('Offset Inputs'!$B$5&gt;='Mortgage Inputs'!$B$5,'Mortgage Inputs'!$B$5&gt;0),C659,MIN(C659,MAX(0,'Mortgage Inputs'!$B$17-E659))))</f>
        <v/>
      </c>
      <c r="G659" s="2" t="str">
        <f t="shared" si="30"/>
        <v/>
      </c>
      <c r="H659" s="2" t="str">
        <f>IF(A659="","",IF(AND('Offset Inputs'!$B$5&gt;='Mortgage Inputs'!$B$5,'Mortgage Inputs'!$B$5&gt;0),'Offset Inputs'!$B$5-'Mortgage Inputs'!$B$5,D659+'Offset Inputs'!$B$6))</f>
        <v/>
      </c>
    </row>
    <row r="660" spans="1:8" ht="22" customHeight="1">
      <c r="A660" s="1" t="str">
        <f>IF(AND('Mortgage Inputs'!$B$12,654&lt;=IF('Mortgage Inputs'!$B$12,'Mortgage Inputs'!$B$7,0)*12+600,ISNUMBER(G659),G659&gt;0.005),654,"")</f>
        <v/>
      </c>
      <c r="B660" s="4" t="str">
        <f>IF(A660="","",DATE(YEAR('Mortgage Inputs'!$B$8),MONTH('Mortgage Inputs'!$B$8)+A660,DAY('Mortgage Inputs'!$B$8)))</f>
        <v/>
      </c>
      <c r="C660" s="2" t="str">
        <f t="shared" si="31"/>
        <v/>
      </c>
      <c r="D660" s="2" t="str">
        <f t="shared" si="32"/>
        <v/>
      </c>
      <c r="E660" s="2" t="str">
        <f>IF(A660="","",MAX(0,(C660-MIN(D660,C660))*'Mortgage Inputs'!$B$15))</f>
        <v/>
      </c>
      <c r="F660" s="2" t="str">
        <f>IF(A660="","",IF(AND('Offset Inputs'!$B$5&gt;='Mortgage Inputs'!$B$5,'Mortgage Inputs'!$B$5&gt;0),C660,MIN(C660,MAX(0,'Mortgage Inputs'!$B$17-E660))))</f>
        <v/>
      </c>
      <c r="G660" s="2" t="str">
        <f t="shared" si="30"/>
        <v/>
      </c>
      <c r="H660" s="2" t="str">
        <f>IF(A660="","",IF(AND('Offset Inputs'!$B$5&gt;='Mortgage Inputs'!$B$5,'Mortgage Inputs'!$B$5&gt;0),'Offset Inputs'!$B$5-'Mortgage Inputs'!$B$5,D660+'Offset Inputs'!$B$6))</f>
        <v/>
      </c>
    </row>
    <row r="661" spans="1:8" ht="22" customHeight="1">
      <c r="A661" s="1" t="str">
        <f>IF(AND('Mortgage Inputs'!$B$12,655&lt;=IF('Mortgage Inputs'!$B$12,'Mortgage Inputs'!$B$7,0)*12+600,ISNUMBER(G660),G660&gt;0.005),655,"")</f>
        <v/>
      </c>
      <c r="B661" s="4" t="str">
        <f>IF(A661="","",DATE(YEAR('Mortgage Inputs'!$B$8),MONTH('Mortgage Inputs'!$B$8)+A661,DAY('Mortgage Inputs'!$B$8)))</f>
        <v/>
      </c>
      <c r="C661" s="2" t="str">
        <f t="shared" si="31"/>
        <v/>
      </c>
      <c r="D661" s="2" t="str">
        <f t="shared" si="32"/>
        <v/>
      </c>
      <c r="E661" s="2" t="str">
        <f>IF(A661="","",MAX(0,(C661-MIN(D661,C661))*'Mortgage Inputs'!$B$15))</f>
        <v/>
      </c>
      <c r="F661" s="2" t="str">
        <f>IF(A661="","",IF(AND('Offset Inputs'!$B$5&gt;='Mortgage Inputs'!$B$5,'Mortgage Inputs'!$B$5&gt;0),C661,MIN(C661,MAX(0,'Mortgage Inputs'!$B$17-E661))))</f>
        <v/>
      </c>
      <c r="G661" s="2" t="str">
        <f t="shared" si="30"/>
        <v/>
      </c>
      <c r="H661" s="2" t="str">
        <f>IF(A661="","",IF(AND('Offset Inputs'!$B$5&gt;='Mortgage Inputs'!$B$5,'Mortgage Inputs'!$B$5&gt;0),'Offset Inputs'!$B$5-'Mortgage Inputs'!$B$5,D661+'Offset Inputs'!$B$6))</f>
        <v/>
      </c>
    </row>
    <row r="662" spans="1:8" ht="22" customHeight="1">
      <c r="A662" s="1" t="str">
        <f>IF(AND('Mortgage Inputs'!$B$12,656&lt;=IF('Mortgage Inputs'!$B$12,'Mortgage Inputs'!$B$7,0)*12+600,ISNUMBER(G661),G661&gt;0.005),656,"")</f>
        <v/>
      </c>
      <c r="B662" s="4" t="str">
        <f>IF(A662="","",DATE(YEAR('Mortgage Inputs'!$B$8),MONTH('Mortgage Inputs'!$B$8)+A662,DAY('Mortgage Inputs'!$B$8)))</f>
        <v/>
      </c>
      <c r="C662" s="2" t="str">
        <f t="shared" si="31"/>
        <v/>
      </c>
      <c r="D662" s="2" t="str">
        <f t="shared" si="32"/>
        <v/>
      </c>
      <c r="E662" s="2" t="str">
        <f>IF(A662="","",MAX(0,(C662-MIN(D662,C662))*'Mortgage Inputs'!$B$15))</f>
        <v/>
      </c>
      <c r="F662" s="2" t="str">
        <f>IF(A662="","",IF(AND('Offset Inputs'!$B$5&gt;='Mortgage Inputs'!$B$5,'Mortgage Inputs'!$B$5&gt;0),C662,MIN(C662,MAX(0,'Mortgage Inputs'!$B$17-E662))))</f>
        <v/>
      </c>
      <c r="G662" s="2" t="str">
        <f t="shared" si="30"/>
        <v/>
      </c>
      <c r="H662" s="2" t="str">
        <f>IF(A662="","",IF(AND('Offset Inputs'!$B$5&gt;='Mortgage Inputs'!$B$5,'Mortgage Inputs'!$B$5&gt;0),'Offset Inputs'!$B$5-'Mortgage Inputs'!$B$5,D662+'Offset Inputs'!$B$6))</f>
        <v/>
      </c>
    </row>
    <row r="663" spans="1:8" ht="22" customHeight="1">
      <c r="A663" s="1" t="str">
        <f>IF(AND('Mortgage Inputs'!$B$12,657&lt;=IF('Mortgage Inputs'!$B$12,'Mortgage Inputs'!$B$7,0)*12+600,ISNUMBER(G662),G662&gt;0.005),657,"")</f>
        <v/>
      </c>
      <c r="B663" s="4" t="str">
        <f>IF(A663="","",DATE(YEAR('Mortgage Inputs'!$B$8),MONTH('Mortgage Inputs'!$B$8)+A663,DAY('Mortgage Inputs'!$B$8)))</f>
        <v/>
      </c>
      <c r="C663" s="2" t="str">
        <f t="shared" si="31"/>
        <v/>
      </c>
      <c r="D663" s="2" t="str">
        <f t="shared" si="32"/>
        <v/>
      </c>
      <c r="E663" s="2" t="str">
        <f>IF(A663="","",MAX(0,(C663-MIN(D663,C663))*'Mortgage Inputs'!$B$15))</f>
        <v/>
      </c>
      <c r="F663" s="2" t="str">
        <f>IF(A663="","",IF(AND('Offset Inputs'!$B$5&gt;='Mortgage Inputs'!$B$5,'Mortgage Inputs'!$B$5&gt;0),C663,MIN(C663,MAX(0,'Mortgage Inputs'!$B$17-E663))))</f>
        <v/>
      </c>
      <c r="G663" s="2" t="str">
        <f t="shared" si="30"/>
        <v/>
      </c>
      <c r="H663" s="2" t="str">
        <f>IF(A663="","",IF(AND('Offset Inputs'!$B$5&gt;='Mortgage Inputs'!$B$5,'Mortgage Inputs'!$B$5&gt;0),'Offset Inputs'!$B$5-'Mortgage Inputs'!$B$5,D663+'Offset Inputs'!$B$6))</f>
        <v/>
      </c>
    </row>
    <row r="664" spans="1:8" ht="22" customHeight="1">
      <c r="A664" s="1" t="str">
        <f>IF(AND('Mortgage Inputs'!$B$12,658&lt;=IF('Mortgage Inputs'!$B$12,'Mortgage Inputs'!$B$7,0)*12+600,ISNUMBER(G663),G663&gt;0.005),658,"")</f>
        <v/>
      </c>
      <c r="B664" s="4" t="str">
        <f>IF(A664="","",DATE(YEAR('Mortgage Inputs'!$B$8),MONTH('Mortgage Inputs'!$B$8)+A664,DAY('Mortgage Inputs'!$B$8)))</f>
        <v/>
      </c>
      <c r="C664" s="2" t="str">
        <f t="shared" si="31"/>
        <v/>
      </c>
      <c r="D664" s="2" t="str">
        <f t="shared" si="32"/>
        <v/>
      </c>
      <c r="E664" s="2" t="str">
        <f>IF(A664="","",MAX(0,(C664-MIN(D664,C664))*'Mortgage Inputs'!$B$15))</f>
        <v/>
      </c>
      <c r="F664" s="2" t="str">
        <f>IF(A664="","",IF(AND('Offset Inputs'!$B$5&gt;='Mortgage Inputs'!$B$5,'Mortgage Inputs'!$B$5&gt;0),C664,MIN(C664,MAX(0,'Mortgage Inputs'!$B$17-E664))))</f>
        <v/>
      </c>
      <c r="G664" s="2" t="str">
        <f t="shared" si="30"/>
        <v/>
      </c>
      <c r="H664" s="2" t="str">
        <f>IF(A664="","",IF(AND('Offset Inputs'!$B$5&gt;='Mortgage Inputs'!$B$5,'Mortgage Inputs'!$B$5&gt;0),'Offset Inputs'!$B$5-'Mortgage Inputs'!$B$5,D664+'Offset Inputs'!$B$6))</f>
        <v/>
      </c>
    </row>
    <row r="665" spans="1:8" ht="22" customHeight="1">
      <c r="A665" s="1" t="str">
        <f>IF(AND('Mortgage Inputs'!$B$12,659&lt;=IF('Mortgage Inputs'!$B$12,'Mortgage Inputs'!$B$7,0)*12+600,ISNUMBER(G664),G664&gt;0.005),659,"")</f>
        <v/>
      </c>
      <c r="B665" s="4" t="str">
        <f>IF(A665="","",DATE(YEAR('Mortgage Inputs'!$B$8),MONTH('Mortgage Inputs'!$B$8)+A665,DAY('Mortgage Inputs'!$B$8)))</f>
        <v/>
      </c>
      <c r="C665" s="2" t="str">
        <f t="shared" si="31"/>
        <v/>
      </c>
      <c r="D665" s="2" t="str">
        <f t="shared" si="32"/>
        <v/>
      </c>
      <c r="E665" s="2" t="str">
        <f>IF(A665="","",MAX(0,(C665-MIN(D665,C665))*'Mortgage Inputs'!$B$15))</f>
        <v/>
      </c>
      <c r="F665" s="2" t="str">
        <f>IF(A665="","",IF(AND('Offset Inputs'!$B$5&gt;='Mortgage Inputs'!$B$5,'Mortgage Inputs'!$B$5&gt;0),C665,MIN(C665,MAX(0,'Mortgage Inputs'!$B$17-E665))))</f>
        <v/>
      </c>
      <c r="G665" s="2" t="str">
        <f t="shared" si="30"/>
        <v/>
      </c>
      <c r="H665" s="2" t="str">
        <f>IF(A665="","",IF(AND('Offset Inputs'!$B$5&gt;='Mortgage Inputs'!$B$5,'Mortgage Inputs'!$B$5&gt;0),'Offset Inputs'!$B$5-'Mortgage Inputs'!$B$5,D665+'Offset Inputs'!$B$6))</f>
        <v/>
      </c>
    </row>
    <row r="666" spans="1:8" ht="22" customHeight="1">
      <c r="A666" s="1" t="str">
        <f>IF(AND('Mortgage Inputs'!$B$12,660&lt;=IF('Mortgage Inputs'!$B$12,'Mortgage Inputs'!$B$7,0)*12+600,ISNUMBER(G665),G665&gt;0.005),660,"")</f>
        <v/>
      </c>
      <c r="B666" s="4" t="str">
        <f>IF(A666="","",DATE(YEAR('Mortgage Inputs'!$B$8),MONTH('Mortgage Inputs'!$B$8)+A666,DAY('Mortgage Inputs'!$B$8)))</f>
        <v/>
      </c>
      <c r="C666" s="2" t="str">
        <f t="shared" si="31"/>
        <v/>
      </c>
      <c r="D666" s="2" t="str">
        <f t="shared" si="32"/>
        <v/>
      </c>
      <c r="E666" s="2" t="str">
        <f>IF(A666="","",MAX(0,(C666-MIN(D666,C666))*'Mortgage Inputs'!$B$15))</f>
        <v/>
      </c>
      <c r="F666" s="2" t="str">
        <f>IF(A666="","",IF(AND('Offset Inputs'!$B$5&gt;='Mortgage Inputs'!$B$5,'Mortgage Inputs'!$B$5&gt;0),C666,MIN(C666,MAX(0,'Mortgage Inputs'!$B$17-E666))))</f>
        <v/>
      </c>
      <c r="G666" s="2" t="str">
        <f t="shared" si="30"/>
        <v/>
      </c>
      <c r="H666" s="2" t="str">
        <f>IF(A666="","",IF(AND('Offset Inputs'!$B$5&gt;='Mortgage Inputs'!$B$5,'Mortgage Inputs'!$B$5&gt;0),'Offset Inputs'!$B$5-'Mortgage Inputs'!$B$5,D666+'Offset Inputs'!$B$6))</f>
        <v/>
      </c>
    </row>
    <row r="667" spans="1:8" ht="22" customHeight="1">
      <c r="A667" s="1" t="str">
        <f>IF(AND('Mortgage Inputs'!$B$12,661&lt;=IF('Mortgage Inputs'!$B$12,'Mortgage Inputs'!$B$7,0)*12+600,ISNUMBER(G666),G666&gt;0.005),661,"")</f>
        <v/>
      </c>
      <c r="B667" s="4" t="str">
        <f>IF(A667="","",DATE(YEAR('Mortgage Inputs'!$B$8),MONTH('Mortgage Inputs'!$B$8)+A667,DAY('Mortgage Inputs'!$B$8)))</f>
        <v/>
      </c>
      <c r="C667" s="2" t="str">
        <f t="shared" si="31"/>
        <v/>
      </c>
      <c r="D667" s="2" t="str">
        <f t="shared" si="32"/>
        <v/>
      </c>
      <c r="E667" s="2" t="str">
        <f>IF(A667="","",MAX(0,(C667-MIN(D667,C667))*'Mortgage Inputs'!$B$15))</f>
        <v/>
      </c>
      <c r="F667" s="2" t="str">
        <f>IF(A667="","",IF(AND('Offset Inputs'!$B$5&gt;='Mortgage Inputs'!$B$5,'Mortgage Inputs'!$B$5&gt;0),C667,MIN(C667,MAX(0,'Mortgage Inputs'!$B$17-E667))))</f>
        <v/>
      </c>
      <c r="G667" s="2" t="str">
        <f t="shared" si="30"/>
        <v/>
      </c>
      <c r="H667" s="2" t="str">
        <f>IF(A667="","",IF(AND('Offset Inputs'!$B$5&gt;='Mortgage Inputs'!$B$5,'Mortgage Inputs'!$B$5&gt;0),'Offset Inputs'!$B$5-'Mortgage Inputs'!$B$5,D667+'Offset Inputs'!$B$6))</f>
        <v/>
      </c>
    </row>
    <row r="668" spans="1:8" ht="22" customHeight="1">
      <c r="A668" s="1" t="str">
        <f>IF(AND('Mortgage Inputs'!$B$12,662&lt;=IF('Mortgage Inputs'!$B$12,'Mortgage Inputs'!$B$7,0)*12+600,ISNUMBER(G667),G667&gt;0.005),662,"")</f>
        <v/>
      </c>
      <c r="B668" s="4" t="str">
        <f>IF(A668="","",DATE(YEAR('Mortgage Inputs'!$B$8),MONTH('Mortgage Inputs'!$B$8)+A668,DAY('Mortgage Inputs'!$B$8)))</f>
        <v/>
      </c>
      <c r="C668" s="2" t="str">
        <f t="shared" si="31"/>
        <v/>
      </c>
      <c r="D668" s="2" t="str">
        <f t="shared" si="32"/>
        <v/>
      </c>
      <c r="E668" s="2" t="str">
        <f>IF(A668="","",MAX(0,(C668-MIN(D668,C668))*'Mortgage Inputs'!$B$15))</f>
        <v/>
      </c>
      <c r="F668" s="2" t="str">
        <f>IF(A668="","",IF(AND('Offset Inputs'!$B$5&gt;='Mortgage Inputs'!$B$5,'Mortgage Inputs'!$B$5&gt;0),C668,MIN(C668,MAX(0,'Mortgage Inputs'!$B$17-E668))))</f>
        <v/>
      </c>
      <c r="G668" s="2" t="str">
        <f t="shared" si="30"/>
        <v/>
      </c>
      <c r="H668" s="2" t="str">
        <f>IF(A668="","",IF(AND('Offset Inputs'!$B$5&gt;='Mortgage Inputs'!$B$5,'Mortgage Inputs'!$B$5&gt;0),'Offset Inputs'!$B$5-'Mortgage Inputs'!$B$5,D668+'Offset Inputs'!$B$6))</f>
        <v/>
      </c>
    </row>
    <row r="669" spans="1:8" ht="22" customHeight="1">
      <c r="A669" s="1" t="str">
        <f>IF(AND('Mortgage Inputs'!$B$12,663&lt;=IF('Mortgage Inputs'!$B$12,'Mortgage Inputs'!$B$7,0)*12+600,ISNUMBER(G668),G668&gt;0.005),663,"")</f>
        <v/>
      </c>
      <c r="B669" s="4" t="str">
        <f>IF(A669="","",DATE(YEAR('Mortgage Inputs'!$B$8),MONTH('Mortgage Inputs'!$B$8)+A669,DAY('Mortgage Inputs'!$B$8)))</f>
        <v/>
      </c>
      <c r="C669" s="2" t="str">
        <f t="shared" si="31"/>
        <v/>
      </c>
      <c r="D669" s="2" t="str">
        <f t="shared" si="32"/>
        <v/>
      </c>
      <c r="E669" s="2" t="str">
        <f>IF(A669="","",MAX(0,(C669-MIN(D669,C669))*'Mortgage Inputs'!$B$15))</f>
        <v/>
      </c>
      <c r="F669" s="2" t="str">
        <f>IF(A669="","",IF(AND('Offset Inputs'!$B$5&gt;='Mortgage Inputs'!$B$5,'Mortgage Inputs'!$B$5&gt;0),C669,MIN(C669,MAX(0,'Mortgage Inputs'!$B$17-E669))))</f>
        <v/>
      </c>
      <c r="G669" s="2" t="str">
        <f t="shared" si="30"/>
        <v/>
      </c>
      <c r="H669" s="2" t="str">
        <f>IF(A669="","",IF(AND('Offset Inputs'!$B$5&gt;='Mortgage Inputs'!$B$5,'Mortgage Inputs'!$B$5&gt;0),'Offset Inputs'!$B$5-'Mortgage Inputs'!$B$5,D669+'Offset Inputs'!$B$6))</f>
        <v/>
      </c>
    </row>
    <row r="670" spans="1:8" ht="22" customHeight="1">
      <c r="A670" s="1" t="str">
        <f>IF(AND('Mortgage Inputs'!$B$12,664&lt;=IF('Mortgage Inputs'!$B$12,'Mortgage Inputs'!$B$7,0)*12+600,ISNUMBER(G669),G669&gt;0.005),664,"")</f>
        <v/>
      </c>
      <c r="B670" s="4" t="str">
        <f>IF(A670="","",DATE(YEAR('Mortgage Inputs'!$B$8),MONTH('Mortgage Inputs'!$B$8)+A670,DAY('Mortgage Inputs'!$B$8)))</f>
        <v/>
      </c>
      <c r="C670" s="2" t="str">
        <f t="shared" si="31"/>
        <v/>
      </c>
      <c r="D670" s="2" t="str">
        <f t="shared" si="32"/>
        <v/>
      </c>
      <c r="E670" s="2" t="str">
        <f>IF(A670="","",MAX(0,(C670-MIN(D670,C670))*'Mortgage Inputs'!$B$15))</f>
        <v/>
      </c>
      <c r="F670" s="2" t="str">
        <f>IF(A670="","",IF(AND('Offset Inputs'!$B$5&gt;='Mortgage Inputs'!$B$5,'Mortgage Inputs'!$B$5&gt;0),C670,MIN(C670,MAX(0,'Mortgage Inputs'!$B$17-E670))))</f>
        <v/>
      </c>
      <c r="G670" s="2" t="str">
        <f t="shared" si="30"/>
        <v/>
      </c>
      <c r="H670" s="2" t="str">
        <f>IF(A670="","",IF(AND('Offset Inputs'!$B$5&gt;='Mortgage Inputs'!$B$5,'Mortgage Inputs'!$B$5&gt;0),'Offset Inputs'!$B$5-'Mortgage Inputs'!$B$5,D670+'Offset Inputs'!$B$6))</f>
        <v/>
      </c>
    </row>
    <row r="671" spans="1:8" ht="22" customHeight="1">
      <c r="A671" s="1" t="str">
        <f>IF(AND('Mortgage Inputs'!$B$12,665&lt;=IF('Mortgage Inputs'!$B$12,'Mortgage Inputs'!$B$7,0)*12+600,ISNUMBER(G670),G670&gt;0.005),665,"")</f>
        <v/>
      </c>
      <c r="B671" s="4" t="str">
        <f>IF(A671="","",DATE(YEAR('Mortgage Inputs'!$B$8),MONTH('Mortgage Inputs'!$B$8)+A671,DAY('Mortgage Inputs'!$B$8)))</f>
        <v/>
      </c>
      <c r="C671" s="2" t="str">
        <f t="shared" si="31"/>
        <v/>
      </c>
      <c r="D671" s="2" t="str">
        <f t="shared" si="32"/>
        <v/>
      </c>
      <c r="E671" s="2" t="str">
        <f>IF(A671="","",MAX(0,(C671-MIN(D671,C671))*'Mortgage Inputs'!$B$15))</f>
        <v/>
      </c>
      <c r="F671" s="2" t="str">
        <f>IF(A671="","",IF(AND('Offset Inputs'!$B$5&gt;='Mortgage Inputs'!$B$5,'Mortgage Inputs'!$B$5&gt;0),C671,MIN(C671,MAX(0,'Mortgage Inputs'!$B$17-E671))))</f>
        <v/>
      </c>
      <c r="G671" s="2" t="str">
        <f t="shared" si="30"/>
        <v/>
      </c>
      <c r="H671" s="2" t="str">
        <f>IF(A671="","",IF(AND('Offset Inputs'!$B$5&gt;='Mortgage Inputs'!$B$5,'Mortgage Inputs'!$B$5&gt;0),'Offset Inputs'!$B$5-'Mortgage Inputs'!$B$5,D671+'Offset Inputs'!$B$6))</f>
        <v/>
      </c>
    </row>
    <row r="672" spans="1:8" ht="22" customHeight="1">
      <c r="A672" s="1" t="str">
        <f>IF(AND('Mortgage Inputs'!$B$12,666&lt;=IF('Mortgage Inputs'!$B$12,'Mortgage Inputs'!$B$7,0)*12+600,ISNUMBER(G671),G671&gt;0.005),666,"")</f>
        <v/>
      </c>
      <c r="B672" s="4" t="str">
        <f>IF(A672="","",DATE(YEAR('Mortgage Inputs'!$B$8),MONTH('Mortgage Inputs'!$B$8)+A672,DAY('Mortgage Inputs'!$B$8)))</f>
        <v/>
      </c>
      <c r="C672" s="2" t="str">
        <f t="shared" si="31"/>
        <v/>
      </c>
      <c r="D672" s="2" t="str">
        <f t="shared" si="32"/>
        <v/>
      </c>
      <c r="E672" s="2" t="str">
        <f>IF(A672="","",MAX(0,(C672-MIN(D672,C672))*'Mortgage Inputs'!$B$15))</f>
        <v/>
      </c>
      <c r="F672" s="2" t="str">
        <f>IF(A672="","",IF(AND('Offset Inputs'!$B$5&gt;='Mortgage Inputs'!$B$5,'Mortgage Inputs'!$B$5&gt;0),C672,MIN(C672,MAX(0,'Mortgage Inputs'!$B$17-E672))))</f>
        <v/>
      </c>
      <c r="G672" s="2" t="str">
        <f t="shared" si="30"/>
        <v/>
      </c>
      <c r="H672" s="2" t="str">
        <f>IF(A672="","",IF(AND('Offset Inputs'!$B$5&gt;='Mortgage Inputs'!$B$5,'Mortgage Inputs'!$B$5&gt;0),'Offset Inputs'!$B$5-'Mortgage Inputs'!$B$5,D672+'Offset Inputs'!$B$6))</f>
        <v/>
      </c>
    </row>
    <row r="673" spans="1:8" ht="22" customHeight="1">
      <c r="A673" s="1" t="str">
        <f>IF(AND('Mortgage Inputs'!$B$12,667&lt;=IF('Mortgage Inputs'!$B$12,'Mortgage Inputs'!$B$7,0)*12+600,ISNUMBER(G672),G672&gt;0.005),667,"")</f>
        <v/>
      </c>
      <c r="B673" s="4" t="str">
        <f>IF(A673="","",DATE(YEAR('Mortgage Inputs'!$B$8),MONTH('Mortgage Inputs'!$B$8)+A673,DAY('Mortgage Inputs'!$B$8)))</f>
        <v/>
      </c>
      <c r="C673" s="2" t="str">
        <f t="shared" si="31"/>
        <v/>
      </c>
      <c r="D673" s="2" t="str">
        <f t="shared" si="32"/>
        <v/>
      </c>
      <c r="E673" s="2" t="str">
        <f>IF(A673="","",MAX(0,(C673-MIN(D673,C673))*'Mortgage Inputs'!$B$15))</f>
        <v/>
      </c>
      <c r="F673" s="2" t="str">
        <f>IF(A673="","",IF(AND('Offset Inputs'!$B$5&gt;='Mortgage Inputs'!$B$5,'Mortgage Inputs'!$B$5&gt;0),C673,MIN(C673,MAX(0,'Mortgage Inputs'!$B$17-E673))))</f>
        <v/>
      </c>
      <c r="G673" s="2" t="str">
        <f t="shared" si="30"/>
        <v/>
      </c>
      <c r="H673" s="2" t="str">
        <f>IF(A673="","",IF(AND('Offset Inputs'!$B$5&gt;='Mortgage Inputs'!$B$5,'Mortgage Inputs'!$B$5&gt;0),'Offset Inputs'!$B$5-'Mortgage Inputs'!$B$5,D673+'Offset Inputs'!$B$6))</f>
        <v/>
      </c>
    </row>
    <row r="674" spans="1:8" ht="22" customHeight="1">
      <c r="A674" s="1" t="str">
        <f>IF(AND('Mortgage Inputs'!$B$12,668&lt;=IF('Mortgage Inputs'!$B$12,'Mortgage Inputs'!$B$7,0)*12+600,ISNUMBER(G673),G673&gt;0.005),668,"")</f>
        <v/>
      </c>
      <c r="B674" s="4" t="str">
        <f>IF(A674="","",DATE(YEAR('Mortgage Inputs'!$B$8),MONTH('Mortgage Inputs'!$B$8)+A674,DAY('Mortgage Inputs'!$B$8)))</f>
        <v/>
      </c>
      <c r="C674" s="2" t="str">
        <f t="shared" si="31"/>
        <v/>
      </c>
      <c r="D674" s="2" t="str">
        <f t="shared" si="32"/>
        <v/>
      </c>
      <c r="E674" s="2" t="str">
        <f>IF(A674="","",MAX(0,(C674-MIN(D674,C674))*'Mortgage Inputs'!$B$15))</f>
        <v/>
      </c>
      <c r="F674" s="2" t="str">
        <f>IF(A674="","",IF(AND('Offset Inputs'!$B$5&gt;='Mortgage Inputs'!$B$5,'Mortgage Inputs'!$B$5&gt;0),C674,MIN(C674,MAX(0,'Mortgage Inputs'!$B$17-E674))))</f>
        <v/>
      </c>
      <c r="G674" s="2" t="str">
        <f t="shared" si="30"/>
        <v/>
      </c>
      <c r="H674" s="2" t="str">
        <f>IF(A674="","",IF(AND('Offset Inputs'!$B$5&gt;='Mortgage Inputs'!$B$5,'Mortgage Inputs'!$B$5&gt;0),'Offset Inputs'!$B$5-'Mortgage Inputs'!$B$5,D674+'Offset Inputs'!$B$6))</f>
        <v/>
      </c>
    </row>
    <row r="675" spans="1:8" ht="22" customHeight="1">
      <c r="A675" s="1" t="str">
        <f>IF(AND('Mortgage Inputs'!$B$12,669&lt;=IF('Mortgage Inputs'!$B$12,'Mortgage Inputs'!$B$7,0)*12+600,ISNUMBER(G674),G674&gt;0.005),669,"")</f>
        <v/>
      </c>
      <c r="B675" s="4" t="str">
        <f>IF(A675="","",DATE(YEAR('Mortgage Inputs'!$B$8),MONTH('Mortgage Inputs'!$B$8)+A675,DAY('Mortgage Inputs'!$B$8)))</f>
        <v/>
      </c>
      <c r="C675" s="2" t="str">
        <f t="shared" si="31"/>
        <v/>
      </c>
      <c r="D675" s="2" t="str">
        <f t="shared" si="32"/>
        <v/>
      </c>
      <c r="E675" s="2" t="str">
        <f>IF(A675="","",MAX(0,(C675-MIN(D675,C675))*'Mortgage Inputs'!$B$15))</f>
        <v/>
      </c>
      <c r="F675" s="2" t="str">
        <f>IF(A675="","",IF(AND('Offset Inputs'!$B$5&gt;='Mortgage Inputs'!$B$5,'Mortgage Inputs'!$B$5&gt;0),C675,MIN(C675,MAX(0,'Mortgage Inputs'!$B$17-E675))))</f>
        <v/>
      </c>
      <c r="G675" s="2" t="str">
        <f t="shared" si="30"/>
        <v/>
      </c>
      <c r="H675" s="2" t="str">
        <f>IF(A675="","",IF(AND('Offset Inputs'!$B$5&gt;='Mortgage Inputs'!$B$5,'Mortgage Inputs'!$B$5&gt;0),'Offset Inputs'!$B$5-'Mortgage Inputs'!$B$5,D675+'Offset Inputs'!$B$6))</f>
        <v/>
      </c>
    </row>
    <row r="676" spans="1:8" ht="22" customHeight="1">
      <c r="A676" s="1" t="str">
        <f>IF(AND('Mortgage Inputs'!$B$12,670&lt;=IF('Mortgage Inputs'!$B$12,'Mortgage Inputs'!$B$7,0)*12+600,ISNUMBER(G675),G675&gt;0.005),670,"")</f>
        <v/>
      </c>
      <c r="B676" s="4" t="str">
        <f>IF(A676="","",DATE(YEAR('Mortgage Inputs'!$B$8),MONTH('Mortgage Inputs'!$B$8)+A676,DAY('Mortgage Inputs'!$B$8)))</f>
        <v/>
      </c>
      <c r="C676" s="2" t="str">
        <f t="shared" si="31"/>
        <v/>
      </c>
      <c r="D676" s="2" t="str">
        <f t="shared" si="32"/>
        <v/>
      </c>
      <c r="E676" s="2" t="str">
        <f>IF(A676="","",MAX(0,(C676-MIN(D676,C676))*'Mortgage Inputs'!$B$15))</f>
        <v/>
      </c>
      <c r="F676" s="2" t="str">
        <f>IF(A676="","",IF(AND('Offset Inputs'!$B$5&gt;='Mortgage Inputs'!$B$5,'Mortgage Inputs'!$B$5&gt;0),C676,MIN(C676,MAX(0,'Mortgage Inputs'!$B$17-E676))))</f>
        <v/>
      </c>
      <c r="G676" s="2" t="str">
        <f t="shared" si="30"/>
        <v/>
      </c>
      <c r="H676" s="2" t="str">
        <f>IF(A676="","",IF(AND('Offset Inputs'!$B$5&gt;='Mortgage Inputs'!$B$5,'Mortgage Inputs'!$B$5&gt;0),'Offset Inputs'!$B$5-'Mortgage Inputs'!$B$5,D676+'Offset Inputs'!$B$6))</f>
        <v/>
      </c>
    </row>
    <row r="677" spans="1:8" ht="22" customHeight="1">
      <c r="A677" s="1" t="str">
        <f>IF(AND('Mortgage Inputs'!$B$12,671&lt;=IF('Mortgage Inputs'!$B$12,'Mortgage Inputs'!$B$7,0)*12+600,ISNUMBER(G676),G676&gt;0.005),671,"")</f>
        <v/>
      </c>
      <c r="B677" s="4" t="str">
        <f>IF(A677="","",DATE(YEAR('Mortgage Inputs'!$B$8),MONTH('Mortgage Inputs'!$B$8)+A677,DAY('Mortgage Inputs'!$B$8)))</f>
        <v/>
      </c>
      <c r="C677" s="2" t="str">
        <f t="shared" si="31"/>
        <v/>
      </c>
      <c r="D677" s="2" t="str">
        <f t="shared" si="32"/>
        <v/>
      </c>
      <c r="E677" s="2" t="str">
        <f>IF(A677="","",MAX(0,(C677-MIN(D677,C677))*'Mortgage Inputs'!$B$15))</f>
        <v/>
      </c>
      <c r="F677" s="2" t="str">
        <f>IF(A677="","",IF(AND('Offset Inputs'!$B$5&gt;='Mortgage Inputs'!$B$5,'Mortgage Inputs'!$B$5&gt;0),C677,MIN(C677,MAX(0,'Mortgage Inputs'!$B$17-E677))))</f>
        <v/>
      </c>
      <c r="G677" s="2" t="str">
        <f t="shared" si="30"/>
        <v/>
      </c>
      <c r="H677" s="2" t="str">
        <f>IF(A677="","",IF(AND('Offset Inputs'!$B$5&gt;='Mortgage Inputs'!$B$5,'Mortgage Inputs'!$B$5&gt;0),'Offset Inputs'!$B$5-'Mortgage Inputs'!$B$5,D677+'Offset Inputs'!$B$6))</f>
        <v/>
      </c>
    </row>
    <row r="678" spans="1:8" ht="22" customHeight="1">
      <c r="A678" s="1" t="str">
        <f>IF(AND('Mortgage Inputs'!$B$12,672&lt;=IF('Mortgage Inputs'!$B$12,'Mortgage Inputs'!$B$7,0)*12+600,ISNUMBER(G677),G677&gt;0.005),672,"")</f>
        <v/>
      </c>
      <c r="B678" s="4" t="str">
        <f>IF(A678="","",DATE(YEAR('Mortgage Inputs'!$B$8),MONTH('Mortgage Inputs'!$B$8)+A678,DAY('Mortgage Inputs'!$B$8)))</f>
        <v/>
      </c>
      <c r="C678" s="2" t="str">
        <f t="shared" si="31"/>
        <v/>
      </c>
      <c r="D678" s="2" t="str">
        <f t="shared" si="32"/>
        <v/>
      </c>
      <c r="E678" s="2" t="str">
        <f>IF(A678="","",MAX(0,(C678-MIN(D678,C678))*'Mortgage Inputs'!$B$15))</f>
        <v/>
      </c>
      <c r="F678" s="2" t="str">
        <f>IF(A678="","",IF(AND('Offset Inputs'!$B$5&gt;='Mortgage Inputs'!$B$5,'Mortgage Inputs'!$B$5&gt;0),C678,MIN(C678,MAX(0,'Mortgage Inputs'!$B$17-E678))))</f>
        <v/>
      </c>
      <c r="G678" s="2" t="str">
        <f t="shared" si="30"/>
        <v/>
      </c>
      <c r="H678" s="2" t="str">
        <f>IF(A678="","",IF(AND('Offset Inputs'!$B$5&gt;='Mortgage Inputs'!$B$5,'Mortgage Inputs'!$B$5&gt;0),'Offset Inputs'!$B$5-'Mortgage Inputs'!$B$5,D678+'Offset Inputs'!$B$6))</f>
        <v/>
      </c>
    </row>
    <row r="679" spans="1:8" ht="22" customHeight="1">
      <c r="A679" s="1" t="str">
        <f>IF(AND('Mortgage Inputs'!$B$12,673&lt;=IF('Mortgage Inputs'!$B$12,'Mortgage Inputs'!$B$7,0)*12+600,ISNUMBER(G678),G678&gt;0.005),673,"")</f>
        <v/>
      </c>
      <c r="B679" s="4" t="str">
        <f>IF(A679="","",DATE(YEAR('Mortgage Inputs'!$B$8),MONTH('Mortgage Inputs'!$B$8)+A679,DAY('Mortgage Inputs'!$B$8)))</f>
        <v/>
      </c>
      <c r="C679" s="2" t="str">
        <f t="shared" si="31"/>
        <v/>
      </c>
      <c r="D679" s="2" t="str">
        <f t="shared" si="32"/>
        <v/>
      </c>
      <c r="E679" s="2" t="str">
        <f>IF(A679="","",MAX(0,(C679-MIN(D679,C679))*'Mortgage Inputs'!$B$15))</f>
        <v/>
      </c>
      <c r="F679" s="2" t="str">
        <f>IF(A679="","",IF(AND('Offset Inputs'!$B$5&gt;='Mortgage Inputs'!$B$5,'Mortgage Inputs'!$B$5&gt;0),C679,MIN(C679,MAX(0,'Mortgage Inputs'!$B$17-E679))))</f>
        <v/>
      </c>
      <c r="G679" s="2" t="str">
        <f t="shared" si="30"/>
        <v/>
      </c>
      <c r="H679" s="2" t="str">
        <f>IF(A679="","",IF(AND('Offset Inputs'!$B$5&gt;='Mortgage Inputs'!$B$5,'Mortgage Inputs'!$B$5&gt;0),'Offset Inputs'!$B$5-'Mortgage Inputs'!$B$5,D679+'Offset Inputs'!$B$6))</f>
        <v/>
      </c>
    </row>
    <row r="680" spans="1:8" ht="22" customHeight="1">
      <c r="A680" s="1" t="str">
        <f>IF(AND('Mortgage Inputs'!$B$12,674&lt;=IF('Mortgage Inputs'!$B$12,'Mortgage Inputs'!$B$7,0)*12+600,ISNUMBER(G679),G679&gt;0.005),674,"")</f>
        <v/>
      </c>
      <c r="B680" s="4" t="str">
        <f>IF(A680="","",DATE(YEAR('Mortgage Inputs'!$B$8),MONTH('Mortgage Inputs'!$B$8)+A680,DAY('Mortgage Inputs'!$B$8)))</f>
        <v/>
      </c>
      <c r="C680" s="2" t="str">
        <f t="shared" si="31"/>
        <v/>
      </c>
      <c r="D680" s="2" t="str">
        <f t="shared" si="32"/>
        <v/>
      </c>
      <c r="E680" s="2" t="str">
        <f>IF(A680="","",MAX(0,(C680-MIN(D680,C680))*'Mortgage Inputs'!$B$15))</f>
        <v/>
      </c>
      <c r="F680" s="2" t="str">
        <f>IF(A680="","",IF(AND('Offset Inputs'!$B$5&gt;='Mortgage Inputs'!$B$5,'Mortgage Inputs'!$B$5&gt;0),C680,MIN(C680,MAX(0,'Mortgage Inputs'!$B$17-E680))))</f>
        <v/>
      </c>
      <c r="G680" s="2" t="str">
        <f t="shared" si="30"/>
        <v/>
      </c>
      <c r="H680" s="2" t="str">
        <f>IF(A680="","",IF(AND('Offset Inputs'!$B$5&gt;='Mortgage Inputs'!$B$5,'Mortgage Inputs'!$B$5&gt;0),'Offset Inputs'!$B$5-'Mortgage Inputs'!$B$5,D680+'Offset Inputs'!$B$6))</f>
        <v/>
      </c>
    </row>
    <row r="681" spans="1:8" ht="22" customHeight="1">
      <c r="A681" s="1" t="str">
        <f>IF(AND('Mortgage Inputs'!$B$12,675&lt;=IF('Mortgage Inputs'!$B$12,'Mortgage Inputs'!$B$7,0)*12+600,ISNUMBER(G680),G680&gt;0.005),675,"")</f>
        <v/>
      </c>
      <c r="B681" s="4" t="str">
        <f>IF(A681="","",DATE(YEAR('Mortgage Inputs'!$B$8),MONTH('Mortgage Inputs'!$B$8)+A681,DAY('Mortgage Inputs'!$B$8)))</f>
        <v/>
      </c>
      <c r="C681" s="2" t="str">
        <f t="shared" si="31"/>
        <v/>
      </c>
      <c r="D681" s="2" t="str">
        <f t="shared" si="32"/>
        <v/>
      </c>
      <c r="E681" s="2" t="str">
        <f>IF(A681="","",MAX(0,(C681-MIN(D681,C681))*'Mortgage Inputs'!$B$15))</f>
        <v/>
      </c>
      <c r="F681" s="2" t="str">
        <f>IF(A681="","",IF(AND('Offset Inputs'!$B$5&gt;='Mortgage Inputs'!$B$5,'Mortgage Inputs'!$B$5&gt;0),C681,MIN(C681,MAX(0,'Mortgage Inputs'!$B$17-E681))))</f>
        <v/>
      </c>
      <c r="G681" s="2" t="str">
        <f t="shared" si="30"/>
        <v/>
      </c>
      <c r="H681" s="2" t="str">
        <f>IF(A681="","",IF(AND('Offset Inputs'!$B$5&gt;='Mortgage Inputs'!$B$5,'Mortgage Inputs'!$B$5&gt;0),'Offset Inputs'!$B$5-'Mortgage Inputs'!$B$5,D681+'Offset Inputs'!$B$6))</f>
        <v/>
      </c>
    </row>
    <row r="682" spans="1:8" ht="22" customHeight="1">
      <c r="A682" s="1" t="str">
        <f>IF(AND('Mortgage Inputs'!$B$12,676&lt;=IF('Mortgage Inputs'!$B$12,'Mortgage Inputs'!$B$7,0)*12+600,ISNUMBER(G681),G681&gt;0.005),676,"")</f>
        <v/>
      </c>
      <c r="B682" s="4" t="str">
        <f>IF(A682="","",DATE(YEAR('Mortgage Inputs'!$B$8),MONTH('Mortgage Inputs'!$B$8)+A682,DAY('Mortgage Inputs'!$B$8)))</f>
        <v/>
      </c>
      <c r="C682" s="2" t="str">
        <f t="shared" si="31"/>
        <v/>
      </c>
      <c r="D682" s="2" t="str">
        <f t="shared" si="32"/>
        <v/>
      </c>
      <c r="E682" s="2" t="str">
        <f>IF(A682="","",MAX(0,(C682-MIN(D682,C682))*'Mortgage Inputs'!$B$15))</f>
        <v/>
      </c>
      <c r="F682" s="2" t="str">
        <f>IF(A682="","",IF(AND('Offset Inputs'!$B$5&gt;='Mortgage Inputs'!$B$5,'Mortgage Inputs'!$B$5&gt;0),C682,MIN(C682,MAX(0,'Mortgage Inputs'!$B$17-E682))))</f>
        <v/>
      </c>
      <c r="G682" s="2" t="str">
        <f t="shared" si="30"/>
        <v/>
      </c>
      <c r="H682" s="2" t="str">
        <f>IF(A682="","",IF(AND('Offset Inputs'!$B$5&gt;='Mortgage Inputs'!$B$5,'Mortgage Inputs'!$B$5&gt;0),'Offset Inputs'!$B$5-'Mortgage Inputs'!$B$5,D682+'Offset Inputs'!$B$6))</f>
        <v/>
      </c>
    </row>
    <row r="683" spans="1:8" ht="22" customHeight="1">
      <c r="A683" s="1" t="str">
        <f>IF(AND('Mortgage Inputs'!$B$12,677&lt;=IF('Mortgage Inputs'!$B$12,'Mortgage Inputs'!$B$7,0)*12+600,ISNUMBER(G682),G682&gt;0.005),677,"")</f>
        <v/>
      </c>
      <c r="B683" s="4" t="str">
        <f>IF(A683="","",DATE(YEAR('Mortgage Inputs'!$B$8),MONTH('Mortgage Inputs'!$B$8)+A683,DAY('Mortgage Inputs'!$B$8)))</f>
        <v/>
      </c>
      <c r="C683" s="2" t="str">
        <f t="shared" si="31"/>
        <v/>
      </c>
      <c r="D683" s="2" t="str">
        <f t="shared" si="32"/>
        <v/>
      </c>
      <c r="E683" s="2" t="str">
        <f>IF(A683="","",MAX(0,(C683-MIN(D683,C683))*'Mortgage Inputs'!$B$15))</f>
        <v/>
      </c>
      <c r="F683" s="2" t="str">
        <f>IF(A683="","",IF(AND('Offset Inputs'!$B$5&gt;='Mortgage Inputs'!$B$5,'Mortgage Inputs'!$B$5&gt;0),C683,MIN(C683,MAX(0,'Mortgage Inputs'!$B$17-E683))))</f>
        <v/>
      </c>
      <c r="G683" s="2" t="str">
        <f t="shared" si="30"/>
        <v/>
      </c>
      <c r="H683" s="2" t="str">
        <f>IF(A683="","",IF(AND('Offset Inputs'!$B$5&gt;='Mortgage Inputs'!$B$5,'Mortgage Inputs'!$B$5&gt;0),'Offset Inputs'!$B$5-'Mortgage Inputs'!$B$5,D683+'Offset Inputs'!$B$6))</f>
        <v/>
      </c>
    </row>
    <row r="684" spans="1:8" ht="22" customHeight="1">
      <c r="A684" s="1" t="str">
        <f>IF(AND('Mortgage Inputs'!$B$12,678&lt;=IF('Mortgage Inputs'!$B$12,'Mortgage Inputs'!$B$7,0)*12+600,ISNUMBER(G683),G683&gt;0.005),678,"")</f>
        <v/>
      </c>
      <c r="B684" s="4" t="str">
        <f>IF(A684="","",DATE(YEAR('Mortgage Inputs'!$B$8),MONTH('Mortgage Inputs'!$B$8)+A684,DAY('Mortgage Inputs'!$B$8)))</f>
        <v/>
      </c>
      <c r="C684" s="2" t="str">
        <f t="shared" si="31"/>
        <v/>
      </c>
      <c r="D684" s="2" t="str">
        <f t="shared" si="32"/>
        <v/>
      </c>
      <c r="E684" s="2" t="str">
        <f>IF(A684="","",MAX(0,(C684-MIN(D684,C684))*'Mortgage Inputs'!$B$15))</f>
        <v/>
      </c>
      <c r="F684" s="2" t="str">
        <f>IF(A684="","",IF(AND('Offset Inputs'!$B$5&gt;='Mortgage Inputs'!$B$5,'Mortgage Inputs'!$B$5&gt;0),C684,MIN(C684,MAX(0,'Mortgage Inputs'!$B$17-E684))))</f>
        <v/>
      </c>
      <c r="G684" s="2" t="str">
        <f t="shared" si="30"/>
        <v/>
      </c>
      <c r="H684" s="2" t="str">
        <f>IF(A684="","",IF(AND('Offset Inputs'!$B$5&gt;='Mortgage Inputs'!$B$5,'Mortgage Inputs'!$B$5&gt;0),'Offset Inputs'!$B$5-'Mortgage Inputs'!$B$5,D684+'Offset Inputs'!$B$6))</f>
        <v/>
      </c>
    </row>
    <row r="685" spans="1:8" ht="22" customHeight="1">
      <c r="A685" s="1" t="str">
        <f>IF(AND('Mortgage Inputs'!$B$12,679&lt;=IF('Mortgage Inputs'!$B$12,'Mortgage Inputs'!$B$7,0)*12+600,ISNUMBER(G684),G684&gt;0.005),679,"")</f>
        <v/>
      </c>
      <c r="B685" s="4" t="str">
        <f>IF(A685="","",DATE(YEAR('Mortgage Inputs'!$B$8),MONTH('Mortgage Inputs'!$B$8)+A685,DAY('Mortgage Inputs'!$B$8)))</f>
        <v/>
      </c>
      <c r="C685" s="2" t="str">
        <f t="shared" si="31"/>
        <v/>
      </c>
      <c r="D685" s="2" t="str">
        <f t="shared" si="32"/>
        <v/>
      </c>
      <c r="E685" s="2" t="str">
        <f>IF(A685="","",MAX(0,(C685-MIN(D685,C685))*'Mortgage Inputs'!$B$15))</f>
        <v/>
      </c>
      <c r="F685" s="2" t="str">
        <f>IF(A685="","",IF(AND('Offset Inputs'!$B$5&gt;='Mortgage Inputs'!$B$5,'Mortgage Inputs'!$B$5&gt;0),C685,MIN(C685,MAX(0,'Mortgage Inputs'!$B$17-E685))))</f>
        <v/>
      </c>
      <c r="G685" s="2" t="str">
        <f t="shared" si="30"/>
        <v/>
      </c>
      <c r="H685" s="2" t="str">
        <f>IF(A685="","",IF(AND('Offset Inputs'!$B$5&gt;='Mortgage Inputs'!$B$5,'Mortgage Inputs'!$B$5&gt;0),'Offset Inputs'!$B$5-'Mortgage Inputs'!$B$5,D685+'Offset Inputs'!$B$6))</f>
        <v/>
      </c>
    </row>
    <row r="686" spans="1:8" ht="22" customHeight="1">
      <c r="A686" s="1" t="str">
        <f>IF(AND('Mortgage Inputs'!$B$12,680&lt;=IF('Mortgage Inputs'!$B$12,'Mortgage Inputs'!$B$7,0)*12+600,ISNUMBER(G685),G685&gt;0.005),680,"")</f>
        <v/>
      </c>
      <c r="B686" s="4" t="str">
        <f>IF(A686="","",DATE(YEAR('Mortgage Inputs'!$B$8),MONTH('Mortgage Inputs'!$B$8)+A686,DAY('Mortgage Inputs'!$B$8)))</f>
        <v/>
      </c>
      <c r="C686" s="2" t="str">
        <f t="shared" si="31"/>
        <v/>
      </c>
      <c r="D686" s="2" t="str">
        <f t="shared" si="32"/>
        <v/>
      </c>
      <c r="E686" s="2" t="str">
        <f>IF(A686="","",MAX(0,(C686-MIN(D686,C686))*'Mortgage Inputs'!$B$15))</f>
        <v/>
      </c>
      <c r="F686" s="2" t="str">
        <f>IF(A686="","",IF(AND('Offset Inputs'!$B$5&gt;='Mortgage Inputs'!$B$5,'Mortgage Inputs'!$B$5&gt;0),C686,MIN(C686,MAX(0,'Mortgage Inputs'!$B$17-E686))))</f>
        <v/>
      </c>
      <c r="G686" s="2" t="str">
        <f t="shared" si="30"/>
        <v/>
      </c>
      <c r="H686" s="2" t="str">
        <f>IF(A686="","",IF(AND('Offset Inputs'!$B$5&gt;='Mortgage Inputs'!$B$5,'Mortgage Inputs'!$B$5&gt;0),'Offset Inputs'!$B$5-'Mortgage Inputs'!$B$5,D686+'Offset Inputs'!$B$6))</f>
        <v/>
      </c>
    </row>
    <row r="687" spans="1:8" ht="22" customHeight="1">
      <c r="A687" s="1" t="str">
        <f>IF(AND('Mortgage Inputs'!$B$12,681&lt;=IF('Mortgage Inputs'!$B$12,'Mortgage Inputs'!$B$7,0)*12+600,ISNUMBER(G686),G686&gt;0.005),681,"")</f>
        <v/>
      </c>
      <c r="B687" s="4" t="str">
        <f>IF(A687="","",DATE(YEAR('Mortgage Inputs'!$B$8),MONTH('Mortgage Inputs'!$B$8)+A687,DAY('Mortgage Inputs'!$B$8)))</f>
        <v/>
      </c>
      <c r="C687" s="2" t="str">
        <f t="shared" si="31"/>
        <v/>
      </c>
      <c r="D687" s="2" t="str">
        <f t="shared" si="32"/>
        <v/>
      </c>
      <c r="E687" s="2" t="str">
        <f>IF(A687="","",MAX(0,(C687-MIN(D687,C687))*'Mortgage Inputs'!$B$15))</f>
        <v/>
      </c>
      <c r="F687" s="2" t="str">
        <f>IF(A687="","",IF(AND('Offset Inputs'!$B$5&gt;='Mortgage Inputs'!$B$5,'Mortgage Inputs'!$B$5&gt;0),C687,MIN(C687,MAX(0,'Mortgage Inputs'!$B$17-E687))))</f>
        <v/>
      </c>
      <c r="G687" s="2" t="str">
        <f t="shared" si="30"/>
        <v/>
      </c>
      <c r="H687" s="2" t="str">
        <f>IF(A687="","",IF(AND('Offset Inputs'!$B$5&gt;='Mortgage Inputs'!$B$5,'Mortgage Inputs'!$B$5&gt;0),'Offset Inputs'!$B$5-'Mortgage Inputs'!$B$5,D687+'Offset Inputs'!$B$6))</f>
        <v/>
      </c>
    </row>
    <row r="688" spans="1:8" ht="22" customHeight="1">
      <c r="A688" s="1" t="str">
        <f>IF(AND('Mortgage Inputs'!$B$12,682&lt;=IF('Mortgage Inputs'!$B$12,'Mortgage Inputs'!$B$7,0)*12+600,ISNUMBER(G687),G687&gt;0.005),682,"")</f>
        <v/>
      </c>
      <c r="B688" s="4" t="str">
        <f>IF(A688="","",DATE(YEAR('Mortgage Inputs'!$B$8),MONTH('Mortgage Inputs'!$B$8)+A688,DAY('Mortgage Inputs'!$B$8)))</f>
        <v/>
      </c>
      <c r="C688" s="2" t="str">
        <f t="shared" si="31"/>
        <v/>
      </c>
      <c r="D688" s="2" t="str">
        <f t="shared" si="32"/>
        <v/>
      </c>
      <c r="E688" s="2" t="str">
        <f>IF(A688="","",MAX(0,(C688-MIN(D688,C688))*'Mortgage Inputs'!$B$15))</f>
        <v/>
      </c>
      <c r="F688" s="2" t="str">
        <f>IF(A688="","",IF(AND('Offset Inputs'!$B$5&gt;='Mortgage Inputs'!$B$5,'Mortgage Inputs'!$B$5&gt;0),C688,MIN(C688,MAX(0,'Mortgage Inputs'!$B$17-E688))))</f>
        <v/>
      </c>
      <c r="G688" s="2" t="str">
        <f t="shared" si="30"/>
        <v/>
      </c>
      <c r="H688" s="2" t="str">
        <f>IF(A688="","",IF(AND('Offset Inputs'!$B$5&gt;='Mortgage Inputs'!$B$5,'Mortgage Inputs'!$B$5&gt;0),'Offset Inputs'!$B$5-'Mortgage Inputs'!$B$5,D688+'Offset Inputs'!$B$6))</f>
        <v/>
      </c>
    </row>
    <row r="689" spans="1:8" ht="22" customHeight="1">
      <c r="A689" s="1" t="str">
        <f>IF(AND('Mortgage Inputs'!$B$12,683&lt;=IF('Mortgage Inputs'!$B$12,'Mortgage Inputs'!$B$7,0)*12+600,ISNUMBER(G688),G688&gt;0.005),683,"")</f>
        <v/>
      </c>
      <c r="B689" s="4" t="str">
        <f>IF(A689="","",DATE(YEAR('Mortgage Inputs'!$B$8),MONTH('Mortgage Inputs'!$B$8)+A689,DAY('Mortgage Inputs'!$B$8)))</f>
        <v/>
      </c>
      <c r="C689" s="2" t="str">
        <f t="shared" si="31"/>
        <v/>
      </c>
      <c r="D689" s="2" t="str">
        <f t="shared" si="32"/>
        <v/>
      </c>
      <c r="E689" s="2" t="str">
        <f>IF(A689="","",MAX(0,(C689-MIN(D689,C689))*'Mortgage Inputs'!$B$15))</f>
        <v/>
      </c>
      <c r="F689" s="2" t="str">
        <f>IF(A689="","",IF(AND('Offset Inputs'!$B$5&gt;='Mortgage Inputs'!$B$5,'Mortgage Inputs'!$B$5&gt;0),C689,MIN(C689,MAX(0,'Mortgage Inputs'!$B$17-E689))))</f>
        <v/>
      </c>
      <c r="G689" s="2" t="str">
        <f t="shared" si="30"/>
        <v/>
      </c>
      <c r="H689" s="2" t="str">
        <f>IF(A689="","",IF(AND('Offset Inputs'!$B$5&gt;='Mortgage Inputs'!$B$5,'Mortgage Inputs'!$B$5&gt;0),'Offset Inputs'!$B$5-'Mortgage Inputs'!$B$5,D689+'Offset Inputs'!$B$6))</f>
        <v/>
      </c>
    </row>
    <row r="690" spans="1:8" ht="22" customHeight="1">
      <c r="A690" s="1" t="str">
        <f>IF(AND('Mortgage Inputs'!$B$12,684&lt;=IF('Mortgage Inputs'!$B$12,'Mortgage Inputs'!$B$7,0)*12+600,ISNUMBER(G689),G689&gt;0.005),684,"")</f>
        <v/>
      </c>
      <c r="B690" s="4" t="str">
        <f>IF(A690="","",DATE(YEAR('Mortgage Inputs'!$B$8),MONTH('Mortgage Inputs'!$B$8)+A690,DAY('Mortgage Inputs'!$B$8)))</f>
        <v/>
      </c>
      <c r="C690" s="2" t="str">
        <f t="shared" si="31"/>
        <v/>
      </c>
      <c r="D690" s="2" t="str">
        <f t="shared" si="32"/>
        <v/>
      </c>
      <c r="E690" s="2" t="str">
        <f>IF(A690="","",MAX(0,(C690-MIN(D690,C690))*'Mortgage Inputs'!$B$15))</f>
        <v/>
      </c>
      <c r="F690" s="2" t="str">
        <f>IF(A690="","",IF(AND('Offset Inputs'!$B$5&gt;='Mortgage Inputs'!$B$5,'Mortgage Inputs'!$B$5&gt;0),C690,MIN(C690,MAX(0,'Mortgage Inputs'!$B$17-E690))))</f>
        <v/>
      </c>
      <c r="G690" s="2" t="str">
        <f t="shared" si="30"/>
        <v/>
      </c>
      <c r="H690" s="2" t="str">
        <f>IF(A690="","",IF(AND('Offset Inputs'!$B$5&gt;='Mortgage Inputs'!$B$5,'Mortgage Inputs'!$B$5&gt;0),'Offset Inputs'!$B$5-'Mortgage Inputs'!$B$5,D690+'Offset Inputs'!$B$6))</f>
        <v/>
      </c>
    </row>
    <row r="691" spans="1:8" ht="22" customHeight="1">
      <c r="A691" s="1" t="str">
        <f>IF(AND('Mortgage Inputs'!$B$12,685&lt;=IF('Mortgage Inputs'!$B$12,'Mortgage Inputs'!$B$7,0)*12+600,ISNUMBER(G690),G690&gt;0.005),685,"")</f>
        <v/>
      </c>
      <c r="B691" s="4" t="str">
        <f>IF(A691="","",DATE(YEAR('Mortgage Inputs'!$B$8),MONTH('Mortgage Inputs'!$B$8)+A691,DAY('Mortgage Inputs'!$B$8)))</f>
        <v/>
      </c>
      <c r="C691" s="2" t="str">
        <f t="shared" si="31"/>
        <v/>
      </c>
      <c r="D691" s="2" t="str">
        <f t="shared" si="32"/>
        <v/>
      </c>
      <c r="E691" s="2" t="str">
        <f>IF(A691="","",MAX(0,(C691-MIN(D691,C691))*'Mortgage Inputs'!$B$15))</f>
        <v/>
      </c>
      <c r="F691" s="2" t="str">
        <f>IF(A691="","",IF(AND('Offset Inputs'!$B$5&gt;='Mortgage Inputs'!$B$5,'Mortgage Inputs'!$B$5&gt;0),C691,MIN(C691,MAX(0,'Mortgage Inputs'!$B$17-E691))))</f>
        <v/>
      </c>
      <c r="G691" s="2" t="str">
        <f t="shared" si="30"/>
        <v/>
      </c>
      <c r="H691" s="2" t="str">
        <f>IF(A691="","",IF(AND('Offset Inputs'!$B$5&gt;='Mortgage Inputs'!$B$5,'Mortgage Inputs'!$B$5&gt;0),'Offset Inputs'!$B$5-'Mortgage Inputs'!$B$5,D691+'Offset Inputs'!$B$6))</f>
        <v/>
      </c>
    </row>
    <row r="692" spans="1:8" ht="22" customHeight="1">
      <c r="A692" s="1" t="str">
        <f>IF(AND('Mortgage Inputs'!$B$12,686&lt;=IF('Mortgage Inputs'!$B$12,'Mortgage Inputs'!$B$7,0)*12+600,ISNUMBER(G691),G691&gt;0.005),686,"")</f>
        <v/>
      </c>
      <c r="B692" s="4" t="str">
        <f>IF(A692="","",DATE(YEAR('Mortgage Inputs'!$B$8),MONTH('Mortgage Inputs'!$B$8)+A692,DAY('Mortgage Inputs'!$B$8)))</f>
        <v/>
      </c>
      <c r="C692" s="2" t="str">
        <f t="shared" si="31"/>
        <v/>
      </c>
      <c r="D692" s="2" t="str">
        <f t="shared" si="32"/>
        <v/>
      </c>
      <c r="E692" s="2" t="str">
        <f>IF(A692="","",MAX(0,(C692-MIN(D692,C692))*'Mortgage Inputs'!$B$15))</f>
        <v/>
      </c>
      <c r="F692" s="2" t="str">
        <f>IF(A692="","",IF(AND('Offset Inputs'!$B$5&gt;='Mortgage Inputs'!$B$5,'Mortgage Inputs'!$B$5&gt;0),C692,MIN(C692,MAX(0,'Mortgage Inputs'!$B$17-E692))))</f>
        <v/>
      </c>
      <c r="G692" s="2" t="str">
        <f t="shared" si="30"/>
        <v/>
      </c>
      <c r="H692" s="2" t="str">
        <f>IF(A692="","",IF(AND('Offset Inputs'!$B$5&gt;='Mortgage Inputs'!$B$5,'Mortgage Inputs'!$B$5&gt;0),'Offset Inputs'!$B$5-'Mortgage Inputs'!$B$5,D692+'Offset Inputs'!$B$6))</f>
        <v/>
      </c>
    </row>
    <row r="693" spans="1:8" ht="22" customHeight="1">
      <c r="A693" s="1" t="str">
        <f>IF(AND('Mortgage Inputs'!$B$12,687&lt;=IF('Mortgage Inputs'!$B$12,'Mortgage Inputs'!$B$7,0)*12+600,ISNUMBER(G692),G692&gt;0.005),687,"")</f>
        <v/>
      </c>
      <c r="B693" s="4" t="str">
        <f>IF(A693="","",DATE(YEAR('Mortgage Inputs'!$B$8),MONTH('Mortgage Inputs'!$B$8)+A693,DAY('Mortgage Inputs'!$B$8)))</f>
        <v/>
      </c>
      <c r="C693" s="2" t="str">
        <f t="shared" si="31"/>
        <v/>
      </c>
      <c r="D693" s="2" t="str">
        <f t="shared" si="32"/>
        <v/>
      </c>
      <c r="E693" s="2" t="str">
        <f>IF(A693="","",MAX(0,(C693-MIN(D693,C693))*'Mortgage Inputs'!$B$15))</f>
        <v/>
      </c>
      <c r="F693" s="2" t="str">
        <f>IF(A693="","",IF(AND('Offset Inputs'!$B$5&gt;='Mortgage Inputs'!$B$5,'Mortgage Inputs'!$B$5&gt;0),C693,MIN(C693,MAX(0,'Mortgage Inputs'!$B$17-E693))))</f>
        <v/>
      </c>
      <c r="G693" s="2" t="str">
        <f t="shared" si="30"/>
        <v/>
      </c>
      <c r="H693" s="2" t="str">
        <f>IF(A693="","",IF(AND('Offset Inputs'!$B$5&gt;='Mortgage Inputs'!$B$5,'Mortgage Inputs'!$B$5&gt;0),'Offset Inputs'!$B$5-'Mortgage Inputs'!$B$5,D693+'Offset Inputs'!$B$6))</f>
        <v/>
      </c>
    </row>
    <row r="694" spans="1:8" ht="22" customHeight="1">
      <c r="A694" s="1" t="str">
        <f>IF(AND('Mortgage Inputs'!$B$12,688&lt;=IF('Mortgage Inputs'!$B$12,'Mortgage Inputs'!$B$7,0)*12+600,ISNUMBER(G693),G693&gt;0.005),688,"")</f>
        <v/>
      </c>
      <c r="B694" s="4" t="str">
        <f>IF(A694="","",DATE(YEAR('Mortgage Inputs'!$B$8),MONTH('Mortgage Inputs'!$B$8)+A694,DAY('Mortgage Inputs'!$B$8)))</f>
        <v/>
      </c>
      <c r="C694" s="2" t="str">
        <f t="shared" si="31"/>
        <v/>
      </c>
      <c r="D694" s="2" t="str">
        <f t="shared" si="32"/>
        <v/>
      </c>
      <c r="E694" s="2" t="str">
        <f>IF(A694="","",MAX(0,(C694-MIN(D694,C694))*'Mortgage Inputs'!$B$15))</f>
        <v/>
      </c>
      <c r="F694" s="2" t="str">
        <f>IF(A694="","",IF(AND('Offset Inputs'!$B$5&gt;='Mortgage Inputs'!$B$5,'Mortgage Inputs'!$B$5&gt;0),C694,MIN(C694,MAX(0,'Mortgage Inputs'!$B$17-E694))))</f>
        <v/>
      </c>
      <c r="G694" s="2" t="str">
        <f t="shared" si="30"/>
        <v/>
      </c>
      <c r="H694" s="2" t="str">
        <f>IF(A694="","",IF(AND('Offset Inputs'!$B$5&gt;='Mortgage Inputs'!$B$5,'Mortgage Inputs'!$B$5&gt;0),'Offset Inputs'!$B$5-'Mortgage Inputs'!$B$5,D694+'Offset Inputs'!$B$6))</f>
        <v/>
      </c>
    </row>
    <row r="695" spans="1:8" ht="22" customHeight="1">
      <c r="A695" s="1" t="str">
        <f>IF(AND('Mortgage Inputs'!$B$12,689&lt;=IF('Mortgage Inputs'!$B$12,'Mortgage Inputs'!$B$7,0)*12+600,ISNUMBER(G694),G694&gt;0.005),689,"")</f>
        <v/>
      </c>
      <c r="B695" s="4" t="str">
        <f>IF(A695="","",DATE(YEAR('Mortgage Inputs'!$B$8),MONTH('Mortgage Inputs'!$B$8)+A695,DAY('Mortgage Inputs'!$B$8)))</f>
        <v/>
      </c>
      <c r="C695" s="2" t="str">
        <f t="shared" si="31"/>
        <v/>
      </c>
      <c r="D695" s="2" t="str">
        <f t="shared" si="32"/>
        <v/>
      </c>
      <c r="E695" s="2" t="str">
        <f>IF(A695="","",MAX(0,(C695-MIN(D695,C695))*'Mortgage Inputs'!$B$15))</f>
        <v/>
      </c>
      <c r="F695" s="2" t="str">
        <f>IF(A695="","",IF(AND('Offset Inputs'!$B$5&gt;='Mortgage Inputs'!$B$5,'Mortgage Inputs'!$B$5&gt;0),C695,MIN(C695,MAX(0,'Mortgage Inputs'!$B$17-E695))))</f>
        <v/>
      </c>
      <c r="G695" s="2" t="str">
        <f t="shared" si="30"/>
        <v/>
      </c>
      <c r="H695" s="2" t="str">
        <f>IF(A695="","",IF(AND('Offset Inputs'!$B$5&gt;='Mortgage Inputs'!$B$5,'Mortgage Inputs'!$B$5&gt;0),'Offset Inputs'!$B$5-'Mortgage Inputs'!$B$5,D695+'Offset Inputs'!$B$6))</f>
        <v/>
      </c>
    </row>
    <row r="696" spans="1:8" ht="22" customHeight="1">
      <c r="A696" s="1" t="str">
        <f>IF(AND('Mortgage Inputs'!$B$12,690&lt;=IF('Mortgage Inputs'!$B$12,'Mortgage Inputs'!$B$7,0)*12+600,ISNUMBER(G695),G695&gt;0.005),690,"")</f>
        <v/>
      </c>
      <c r="B696" s="4" t="str">
        <f>IF(A696="","",DATE(YEAR('Mortgage Inputs'!$B$8),MONTH('Mortgage Inputs'!$B$8)+A696,DAY('Mortgage Inputs'!$B$8)))</f>
        <v/>
      </c>
      <c r="C696" s="2" t="str">
        <f t="shared" si="31"/>
        <v/>
      </c>
      <c r="D696" s="2" t="str">
        <f t="shared" si="32"/>
        <v/>
      </c>
      <c r="E696" s="2" t="str">
        <f>IF(A696="","",MAX(0,(C696-MIN(D696,C696))*'Mortgage Inputs'!$B$15))</f>
        <v/>
      </c>
      <c r="F696" s="2" t="str">
        <f>IF(A696="","",IF(AND('Offset Inputs'!$B$5&gt;='Mortgage Inputs'!$B$5,'Mortgage Inputs'!$B$5&gt;0),C696,MIN(C696,MAX(0,'Mortgage Inputs'!$B$17-E696))))</f>
        <v/>
      </c>
      <c r="G696" s="2" t="str">
        <f t="shared" si="30"/>
        <v/>
      </c>
      <c r="H696" s="2" t="str">
        <f>IF(A696="","",IF(AND('Offset Inputs'!$B$5&gt;='Mortgage Inputs'!$B$5,'Mortgage Inputs'!$B$5&gt;0),'Offset Inputs'!$B$5-'Mortgage Inputs'!$B$5,D696+'Offset Inputs'!$B$6))</f>
        <v/>
      </c>
    </row>
    <row r="697" spans="1:8" ht="22" customHeight="1">
      <c r="A697" s="1" t="str">
        <f>IF(AND('Mortgage Inputs'!$B$12,691&lt;=IF('Mortgage Inputs'!$B$12,'Mortgage Inputs'!$B$7,0)*12+600,ISNUMBER(G696),G696&gt;0.005),691,"")</f>
        <v/>
      </c>
      <c r="B697" s="4" t="str">
        <f>IF(A697="","",DATE(YEAR('Mortgage Inputs'!$B$8),MONTH('Mortgage Inputs'!$B$8)+A697,DAY('Mortgage Inputs'!$B$8)))</f>
        <v/>
      </c>
      <c r="C697" s="2" t="str">
        <f t="shared" si="31"/>
        <v/>
      </c>
      <c r="D697" s="2" t="str">
        <f t="shared" si="32"/>
        <v/>
      </c>
      <c r="E697" s="2" t="str">
        <f>IF(A697="","",MAX(0,(C697-MIN(D697,C697))*'Mortgage Inputs'!$B$15))</f>
        <v/>
      </c>
      <c r="F697" s="2" t="str">
        <f>IF(A697="","",IF(AND('Offset Inputs'!$B$5&gt;='Mortgage Inputs'!$B$5,'Mortgage Inputs'!$B$5&gt;0),C697,MIN(C697,MAX(0,'Mortgage Inputs'!$B$17-E697))))</f>
        <v/>
      </c>
      <c r="G697" s="2" t="str">
        <f t="shared" si="30"/>
        <v/>
      </c>
      <c r="H697" s="2" t="str">
        <f>IF(A697="","",IF(AND('Offset Inputs'!$B$5&gt;='Mortgage Inputs'!$B$5,'Mortgage Inputs'!$B$5&gt;0),'Offset Inputs'!$B$5-'Mortgage Inputs'!$B$5,D697+'Offset Inputs'!$B$6))</f>
        <v/>
      </c>
    </row>
    <row r="698" spans="1:8" ht="22" customHeight="1">
      <c r="A698" s="1" t="str">
        <f>IF(AND('Mortgage Inputs'!$B$12,692&lt;=IF('Mortgage Inputs'!$B$12,'Mortgage Inputs'!$B$7,0)*12+600,ISNUMBER(G697),G697&gt;0.005),692,"")</f>
        <v/>
      </c>
      <c r="B698" s="4" t="str">
        <f>IF(A698="","",DATE(YEAR('Mortgage Inputs'!$B$8),MONTH('Mortgage Inputs'!$B$8)+A698,DAY('Mortgage Inputs'!$B$8)))</f>
        <v/>
      </c>
      <c r="C698" s="2" t="str">
        <f t="shared" si="31"/>
        <v/>
      </c>
      <c r="D698" s="2" t="str">
        <f t="shared" si="32"/>
        <v/>
      </c>
      <c r="E698" s="2" t="str">
        <f>IF(A698="","",MAX(0,(C698-MIN(D698,C698))*'Mortgage Inputs'!$B$15))</f>
        <v/>
      </c>
      <c r="F698" s="2" t="str">
        <f>IF(A698="","",IF(AND('Offset Inputs'!$B$5&gt;='Mortgage Inputs'!$B$5,'Mortgage Inputs'!$B$5&gt;0),C698,MIN(C698,MAX(0,'Mortgage Inputs'!$B$17-E698))))</f>
        <v/>
      </c>
      <c r="G698" s="2" t="str">
        <f t="shared" si="30"/>
        <v/>
      </c>
      <c r="H698" s="2" t="str">
        <f>IF(A698="","",IF(AND('Offset Inputs'!$B$5&gt;='Mortgage Inputs'!$B$5,'Mortgage Inputs'!$B$5&gt;0),'Offset Inputs'!$B$5-'Mortgage Inputs'!$B$5,D698+'Offset Inputs'!$B$6))</f>
        <v/>
      </c>
    </row>
    <row r="699" spans="1:8" ht="22" customHeight="1">
      <c r="A699" s="1" t="str">
        <f>IF(AND('Mortgage Inputs'!$B$12,693&lt;=IF('Mortgage Inputs'!$B$12,'Mortgage Inputs'!$B$7,0)*12+600,ISNUMBER(G698),G698&gt;0.005),693,"")</f>
        <v/>
      </c>
      <c r="B699" s="4" t="str">
        <f>IF(A699="","",DATE(YEAR('Mortgage Inputs'!$B$8),MONTH('Mortgage Inputs'!$B$8)+A699,DAY('Mortgage Inputs'!$B$8)))</f>
        <v/>
      </c>
      <c r="C699" s="2" t="str">
        <f t="shared" si="31"/>
        <v/>
      </c>
      <c r="D699" s="2" t="str">
        <f t="shared" si="32"/>
        <v/>
      </c>
      <c r="E699" s="2" t="str">
        <f>IF(A699="","",MAX(0,(C699-MIN(D699,C699))*'Mortgage Inputs'!$B$15))</f>
        <v/>
      </c>
      <c r="F699" s="2" t="str">
        <f>IF(A699="","",IF(AND('Offset Inputs'!$B$5&gt;='Mortgage Inputs'!$B$5,'Mortgage Inputs'!$B$5&gt;0),C699,MIN(C699,MAX(0,'Mortgage Inputs'!$B$17-E699))))</f>
        <v/>
      </c>
      <c r="G699" s="2" t="str">
        <f t="shared" si="30"/>
        <v/>
      </c>
      <c r="H699" s="2" t="str">
        <f>IF(A699="","",IF(AND('Offset Inputs'!$B$5&gt;='Mortgage Inputs'!$B$5,'Mortgage Inputs'!$B$5&gt;0),'Offset Inputs'!$B$5-'Mortgage Inputs'!$B$5,D699+'Offset Inputs'!$B$6))</f>
        <v/>
      </c>
    </row>
    <row r="700" spans="1:8" ht="22" customHeight="1">
      <c r="A700" s="1" t="str">
        <f>IF(AND('Mortgage Inputs'!$B$12,694&lt;=IF('Mortgage Inputs'!$B$12,'Mortgage Inputs'!$B$7,0)*12+600,ISNUMBER(G699),G699&gt;0.005),694,"")</f>
        <v/>
      </c>
      <c r="B700" s="4" t="str">
        <f>IF(A700="","",DATE(YEAR('Mortgage Inputs'!$B$8),MONTH('Mortgage Inputs'!$B$8)+A700,DAY('Mortgage Inputs'!$B$8)))</f>
        <v/>
      </c>
      <c r="C700" s="2" t="str">
        <f t="shared" si="31"/>
        <v/>
      </c>
      <c r="D700" s="2" t="str">
        <f t="shared" si="32"/>
        <v/>
      </c>
      <c r="E700" s="2" t="str">
        <f>IF(A700="","",MAX(0,(C700-MIN(D700,C700))*'Mortgage Inputs'!$B$15))</f>
        <v/>
      </c>
      <c r="F700" s="2" t="str">
        <f>IF(A700="","",IF(AND('Offset Inputs'!$B$5&gt;='Mortgage Inputs'!$B$5,'Mortgage Inputs'!$B$5&gt;0),C700,MIN(C700,MAX(0,'Mortgage Inputs'!$B$17-E700))))</f>
        <v/>
      </c>
      <c r="G700" s="2" t="str">
        <f t="shared" si="30"/>
        <v/>
      </c>
      <c r="H700" s="2" t="str">
        <f>IF(A700="","",IF(AND('Offset Inputs'!$B$5&gt;='Mortgage Inputs'!$B$5,'Mortgage Inputs'!$B$5&gt;0),'Offset Inputs'!$B$5-'Mortgage Inputs'!$B$5,D700+'Offset Inputs'!$B$6))</f>
        <v/>
      </c>
    </row>
    <row r="701" spans="1:8" ht="22" customHeight="1">
      <c r="A701" s="1" t="str">
        <f>IF(AND('Mortgage Inputs'!$B$12,695&lt;=IF('Mortgage Inputs'!$B$12,'Mortgage Inputs'!$B$7,0)*12+600,ISNUMBER(G700),G700&gt;0.005),695,"")</f>
        <v/>
      </c>
      <c r="B701" s="4" t="str">
        <f>IF(A701="","",DATE(YEAR('Mortgage Inputs'!$B$8),MONTH('Mortgage Inputs'!$B$8)+A701,DAY('Mortgage Inputs'!$B$8)))</f>
        <v/>
      </c>
      <c r="C701" s="2" t="str">
        <f t="shared" si="31"/>
        <v/>
      </c>
      <c r="D701" s="2" t="str">
        <f t="shared" si="32"/>
        <v/>
      </c>
      <c r="E701" s="2" t="str">
        <f>IF(A701="","",MAX(0,(C701-MIN(D701,C701))*'Mortgage Inputs'!$B$15))</f>
        <v/>
      </c>
      <c r="F701" s="2" t="str">
        <f>IF(A701="","",IF(AND('Offset Inputs'!$B$5&gt;='Mortgage Inputs'!$B$5,'Mortgage Inputs'!$B$5&gt;0),C701,MIN(C701,MAX(0,'Mortgage Inputs'!$B$17-E701))))</f>
        <v/>
      </c>
      <c r="G701" s="2" t="str">
        <f t="shared" si="30"/>
        <v/>
      </c>
      <c r="H701" s="2" t="str">
        <f>IF(A701="","",IF(AND('Offset Inputs'!$B$5&gt;='Mortgage Inputs'!$B$5,'Mortgage Inputs'!$B$5&gt;0),'Offset Inputs'!$B$5-'Mortgage Inputs'!$B$5,D701+'Offset Inputs'!$B$6))</f>
        <v/>
      </c>
    </row>
    <row r="702" spans="1:8" ht="22" customHeight="1">
      <c r="A702" s="1" t="str">
        <f>IF(AND('Mortgage Inputs'!$B$12,696&lt;=IF('Mortgage Inputs'!$B$12,'Mortgage Inputs'!$B$7,0)*12+600,ISNUMBER(G701),G701&gt;0.005),696,"")</f>
        <v/>
      </c>
      <c r="B702" s="4" t="str">
        <f>IF(A702="","",DATE(YEAR('Mortgage Inputs'!$B$8),MONTH('Mortgage Inputs'!$B$8)+A702,DAY('Mortgage Inputs'!$B$8)))</f>
        <v/>
      </c>
      <c r="C702" s="2" t="str">
        <f t="shared" si="31"/>
        <v/>
      </c>
      <c r="D702" s="2" t="str">
        <f t="shared" si="32"/>
        <v/>
      </c>
      <c r="E702" s="2" t="str">
        <f>IF(A702="","",MAX(0,(C702-MIN(D702,C702))*'Mortgage Inputs'!$B$15))</f>
        <v/>
      </c>
      <c r="F702" s="2" t="str">
        <f>IF(A702="","",IF(AND('Offset Inputs'!$B$5&gt;='Mortgage Inputs'!$B$5,'Mortgage Inputs'!$B$5&gt;0),C702,MIN(C702,MAX(0,'Mortgage Inputs'!$B$17-E702))))</f>
        <v/>
      </c>
      <c r="G702" s="2" t="str">
        <f t="shared" si="30"/>
        <v/>
      </c>
      <c r="H702" s="2" t="str">
        <f>IF(A702="","",IF(AND('Offset Inputs'!$B$5&gt;='Mortgage Inputs'!$B$5,'Mortgage Inputs'!$B$5&gt;0),'Offset Inputs'!$B$5-'Mortgage Inputs'!$B$5,D702+'Offset Inputs'!$B$6))</f>
        <v/>
      </c>
    </row>
    <row r="703" spans="1:8" ht="22" customHeight="1">
      <c r="A703" s="1" t="str">
        <f>IF(AND('Mortgage Inputs'!$B$12,697&lt;=IF('Mortgage Inputs'!$B$12,'Mortgage Inputs'!$B$7,0)*12+600,ISNUMBER(G702),G702&gt;0.005),697,"")</f>
        <v/>
      </c>
      <c r="B703" s="4" t="str">
        <f>IF(A703="","",DATE(YEAR('Mortgage Inputs'!$B$8),MONTH('Mortgage Inputs'!$B$8)+A703,DAY('Mortgage Inputs'!$B$8)))</f>
        <v/>
      </c>
      <c r="C703" s="2" t="str">
        <f t="shared" si="31"/>
        <v/>
      </c>
      <c r="D703" s="2" t="str">
        <f t="shared" si="32"/>
        <v/>
      </c>
      <c r="E703" s="2" t="str">
        <f>IF(A703="","",MAX(0,(C703-MIN(D703,C703))*'Mortgage Inputs'!$B$15))</f>
        <v/>
      </c>
      <c r="F703" s="2" t="str">
        <f>IF(A703="","",IF(AND('Offset Inputs'!$B$5&gt;='Mortgage Inputs'!$B$5,'Mortgage Inputs'!$B$5&gt;0),C703,MIN(C703,MAX(0,'Mortgage Inputs'!$B$17-E703))))</f>
        <v/>
      </c>
      <c r="G703" s="2" t="str">
        <f t="shared" si="30"/>
        <v/>
      </c>
      <c r="H703" s="2" t="str">
        <f>IF(A703="","",IF(AND('Offset Inputs'!$B$5&gt;='Mortgage Inputs'!$B$5,'Mortgage Inputs'!$B$5&gt;0),'Offset Inputs'!$B$5-'Mortgage Inputs'!$B$5,D703+'Offset Inputs'!$B$6))</f>
        <v/>
      </c>
    </row>
    <row r="704" spans="1:8" ht="22" customHeight="1">
      <c r="A704" s="1" t="str">
        <f>IF(AND('Mortgage Inputs'!$B$12,698&lt;=IF('Mortgage Inputs'!$B$12,'Mortgage Inputs'!$B$7,0)*12+600,ISNUMBER(G703),G703&gt;0.005),698,"")</f>
        <v/>
      </c>
      <c r="B704" s="4" t="str">
        <f>IF(A704="","",DATE(YEAR('Mortgage Inputs'!$B$8),MONTH('Mortgage Inputs'!$B$8)+A704,DAY('Mortgage Inputs'!$B$8)))</f>
        <v/>
      </c>
      <c r="C704" s="2" t="str">
        <f t="shared" si="31"/>
        <v/>
      </c>
      <c r="D704" s="2" t="str">
        <f t="shared" si="32"/>
        <v/>
      </c>
      <c r="E704" s="2" t="str">
        <f>IF(A704="","",MAX(0,(C704-MIN(D704,C704))*'Mortgage Inputs'!$B$15))</f>
        <v/>
      </c>
      <c r="F704" s="2" t="str">
        <f>IF(A704="","",IF(AND('Offset Inputs'!$B$5&gt;='Mortgage Inputs'!$B$5,'Mortgage Inputs'!$B$5&gt;0),C704,MIN(C704,MAX(0,'Mortgage Inputs'!$B$17-E704))))</f>
        <v/>
      </c>
      <c r="G704" s="2" t="str">
        <f t="shared" si="30"/>
        <v/>
      </c>
      <c r="H704" s="2" t="str">
        <f>IF(A704="","",IF(AND('Offset Inputs'!$B$5&gt;='Mortgage Inputs'!$B$5,'Mortgage Inputs'!$B$5&gt;0),'Offset Inputs'!$B$5-'Mortgage Inputs'!$B$5,D704+'Offset Inputs'!$B$6))</f>
        <v/>
      </c>
    </row>
    <row r="705" spans="1:8" ht="22" customHeight="1">
      <c r="A705" s="1" t="str">
        <f>IF(AND('Mortgage Inputs'!$B$12,699&lt;=IF('Mortgage Inputs'!$B$12,'Mortgage Inputs'!$B$7,0)*12+600,ISNUMBER(G704),G704&gt;0.005),699,"")</f>
        <v/>
      </c>
      <c r="B705" s="4" t="str">
        <f>IF(A705="","",DATE(YEAR('Mortgage Inputs'!$B$8),MONTH('Mortgage Inputs'!$B$8)+A705,DAY('Mortgage Inputs'!$B$8)))</f>
        <v/>
      </c>
      <c r="C705" s="2" t="str">
        <f t="shared" si="31"/>
        <v/>
      </c>
      <c r="D705" s="2" t="str">
        <f t="shared" si="32"/>
        <v/>
      </c>
      <c r="E705" s="2" t="str">
        <f>IF(A705="","",MAX(0,(C705-MIN(D705,C705))*'Mortgage Inputs'!$B$15))</f>
        <v/>
      </c>
      <c r="F705" s="2" t="str">
        <f>IF(A705="","",IF(AND('Offset Inputs'!$B$5&gt;='Mortgage Inputs'!$B$5,'Mortgage Inputs'!$B$5&gt;0),C705,MIN(C705,MAX(0,'Mortgage Inputs'!$B$17-E705))))</f>
        <v/>
      </c>
      <c r="G705" s="2" t="str">
        <f t="shared" si="30"/>
        <v/>
      </c>
      <c r="H705" s="2" t="str">
        <f>IF(A705="","",IF(AND('Offset Inputs'!$B$5&gt;='Mortgage Inputs'!$B$5,'Mortgage Inputs'!$B$5&gt;0),'Offset Inputs'!$B$5-'Mortgage Inputs'!$B$5,D705+'Offset Inputs'!$B$6))</f>
        <v/>
      </c>
    </row>
    <row r="706" spans="1:8" ht="22" customHeight="1">
      <c r="A706" s="1" t="str">
        <f>IF(AND('Mortgage Inputs'!$B$12,700&lt;=IF('Mortgage Inputs'!$B$12,'Mortgage Inputs'!$B$7,0)*12+600,ISNUMBER(G705),G705&gt;0.005),700,"")</f>
        <v/>
      </c>
      <c r="B706" s="4" t="str">
        <f>IF(A706="","",DATE(YEAR('Mortgage Inputs'!$B$8),MONTH('Mortgage Inputs'!$B$8)+A706,DAY('Mortgage Inputs'!$B$8)))</f>
        <v/>
      </c>
      <c r="C706" s="2" t="str">
        <f t="shared" si="31"/>
        <v/>
      </c>
      <c r="D706" s="2" t="str">
        <f t="shared" si="32"/>
        <v/>
      </c>
      <c r="E706" s="2" t="str">
        <f>IF(A706="","",MAX(0,(C706-MIN(D706,C706))*'Mortgage Inputs'!$B$15))</f>
        <v/>
      </c>
      <c r="F706" s="2" t="str">
        <f>IF(A706="","",IF(AND('Offset Inputs'!$B$5&gt;='Mortgage Inputs'!$B$5,'Mortgage Inputs'!$B$5&gt;0),C706,MIN(C706,MAX(0,'Mortgage Inputs'!$B$17-E706))))</f>
        <v/>
      </c>
      <c r="G706" s="2" t="str">
        <f t="shared" si="30"/>
        <v/>
      </c>
      <c r="H706" s="2" t="str">
        <f>IF(A706="","",IF(AND('Offset Inputs'!$B$5&gt;='Mortgage Inputs'!$B$5,'Mortgage Inputs'!$B$5&gt;0),'Offset Inputs'!$B$5-'Mortgage Inputs'!$B$5,D706+'Offset Inputs'!$B$6))</f>
        <v/>
      </c>
    </row>
    <row r="707" spans="1:8" ht="22" customHeight="1">
      <c r="A707" s="1" t="str">
        <f>IF(AND('Mortgage Inputs'!$B$12,701&lt;=IF('Mortgage Inputs'!$B$12,'Mortgage Inputs'!$B$7,0)*12+600,ISNUMBER(G706),G706&gt;0.005),701,"")</f>
        <v/>
      </c>
      <c r="B707" s="4" t="str">
        <f>IF(A707="","",DATE(YEAR('Mortgage Inputs'!$B$8),MONTH('Mortgage Inputs'!$B$8)+A707,DAY('Mortgage Inputs'!$B$8)))</f>
        <v/>
      </c>
      <c r="C707" s="2" t="str">
        <f t="shared" si="31"/>
        <v/>
      </c>
      <c r="D707" s="2" t="str">
        <f t="shared" si="32"/>
        <v/>
      </c>
      <c r="E707" s="2" t="str">
        <f>IF(A707="","",MAX(0,(C707-MIN(D707,C707))*'Mortgage Inputs'!$B$15))</f>
        <v/>
      </c>
      <c r="F707" s="2" t="str">
        <f>IF(A707="","",IF(AND('Offset Inputs'!$B$5&gt;='Mortgage Inputs'!$B$5,'Mortgage Inputs'!$B$5&gt;0),C707,MIN(C707,MAX(0,'Mortgage Inputs'!$B$17-E707))))</f>
        <v/>
      </c>
      <c r="G707" s="2" t="str">
        <f t="shared" si="30"/>
        <v/>
      </c>
      <c r="H707" s="2" t="str">
        <f>IF(A707="","",IF(AND('Offset Inputs'!$B$5&gt;='Mortgage Inputs'!$B$5,'Mortgage Inputs'!$B$5&gt;0),'Offset Inputs'!$B$5-'Mortgage Inputs'!$B$5,D707+'Offset Inputs'!$B$6))</f>
        <v/>
      </c>
    </row>
    <row r="708" spans="1:8" ht="22" customHeight="1">
      <c r="A708" s="1" t="str">
        <f>IF(AND('Mortgage Inputs'!$B$12,702&lt;=IF('Mortgage Inputs'!$B$12,'Mortgage Inputs'!$B$7,0)*12+600,ISNUMBER(G707),G707&gt;0.005),702,"")</f>
        <v/>
      </c>
      <c r="B708" s="4" t="str">
        <f>IF(A708="","",DATE(YEAR('Mortgage Inputs'!$B$8),MONTH('Mortgage Inputs'!$B$8)+A708,DAY('Mortgage Inputs'!$B$8)))</f>
        <v/>
      </c>
      <c r="C708" s="2" t="str">
        <f t="shared" si="31"/>
        <v/>
      </c>
      <c r="D708" s="2" t="str">
        <f t="shared" si="32"/>
        <v/>
      </c>
      <c r="E708" s="2" t="str">
        <f>IF(A708="","",MAX(0,(C708-MIN(D708,C708))*'Mortgage Inputs'!$B$15))</f>
        <v/>
      </c>
      <c r="F708" s="2" t="str">
        <f>IF(A708="","",IF(AND('Offset Inputs'!$B$5&gt;='Mortgage Inputs'!$B$5,'Mortgage Inputs'!$B$5&gt;0),C708,MIN(C708,MAX(0,'Mortgage Inputs'!$B$17-E708))))</f>
        <v/>
      </c>
      <c r="G708" s="2" t="str">
        <f t="shared" si="30"/>
        <v/>
      </c>
      <c r="H708" s="2" t="str">
        <f>IF(A708="","",IF(AND('Offset Inputs'!$B$5&gt;='Mortgage Inputs'!$B$5,'Mortgage Inputs'!$B$5&gt;0),'Offset Inputs'!$B$5-'Mortgage Inputs'!$B$5,D708+'Offset Inputs'!$B$6))</f>
        <v/>
      </c>
    </row>
    <row r="709" spans="1:8" ht="22" customHeight="1">
      <c r="A709" s="1" t="str">
        <f>IF(AND('Mortgage Inputs'!$B$12,703&lt;=IF('Mortgage Inputs'!$B$12,'Mortgage Inputs'!$B$7,0)*12+600,ISNUMBER(G708),G708&gt;0.005),703,"")</f>
        <v/>
      </c>
      <c r="B709" s="4" t="str">
        <f>IF(A709="","",DATE(YEAR('Mortgage Inputs'!$B$8),MONTH('Mortgage Inputs'!$B$8)+A709,DAY('Mortgage Inputs'!$B$8)))</f>
        <v/>
      </c>
      <c r="C709" s="2" t="str">
        <f t="shared" si="31"/>
        <v/>
      </c>
      <c r="D709" s="2" t="str">
        <f t="shared" si="32"/>
        <v/>
      </c>
      <c r="E709" s="2" t="str">
        <f>IF(A709="","",MAX(0,(C709-MIN(D709,C709))*'Mortgage Inputs'!$B$15))</f>
        <v/>
      </c>
      <c r="F709" s="2" t="str">
        <f>IF(A709="","",IF(AND('Offset Inputs'!$B$5&gt;='Mortgage Inputs'!$B$5,'Mortgage Inputs'!$B$5&gt;0),C709,MIN(C709,MAX(0,'Mortgage Inputs'!$B$17-E709))))</f>
        <v/>
      </c>
      <c r="G709" s="2" t="str">
        <f t="shared" si="30"/>
        <v/>
      </c>
      <c r="H709" s="2" t="str">
        <f>IF(A709="","",IF(AND('Offset Inputs'!$B$5&gt;='Mortgage Inputs'!$B$5,'Mortgage Inputs'!$B$5&gt;0),'Offset Inputs'!$B$5-'Mortgage Inputs'!$B$5,D709+'Offset Inputs'!$B$6))</f>
        <v/>
      </c>
    </row>
    <row r="710" spans="1:8" ht="22" customHeight="1">
      <c r="A710" s="1" t="str">
        <f>IF(AND('Mortgage Inputs'!$B$12,704&lt;=IF('Mortgage Inputs'!$B$12,'Mortgage Inputs'!$B$7,0)*12+600,ISNUMBER(G709),G709&gt;0.005),704,"")</f>
        <v/>
      </c>
      <c r="B710" s="4" t="str">
        <f>IF(A710="","",DATE(YEAR('Mortgage Inputs'!$B$8),MONTH('Mortgage Inputs'!$B$8)+A710,DAY('Mortgage Inputs'!$B$8)))</f>
        <v/>
      </c>
      <c r="C710" s="2" t="str">
        <f t="shared" si="31"/>
        <v/>
      </c>
      <c r="D710" s="2" t="str">
        <f t="shared" si="32"/>
        <v/>
      </c>
      <c r="E710" s="2" t="str">
        <f>IF(A710="","",MAX(0,(C710-MIN(D710,C710))*'Mortgage Inputs'!$B$15))</f>
        <v/>
      </c>
      <c r="F710" s="2" t="str">
        <f>IF(A710="","",IF(AND('Offset Inputs'!$B$5&gt;='Mortgage Inputs'!$B$5,'Mortgage Inputs'!$B$5&gt;0),C710,MIN(C710,MAX(0,'Mortgage Inputs'!$B$17-E710))))</f>
        <v/>
      </c>
      <c r="G710" s="2" t="str">
        <f t="shared" si="30"/>
        <v/>
      </c>
      <c r="H710" s="2" t="str">
        <f>IF(A710="","",IF(AND('Offset Inputs'!$B$5&gt;='Mortgage Inputs'!$B$5,'Mortgage Inputs'!$B$5&gt;0),'Offset Inputs'!$B$5-'Mortgage Inputs'!$B$5,D710+'Offset Inputs'!$B$6))</f>
        <v/>
      </c>
    </row>
    <row r="711" spans="1:8" ht="22" customHeight="1">
      <c r="A711" s="1" t="str">
        <f>IF(AND('Mortgage Inputs'!$B$12,705&lt;=IF('Mortgage Inputs'!$B$12,'Mortgage Inputs'!$B$7,0)*12+600,ISNUMBER(G710),G710&gt;0.005),705,"")</f>
        <v/>
      </c>
      <c r="B711" s="4" t="str">
        <f>IF(A711="","",DATE(YEAR('Mortgage Inputs'!$B$8),MONTH('Mortgage Inputs'!$B$8)+A711,DAY('Mortgage Inputs'!$B$8)))</f>
        <v/>
      </c>
      <c r="C711" s="2" t="str">
        <f t="shared" si="31"/>
        <v/>
      </c>
      <c r="D711" s="2" t="str">
        <f t="shared" si="32"/>
        <v/>
      </c>
      <c r="E711" s="2" t="str">
        <f>IF(A711="","",MAX(0,(C711-MIN(D711,C711))*'Mortgage Inputs'!$B$15))</f>
        <v/>
      </c>
      <c r="F711" s="2" t="str">
        <f>IF(A711="","",IF(AND('Offset Inputs'!$B$5&gt;='Mortgage Inputs'!$B$5,'Mortgage Inputs'!$B$5&gt;0),C711,MIN(C711,MAX(0,'Mortgage Inputs'!$B$17-E711))))</f>
        <v/>
      </c>
      <c r="G711" s="2" t="str">
        <f t="shared" ref="G711:G774" si="33">IF(A711="","",MAX(0,C711-F711))</f>
        <v/>
      </c>
      <c r="H711" s="2" t="str">
        <f>IF(A711="","",IF(AND('Offset Inputs'!$B$5&gt;='Mortgage Inputs'!$B$5,'Mortgage Inputs'!$B$5&gt;0),'Offset Inputs'!$B$5-'Mortgage Inputs'!$B$5,D711+'Offset Inputs'!$B$6))</f>
        <v/>
      </c>
    </row>
    <row r="712" spans="1:8" ht="22" customHeight="1">
      <c r="A712" s="1" t="str">
        <f>IF(AND('Mortgage Inputs'!$B$12,706&lt;=IF('Mortgage Inputs'!$B$12,'Mortgage Inputs'!$B$7,0)*12+600,ISNUMBER(G711),G711&gt;0.005),706,"")</f>
        <v/>
      </c>
      <c r="B712" s="4" t="str">
        <f>IF(A712="","",DATE(YEAR('Mortgage Inputs'!$B$8),MONTH('Mortgage Inputs'!$B$8)+A712,DAY('Mortgage Inputs'!$B$8)))</f>
        <v/>
      </c>
      <c r="C712" s="2" t="str">
        <f t="shared" ref="C712:C775" si="34">IF(A712="","",G711)</f>
        <v/>
      </c>
      <c r="D712" s="2" t="str">
        <f t="shared" ref="D712:D775" si="35">IF(A712="","",H711)</f>
        <v/>
      </c>
      <c r="E712" s="2" t="str">
        <f>IF(A712="","",MAX(0,(C712-MIN(D712,C712))*'Mortgage Inputs'!$B$15))</f>
        <v/>
      </c>
      <c r="F712" s="2" t="str">
        <f>IF(A712="","",IF(AND('Offset Inputs'!$B$5&gt;='Mortgage Inputs'!$B$5,'Mortgage Inputs'!$B$5&gt;0),C712,MIN(C712,MAX(0,'Mortgage Inputs'!$B$17-E712))))</f>
        <v/>
      </c>
      <c r="G712" s="2" t="str">
        <f t="shared" si="33"/>
        <v/>
      </c>
      <c r="H712" s="2" t="str">
        <f>IF(A712="","",IF(AND('Offset Inputs'!$B$5&gt;='Mortgage Inputs'!$B$5,'Mortgage Inputs'!$B$5&gt;0),'Offset Inputs'!$B$5-'Mortgage Inputs'!$B$5,D712+'Offset Inputs'!$B$6))</f>
        <v/>
      </c>
    </row>
    <row r="713" spans="1:8" ht="22" customHeight="1">
      <c r="A713" s="1" t="str">
        <f>IF(AND('Mortgage Inputs'!$B$12,707&lt;=IF('Mortgage Inputs'!$B$12,'Mortgage Inputs'!$B$7,0)*12+600,ISNUMBER(G712),G712&gt;0.005),707,"")</f>
        <v/>
      </c>
      <c r="B713" s="4" t="str">
        <f>IF(A713="","",DATE(YEAR('Mortgage Inputs'!$B$8),MONTH('Mortgage Inputs'!$B$8)+A713,DAY('Mortgage Inputs'!$B$8)))</f>
        <v/>
      </c>
      <c r="C713" s="2" t="str">
        <f t="shared" si="34"/>
        <v/>
      </c>
      <c r="D713" s="2" t="str">
        <f t="shared" si="35"/>
        <v/>
      </c>
      <c r="E713" s="2" t="str">
        <f>IF(A713="","",MAX(0,(C713-MIN(D713,C713))*'Mortgage Inputs'!$B$15))</f>
        <v/>
      </c>
      <c r="F713" s="2" t="str">
        <f>IF(A713="","",IF(AND('Offset Inputs'!$B$5&gt;='Mortgage Inputs'!$B$5,'Mortgage Inputs'!$B$5&gt;0),C713,MIN(C713,MAX(0,'Mortgage Inputs'!$B$17-E713))))</f>
        <v/>
      </c>
      <c r="G713" s="2" t="str">
        <f t="shared" si="33"/>
        <v/>
      </c>
      <c r="H713" s="2" t="str">
        <f>IF(A713="","",IF(AND('Offset Inputs'!$B$5&gt;='Mortgage Inputs'!$B$5,'Mortgage Inputs'!$B$5&gt;0),'Offset Inputs'!$B$5-'Mortgage Inputs'!$B$5,D713+'Offset Inputs'!$B$6))</f>
        <v/>
      </c>
    </row>
    <row r="714" spans="1:8" ht="22" customHeight="1">
      <c r="A714" s="1" t="str">
        <f>IF(AND('Mortgage Inputs'!$B$12,708&lt;=IF('Mortgage Inputs'!$B$12,'Mortgage Inputs'!$B$7,0)*12+600,ISNUMBER(G713),G713&gt;0.005),708,"")</f>
        <v/>
      </c>
      <c r="B714" s="4" t="str">
        <f>IF(A714="","",DATE(YEAR('Mortgage Inputs'!$B$8),MONTH('Mortgage Inputs'!$B$8)+A714,DAY('Mortgage Inputs'!$B$8)))</f>
        <v/>
      </c>
      <c r="C714" s="2" t="str">
        <f t="shared" si="34"/>
        <v/>
      </c>
      <c r="D714" s="2" t="str">
        <f t="shared" si="35"/>
        <v/>
      </c>
      <c r="E714" s="2" t="str">
        <f>IF(A714="","",MAX(0,(C714-MIN(D714,C714))*'Mortgage Inputs'!$B$15))</f>
        <v/>
      </c>
      <c r="F714" s="2" t="str">
        <f>IF(A714="","",IF(AND('Offset Inputs'!$B$5&gt;='Mortgage Inputs'!$B$5,'Mortgage Inputs'!$B$5&gt;0),C714,MIN(C714,MAX(0,'Mortgage Inputs'!$B$17-E714))))</f>
        <v/>
      </c>
      <c r="G714" s="2" t="str">
        <f t="shared" si="33"/>
        <v/>
      </c>
      <c r="H714" s="2" t="str">
        <f>IF(A714="","",IF(AND('Offset Inputs'!$B$5&gt;='Mortgage Inputs'!$B$5,'Mortgage Inputs'!$B$5&gt;0),'Offset Inputs'!$B$5-'Mortgage Inputs'!$B$5,D714+'Offset Inputs'!$B$6))</f>
        <v/>
      </c>
    </row>
    <row r="715" spans="1:8" ht="22" customHeight="1">
      <c r="A715" s="1" t="str">
        <f>IF(AND('Mortgage Inputs'!$B$12,709&lt;=IF('Mortgage Inputs'!$B$12,'Mortgage Inputs'!$B$7,0)*12+600,ISNUMBER(G714),G714&gt;0.005),709,"")</f>
        <v/>
      </c>
      <c r="B715" s="4" t="str">
        <f>IF(A715="","",DATE(YEAR('Mortgage Inputs'!$B$8),MONTH('Mortgage Inputs'!$B$8)+A715,DAY('Mortgage Inputs'!$B$8)))</f>
        <v/>
      </c>
      <c r="C715" s="2" t="str">
        <f t="shared" si="34"/>
        <v/>
      </c>
      <c r="D715" s="2" t="str">
        <f t="shared" si="35"/>
        <v/>
      </c>
      <c r="E715" s="2" t="str">
        <f>IF(A715="","",MAX(0,(C715-MIN(D715,C715))*'Mortgage Inputs'!$B$15))</f>
        <v/>
      </c>
      <c r="F715" s="2" t="str">
        <f>IF(A715="","",IF(AND('Offset Inputs'!$B$5&gt;='Mortgage Inputs'!$B$5,'Mortgage Inputs'!$B$5&gt;0),C715,MIN(C715,MAX(0,'Mortgage Inputs'!$B$17-E715))))</f>
        <v/>
      </c>
      <c r="G715" s="2" t="str">
        <f t="shared" si="33"/>
        <v/>
      </c>
      <c r="H715" s="2" t="str">
        <f>IF(A715="","",IF(AND('Offset Inputs'!$B$5&gt;='Mortgage Inputs'!$B$5,'Mortgage Inputs'!$B$5&gt;0),'Offset Inputs'!$B$5-'Mortgage Inputs'!$B$5,D715+'Offset Inputs'!$B$6))</f>
        <v/>
      </c>
    </row>
    <row r="716" spans="1:8" ht="22" customHeight="1">
      <c r="A716" s="1" t="str">
        <f>IF(AND('Mortgage Inputs'!$B$12,710&lt;=IF('Mortgage Inputs'!$B$12,'Mortgage Inputs'!$B$7,0)*12+600,ISNUMBER(G715),G715&gt;0.005),710,"")</f>
        <v/>
      </c>
      <c r="B716" s="4" t="str">
        <f>IF(A716="","",DATE(YEAR('Mortgage Inputs'!$B$8),MONTH('Mortgage Inputs'!$B$8)+A716,DAY('Mortgage Inputs'!$B$8)))</f>
        <v/>
      </c>
      <c r="C716" s="2" t="str">
        <f t="shared" si="34"/>
        <v/>
      </c>
      <c r="D716" s="2" t="str">
        <f t="shared" si="35"/>
        <v/>
      </c>
      <c r="E716" s="2" t="str">
        <f>IF(A716="","",MAX(0,(C716-MIN(D716,C716))*'Mortgage Inputs'!$B$15))</f>
        <v/>
      </c>
      <c r="F716" s="2" t="str">
        <f>IF(A716="","",IF(AND('Offset Inputs'!$B$5&gt;='Mortgage Inputs'!$B$5,'Mortgage Inputs'!$B$5&gt;0),C716,MIN(C716,MAX(0,'Mortgage Inputs'!$B$17-E716))))</f>
        <v/>
      </c>
      <c r="G716" s="2" t="str">
        <f t="shared" si="33"/>
        <v/>
      </c>
      <c r="H716" s="2" t="str">
        <f>IF(A716="","",IF(AND('Offset Inputs'!$B$5&gt;='Mortgage Inputs'!$B$5,'Mortgage Inputs'!$B$5&gt;0),'Offset Inputs'!$B$5-'Mortgage Inputs'!$B$5,D716+'Offset Inputs'!$B$6))</f>
        <v/>
      </c>
    </row>
    <row r="717" spans="1:8" ht="22" customHeight="1">
      <c r="A717" s="1" t="str">
        <f>IF(AND('Mortgage Inputs'!$B$12,711&lt;=IF('Mortgage Inputs'!$B$12,'Mortgage Inputs'!$B$7,0)*12+600,ISNUMBER(G716),G716&gt;0.005),711,"")</f>
        <v/>
      </c>
      <c r="B717" s="4" t="str">
        <f>IF(A717="","",DATE(YEAR('Mortgage Inputs'!$B$8),MONTH('Mortgage Inputs'!$B$8)+A717,DAY('Mortgage Inputs'!$B$8)))</f>
        <v/>
      </c>
      <c r="C717" s="2" t="str">
        <f t="shared" si="34"/>
        <v/>
      </c>
      <c r="D717" s="2" t="str">
        <f t="shared" si="35"/>
        <v/>
      </c>
      <c r="E717" s="2" t="str">
        <f>IF(A717="","",MAX(0,(C717-MIN(D717,C717))*'Mortgage Inputs'!$B$15))</f>
        <v/>
      </c>
      <c r="F717" s="2" t="str">
        <f>IF(A717="","",IF(AND('Offset Inputs'!$B$5&gt;='Mortgage Inputs'!$B$5,'Mortgage Inputs'!$B$5&gt;0),C717,MIN(C717,MAX(0,'Mortgage Inputs'!$B$17-E717))))</f>
        <v/>
      </c>
      <c r="G717" s="2" t="str">
        <f t="shared" si="33"/>
        <v/>
      </c>
      <c r="H717" s="2" t="str">
        <f>IF(A717="","",IF(AND('Offset Inputs'!$B$5&gt;='Mortgage Inputs'!$B$5,'Mortgage Inputs'!$B$5&gt;0),'Offset Inputs'!$B$5-'Mortgage Inputs'!$B$5,D717+'Offset Inputs'!$B$6))</f>
        <v/>
      </c>
    </row>
    <row r="718" spans="1:8" ht="22" customHeight="1">
      <c r="A718" s="1" t="str">
        <f>IF(AND('Mortgage Inputs'!$B$12,712&lt;=IF('Mortgage Inputs'!$B$12,'Mortgage Inputs'!$B$7,0)*12+600,ISNUMBER(G717),G717&gt;0.005),712,"")</f>
        <v/>
      </c>
      <c r="B718" s="4" t="str">
        <f>IF(A718="","",DATE(YEAR('Mortgage Inputs'!$B$8),MONTH('Mortgage Inputs'!$B$8)+A718,DAY('Mortgage Inputs'!$B$8)))</f>
        <v/>
      </c>
      <c r="C718" s="2" t="str">
        <f t="shared" si="34"/>
        <v/>
      </c>
      <c r="D718" s="2" t="str">
        <f t="shared" si="35"/>
        <v/>
      </c>
      <c r="E718" s="2" t="str">
        <f>IF(A718="","",MAX(0,(C718-MIN(D718,C718))*'Mortgage Inputs'!$B$15))</f>
        <v/>
      </c>
      <c r="F718" s="2" t="str">
        <f>IF(A718="","",IF(AND('Offset Inputs'!$B$5&gt;='Mortgage Inputs'!$B$5,'Mortgage Inputs'!$B$5&gt;0),C718,MIN(C718,MAX(0,'Mortgage Inputs'!$B$17-E718))))</f>
        <v/>
      </c>
      <c r="G718" s="2" t="str">
        <f t="shared" si="33"/>
        <v/>
      </c>
      <c r="H718" s="2" t="str">
        <f>IF(A718="","",IF(AND('Offset Inputs'!$B$5&gt;='Mortgage Inputs'!$B$5,'Mortgage Inputs'!$B$5&gt;0),'Offset Inputs'!$B$5-'Mortgage Inputs'!$B$5,D718+'Offset Inputs'!$B$6))</f>
        <v/>
      </c>
    </row>
    <row r="719" spans="1:8" ht="22" customHeight="1">
      <c r="A719" s="1" t="str">
        <f>IF(AND('Mortgage Inputs'!$B$12,713&lt;=IF('Mortgage Inputs'!$B$12,'Mortgage Inputs'!$B$7,0)*12+600,ISNUMBER(G718),G718&gt;0.005),713,"")</f>
        <v/>
      </c>
      <c r="B719" s="4" t="str">
        <f>IF(A719="","",DATE(YEAR('Mortgage Inputs'!$B$8),MONTH('Mortgage Inputs'!$B$8)+A719,DAY('Mortgage Inputs'!$B$8)))</f>
        <v/>
      </c>
      <c r="C719" s="2" t="str">
        <f t="shared" si="34"/>
        <v/>
      </c>
      <c r="D719" s="2" t="str">
        <f t="shared" si="35"/>
        <v/>
      </c>
      <c r="E719" s="2" t="str">
        <f>IF(A719="","",MAX(0,(C719-MIN(D719,C719))*'Mortgage Inputs'!$B$15))</f>
        <v/>
      </c>
      <c r="F719" s="2" t="str">
        <f>IF(A719="","",IF(AND('Offset Inputs'!$B$5&gt;='Mortgage Inputs'!$B$5,'Mortgage Inputs'!$B$5&gt;0),C719,MIN(C719,MAX(0,'Mortgage Inputs'!$B$17-E719))))</f>
        <v/>
      </c>
      <c r="G719" s="2" t="str">
        <f t="shared" si="33"/>
        <v/>
      </c>
      <c r="H719" s="2" t="str">
        <f>IF(A719="","",IF(AND('Offset Inputs'!$B$5&gt;='Mortgage Inputs'!$B$5,'Mortgage Inputs'!$B$5&gt;0),'Offset Inputs'!$B$5-'Mortgage Inputs'!$B$5,D719+'Offset Inputs'!$B$6))</f>
        <v/>
      </c>
    </row>
    <row r="720" spans="1:8" ht="22" customHeight="1">
      <c r="A720" s="1" t="str">
        <f>IF(AND('Mortgage Inputs'!$B$12,714&lt;=IF('Mortgage Inputs'!$B$12,'Mortgage Inputs'!$B$7,0)*12+600,ISNUMBER(G719),G719&gt;0.005),714,"")</f>
        <v/>
      </c>
      <c r="B720" s="4" t="str">
        <f>IF(A720="","",DATE(YEAR('Mortgage Inputs'!$B$8),MONTH('Mortgage Inputs'!$B$8)+A720,DAY('Mortgage Inputs'!$B$8)))</f>
        <v/>
      </c>
      <c r="C720" s="2" t="str">
        <f t="shared" si="34"/>
        <v/>
      </c>
      <c r="D720" s="2" t="str">
        <f t="shared" si="35"/>
        <v/>
      </c>
      <c r="E720" s="2" t="str">
        <f>IF(A720="","",MAX(0,(C720-MIN(D720,C720))*'Mortgage Inputs'!$B$15))</f>
        <v/>
      </c>
      <c r="F720" s="2" t="str">
        <f>IF(A720="","",IF(AND('Offset Inputs'!$B$5&gt;='Mortgage Inputs'!$B$5,'Mortgage Inputs'!$B$5&gt;0),C720,MIN(C720,MAX(0,'Mortgage Inputs'!$B$17-E720))))</f>
        <v/>
      </c>
      <c r="G720" s="2" t="str">
        <f t="shared" si="33"/>
        <v/>
      </c>
      <c r="H720" s="2" t="str">
        <f>IF(A720="","",IF(AND('Offset Inputs'!$B$5&gt;='Mortgage Inputs'!$B$5,'Mortgage Inputs'!$B$5&gt;0),'Offset Inputs'!$B$5-'Mortgage Inputs'!$B$5,D720+'Offset Inputs'!$B$6))</f>
        <v/>
      </c>
    </row>
    <row r="721" spans="1:8" ht="22" customHeight="1">
      <c r="A721" s="1" t="str">
        <f>IF(AND('Mortgage Inputs'!$B$12,715&lt;=IF('Mortgage Inputs'!$B$12,'Mortgage Inputs'!$B$7,0)*12+600,ISNUMBER(G720),G720&gt;0.005),715,"")</f>
        <v/>
      </c>
      <c r="B721" s="4" t="str">
        <f>IF(A721="","",DATE(YEAR('Mortgage Inputs'!$B$8),MONTH('Mortgage Inputs'!$B$8)+A721,DAY('Mortgage Inputs'!$B$8)))</f>
        <v/>
      </c>
      <c r="C721" s="2" t="str">
        <f t="shared" si="34"/>
        <v/>
      </c>
      <c r="D721" s="2" t="str">
        <f t="shared" si="35"/>
        <v/>
      </c>
      <c r="E721" s="2" t="str">
        <f>IF(A721="","",MAX(0,(C721-MIN(D721,C721))*'Mortgage Inputs'!$B$15))</f>
        <v/>
      </c>
      <c r="F721" s="2" t="str">
        <f>IF(A721="","",IF(AND('Offset Inputs'!$B$5&gt;='Mortgage Inputs'!$B$5,'Mortgage Inputs'!$B$5&gt;0),C721,MIN(C721,MAX(0,'Mortgage Inputs'!$B$17-E721))))</f>
        <v/>
      </c>
      <c r="G721" s="2" t="str">
        <f t="shared" si="33"/>
        <v/>
      </c>
      <c r="H721" s="2" t="str">
        <f>IF(A721="","",IF(AND('Offset Inputs'!$B$5&gt;='Mortgage Inputs'!$B$5,'Mortgage Inputs'!$B$5&gt;0),'Offset Inputs'!$B$5-'Mortgage Inputs'!$B$5,D721+'Offset Inputs'!$B$6))</f>
        <v/>
      </c>
    </row>
    <row r="722" spans="1:8" ht="22" customHeight="1">
      <c r="A722" s="1" t="str">
        <f>IF(AND('Mortgage Inputs'!$B$12,716&lt;=IF('Mortgage Inputs'!$B$12,'Mortgage Inputs'!$B$7,0)*12+600,ISNUMBER(G721),G721&gt;0.005),716,"")</f>
        <v/>
      </c>
      <c r="B722" s="4" t="str">
        <f>IF(A722="","",DATE(YEAR('Mortgage Inputs'!$B$8),MONTH('Mortgage Inputs'!$B$8)+A722,DAY('Mortgage Inputs'!$B$8)))</f>
        <v/>
      </c>
      <c r="C722" s="2" t="str">
        <f t="shared" si="34"/>
        <v/>
      </c>
      <c r="D722" s="2" t="str">
        <f t="shared" si="35"/>
        <v/>
      </c>
      <c r="E722" s="2" t="str">
        <f>IF(A722="","",MAX(0,(C722-MIN(D722,C722))*'Mortgage Inputs'!$B$15))</f>
        <v/>
      </c>
      <c r="F722" s="2" t="str">
        <f>IF(A722="","",IF(AND('Offset Inputs'!$B$5&gt;='Mortgage Inputs'!$B$5,'Mortgage Inputs'!$B$5&gt;0),C722,MIN(C722,MAX(0,'Mortgage Inputs'!$B$17-E722))))</f>
        <v/>
      </c>
      <c r="G722" s="2" t="str">
        <f t="shared" si="33"/>
        <v/>
      </c>
      <c r="H722" s="2" t="str">
        <f>IF(A722="","",IF(AND('Offset Inputs'!$B$5&gt;='Mortgage Inputs'!$B$5,'Mortgage Inputs'!$B$5&gt;0),'Offset Inputs'!$B$5-'Mortgage Inputs'!$B$5,D722+'Offset Inputs'!$B$6))</f>
        <v/>
      </c>
    </row>
    <row r="723" spans="1:8" ht="22" customHeight="1">
      <c r="A723" s="1" t="str">
        <f>IF(AND('Mortgage Inputs'!$B$12,717&lt;=IF('Mortgage Inputs'!$B$12,'Mortgage Inputs'!$B$7,0)*12+600,ISNUMBER(G722),G722&gt;0.005),717,"")</f>
        <v/>
      </c>
      <c r="B723" s="4" t="str">
        <f>IF(A723="","",DATE(YEAR('Mortgage Inputs'!$B$8),MONTH('Mortgage Inputs'!$B$8)+A723,DAY('Mortgage Inputs'!$B$8)))</f>
        <v/>
      </c>
      <c r="C723" s="2" t="str">
        <f t="shared" si="34"/>
        <v/>
      </c>
      <c r="D723" s="2" t="str">
        <f t="shared" si="35"/>
        <v/>
      </c>
      <c r="E723" s="2" t="str">
        <f>IF(A723="","",MAX(0,(C723-MIN(D723,C723))*'Mortgage Inputs'!$B$15))</f>
        <v/>
      </c>
      <c r="F723" s="2" t="str">
        <f>IF(A723="","",IF(AND('Offset Inputs'!$B$5&gt;='Mortgage Inputs'!$B$5,'Mortgage Inputs'!$B$5&gt;0),C723,MIN(C723,MAX(0,'Mortgage Inputs'!$B$17-E723))))</f>
        <v/>
      </c>
      <c r="G723" s="2" t="str">
        <f t="shared" si="33"/>
        <v/>
      </c>
      <c r="H723" s="2" t="str">
        <f>IF(A723="","",IF(AND('Offset Inputs'!$B$5&gt;='Mortgage Inputs'!$B$5,'Mortgage Inputs'!$B$5&gt;0),'Offset Inputs'!$B$5-'Mortgage Inputs'!$B$5,D723+'Offset Inputs'!$B$6))</f>
        <v/>
      </c>
    </row>
    <row r="724" spans="1:8" ht="22" customHeight="1">
      <c r="A724" s="1" t="str">
        <f>IF(AND('Mortgage Inputs'!$B$12,718&lt;=IF('Mortgage Inputs'!$B$12,'Mortgage Inputs'!$B$7,0)*12+600,ISNUMBER(G723),G723&gt;0.005),718,"")</f>
        <v/>
      </c>
      <c r="B724" s="4" t="str">
        <f>IF(A724="","",DATE(YEAR('Mortgage Inputs'!$B$8),MONTH('Mortgage Inputs'!$B$8)+A724,DAY('Mortgage Inputs'!$B$8)))</f>
        <v/>
      </c>
      <c r="C724" s="2" t="str">
        <f t="shared" si="34"/>
        <v/>
      </c>
      <c r="D724" s="2" t="str">
        <f t="shared" si="35"/>
        <v/>
      </c>
      <c r="E724" s="2" t="str">
        <f>IF(A724="","",MAX(0,(C724-MIN(D724,C724))*'Mortgage Inputs'!$B$15))</f>
        <v/>
      </c>
      <c r="F724" s="2" t="str">
        <f>IF(A724="","",IF(AND('Offset Inputs'!$B$5&gt;='Mortgage Inputs'!$B$5,'Mortgage Inputs'!$B$5&gt;0),C724,MIN(C724,MAX(0,'Mortgage Inputs'!$B$17-E724))))</f>
        <v/>
      </c>
      <c r="G724" s="2" t="str">
        <f t="shared" si="33"/>
        <v/>
      </c>
      <c r="H724" s="2" t="str">
        <f>IF(A724="","",IF(AND('Offset Inputs'!$B$5&gt;='Mortgage Inputs'!$B$5,'Mortgage Inputs'!$B$5&gt;0),'Offset Inputs'!$B$5-'Mortgage Inputs'!$B$5,D724+'Offset Inputs'!$B$6))</f>
        <v/>
      </c>
    </row>
    <row r="725" spans="1:8" ht="22" customHeight="1">
      <c r="A725" s="1" t="str">
        <f>IF(AND('Mortgage Inputs'!$B$12,719&lt;=IF('Mortgage Inputs'!$B$12,'Mortgage Inputs'!$B$7,0)*12+600,ISNUMBER(G724),G724&gt;0.005),719,"")</f>
        <v/>
      </c>
      <c r="B725" s="4" t="str">
        <f>IF(A725="","",DATE(YEAR('Mortgage Inputs'!$B$8),MONTH('Mortgage Inputs'!$B$8)+A725,DAY('Mortgage Inputs'!$B$8)))</f>
        <v/>
      </c>
      <c r="C725" s="2" t="str">
        <f t="shared" si="34"/>
        <v/>
      </c>
      <c r="D725" s="2" t="str">
        <f t="shared" si="35"/>
        <v/>
      </c>
      <c r="E725" s="2" t="str">
        <f>IF(A725="","",MAX(0,(C725-MIN(D725,C725))*'Mortgage Inputs'!$B$15))</f>
        <v/>
      </c>
      <c r="F725" s="2" t="str">
        <f>IF(A725="","",IF(AND('Offset Inputs'!$B$5&gt;='Mortgage Inputs'!$B$5,'Mortgage Inputs'!$B$5&gt;0),C725,MIN(C725,MAX(0,'Mortgage Inputs'!$B$17-E725))))</f>
        <v/>
      </c>
      <c r="G725" s="2" t="str">
        <f t="shared" si="33"/>
        <v/>
      </c>
      <c r="H725" s="2" t="str">
        <f>IF(A725="","",IF(AND('Offset Inputs'!$B$5&gt;='Mortgage Inputs'!$B$5,'Mortgage Inputs'!$B$5&gt;0),'Offset Inputs'!$B$5-'Mortgage Inputs'!$B$5,D725+'Offset Inputs'!$B$6))</f>
        <v/>
      </c>
    </row>
    <row r="726" spans="1:8" ht="22" customHeight="1">
      <c r="A726" s="1" t="str">
        <f>IF(AND('Mortgage Inputs'!$B$12,720&lt;=IF('Mortgage Inputs'!$B$12,'Mortgage Inputs'!$B$7,0)*12+600,ISNUMBER(G725),G725&gt;0.005),720,"")</f>
        <v/>
      </c>
      <c r="B726" s="4" t="str">
        <f>IF(A726="","",DATE(YEAR('Mortgage Inputs'!$B$8),MONTH('Mortgage Inputs'!$B$8)+A726,DAY('Mortgage Inputs'!$B$8)))</f>
        <v/>
      </c>
      <c r="C726" s="2" t="str">
        <f t="shared" si="34"/>
        <v/>
      </c>
      <c r="D726" s="2" t="str">
        <f t="shared" si="35"/>
        <v/>
      </c>
      <c r="E726" s="2" t="str">
        <f>IF(A726="","",MAX(0,(C726-MIN(D726,C726))*'Mortgage Inputs'!$B$15))</f>
        <v/>
      </c>
      <c r="F726" s="2" t="str">
        <f>IF(A726="","",IF(AND('Offset Inputs'!$B$5&gt;='Mortgage Inputs'!$B$5,'Mortgage Inputs'!$B$5&gt;0),C726,MIN(C726,MAX(0,'Mortgage Inputs'!$B$17-E726))))</f>
        <v/>
      </c>
      <c r="G726" s="2" t="str">
        <f t="shared" si="33"/>
        <v/>
      </c>
      <c r="H726" s="2" t="str">
        <f>IF(A726="","",IF(AND('Offset Inputs'!$B$5&gt;='Mortgage Inputs'!$B$5,'Mortgage Inputs'!$B$5&gt;0),'Offset Inputs'!$B$5-'Mortgage Inputs'!$B$5,D726+'Offset Inputs'!$B$6))</f>
        <v/>
      </c>
    </row>
    <row r="727" spans="1:8" ht="22" customHeight="1">
      <c r="A727" s="1" t="str">
        <f>IF(AND('Mortgage Inputs'!$B$12,721&lt;=IF('Mortgage Inputs'!$B$12,'Mortgage Inputs'!$B$7,0)*12+600,ISNUMBER(G726),G726&gt;0.005),721,"")</f>
        <v/>
      </c>
      <c r="B727" s="4" t="str">
        <f>IF(A727="","",DATE(YEAR('Mortgage Inputs'!$B$8),MONTH('Mortgage Inputs'!$B$8)+A727,DAY('Mortgage Inputs'!$B$8)))</f>
        <v/>
      </c>
      <c r="C727" s="2" t="str">
        <f t="shared" si="34"/>
        <v/>
      </c>
      <c r="D727" s="2" t="str">
        <f t="shared" si="35"/>
        <v/>
      </c>
      <c r="E727" s="2" t="str">
        <f>IF(A727="","",MAX(0,(C727-MIN(D727,C727))*'Mortgage Inputs'!$B$15))</f>
        <v/>
      </c>
      <c r="F727" s="2" t="str">
        <f>IF(A727="","",IF(AND('Offset Inputs'!$B$5&gt;='Mortgage Inputs'!$B$5,'Mortgage Inputs'!$B$5&gt;0),C727,MIN(C727,MAX(0,'Mortgage Inputs'!$B$17-E727))))</f>
        <v/>
      </c>
      <c r="G727" s="2" t="str">
        <f t="shared" si="33"/>
        <v/>
      </c>
      <c r="H727" s="2" t="str">
        <f>IF(A727="","",IF(AND('Offset Inputs'!$B$5&gt;='Mortgage Inputs'!$B$5,'Mortgage Inputs'!$B$5&gt;0),'Offset Inputs'!$B$5-'Mortgage Inputs'!$B$5,D727+'Offset Inputs'!$B$6))</f>
        <v/>
      </c>
    </row>
    <row r="728" spans="1:8" ht="22" customHeight="1">
      <c r="A728" s="1" t="str">
        <f>IF(AND('Mortgage Inputs'!$B$12,722&lt;=IF('Mortgage Inputs'!$B$12,'Mortgage Inputs'!$B$7,0)*12+600,ISNUMBER(G727),G727&gt;0.005),722,"")</f>
        <v/>
      </c>
      <c r="B728" s="4" t="str">
        <f>IF(A728="","",DATE(YEAR('Mortgage Inputs'!$B$8),MONTH('Mortgage Inputs'!$B$8)+A728,DAY('Mortgage Inputs'!$B$8)))</f>
        <v/>
      </c>
      <c r="C728" s="2" t="str">
        <f t="shared" si="34"/>
        <v/>
      </c>
      <c r="D728" s="2" t="str">
        <f t="shared" si="35"/>
        <v/>
      </c>
      <c r="E728" s="2" t="str">
        <f>IF(A728="","",MAX(0,(C728-MIN(D728,C728))*'Mortgage Inputs'!$B$15))</f>
        <v/>
      </c>
      <c r="F728" s="2" t="str">
        <f>IF(A728="","",IF(AND('Offset Inputs'!$B$5&gt;='Mortgage Inputs'!$B$5,'Mortgage Inputs'!$B$5&gt;0),C728,MIN(C728,MAX(0,'Mortgage Inputs'!$B$17-E728))))</f>
        <v/>
      </c>
      <c r="G728" s="2" t="str">
        <f t="shared" si="33"/>
        <v/>
      </c>
      <c r="H728" s="2" t="str">
        <f>IF(A728="","",IF(AND('Offset Inputs'!$B$5&gt;='Mortgage Inputs'!$B$5,'Mortgage Inputs'!$B$5&gt;0),'Offset Inputs'!$B$5-'Mortgage Inputs'!$B$5,D728+'Offset Inputs'!$B$6))</f>
        <v/>
      </c>
    </row>
    <row r="729" spans="1:8" ht="22" customHeight="1">
      <c r="A729" s="1" t="str">
        <f>IF(AND('Mortgage Inputs'!$B$12,723&lt;=IF('Mortgage Inputs'!$B$12,'Mortgage Inputs'!$B$7,0)*12+600,ISNUMBER(G728),G728&gt;0.005),723,"")</f>
        <v/>
      </c>
      <c r="B729" s="4" t="str">
        <f>IF(A729="","",DATE(YEAR('Mortgage Inputs'!$B$8),MONTH('Mortgage Inputs'!$B$8)+A729,DAY('Mortgage Inputs'!$B$8)))</f>
        <v/>
      </c>
      <c r="C729" s="2" t="str">
        <f t="shared" si="34"/>
        <v/>
      </c>
      <c r="D729" s="2" t="str">
        <f t="shared" si="35"/>
        <v/>
      </c>
      <c r="E729" s="2" t="str">
        <f>IF(A729="","",MAX(0,(C729-MIN(D729,C729))*'Mortgage Inputs'!$B$15))</f>
        <v/>
      </c>
      <c r="F729" s="2" t="str">
        <f>IF(A729="","",IF(AND('Offset Inputs'!$B$5&gt;='Mortgage Inputs'!$B$5,'Mortgage Inputs'!$B$5&gt;0),C729,MIN(C729,MAX(0,'Mortgage Inputs'!$B$17-E729))))</f>
        <v/>
      </c>
      <c r="G729" s="2" t="str">
        <f t="shared" si="33"/>
        <v/>
      </c>
      <c r="H729" s="2" t="str">
        <f>IF(A729="","",IF(AND('Offset Inputs'!$B$5&gt;='Mortgage Inputs'!$B$5,'Mortgage Inputs'!$B$5&gt;0),'Offset Inputs'!$B$5-'Mortgage Inputs'!$B$5,D729+'Offset Inputs'!$B$6))</f>
        <v/>
      </c>
    </row>
    <row r="730" spans="1:8" ht="22" customHeight="1">
      <c r="A730" s="1" t="str">
        <f>IF(AND('Mortgage Inputs'!$B$12,724&lt;=IF('Mortgage Inputs'!$B$12,'Mortgage Inputs'!$B$7,0)*12+600,ISNUMBER(G729),G729&gt;0.005),724,"")</f>
        <v/>
      </c>
      <c r="B730" s="4" t="str">
        <f>IF(A730="","",DATE(YEAR('Mortgage Inputs'!$B$8),MONTH('Mortgage Inputs'!$B$8)+A730,DAY('Mortgage Inputs'!$B$8)))</f>
        <v/>
      </c>
      <c r="C730" s="2" t="str">
        <f t="shared" si="34"/>
        <v/>
      </c>
      <c r="D730" s="2" t="str">
        <f t="shared" si="35"/>
        <v/>
      </c>
      <c r="E730" s="2" t="str">
        <f>IF(A730="","",MAX(0,(C730-MIN(D730,C730))*'Mortgage Inputs'!$B$15))</f>
        <v/>
      </c>
      <c r="F730" s="2" t="str">
        <f>IF(A730="","",IF(AND('Offset Inputs'!$B$5&gt;='Mortgage Inputs'!$B$5,'Mortgage Inputs'!$B$5&gt;0),C730,MIN(C730,MAX(0,'Mortgage Inputs'!$B$17-E730))))</f>
        <v/>
      </c>
      <c r="G730" s="2" t="str">
        <f t="shared" si="33"/>
        <v/>
      </c>
      <c r="H730" s="2" t="str">
        <f>IF(A730="","",IF(AND('Offset Inputs'!$B$5&gt;='Mortgage Inputs'!$B$5,'Mortgage Inputs'!$B$5&gt;0),'Offset Inputs'!$B$5-'Mortgage Inputs'!$B$5,D730+'Offset Inputs'!$B$6))</f>
        <v/>
      </c>
    </row>
    <row r="731" spans="1:8" ht="22" customHeight="1">
      <c r="A731" s="1" t="str">
        <f>IF(AND('Mortgage Inputs'!$B$12,725&lt;=IF('Mortgage Inputs'!$B$12,'Mortgage Inputs'!$B$7,0)*12+600,ISNUMBER(G730),G730&gt;0.005),725,"")</f>
        <v/>
      </c>
      <c r="B731" s="4" t="str">
        <f>IF(A731="","",DATE(YEAR('Mortgage Inputs'!$B$8),MONTH('Mortgage Inputs'!$B$8)+A731,DAY('Mortgage Inputs'!$B$8)))</f>
        <v/>
      </c>
      <c r="C731" s="2" t="str">
        <f t="shared" si="34"/>
        <v/>
      </c>
      <c r="D731" s="2" t="str">
        <f t="shared" si="35"/>
        <v/>
      </c>
      <c r="E731" s="2" t="str">
        <f>IF(A731="","",MAX(0,(C731-MIN(D731,C731))*'Mortgage Inputs'!$B$15))</f>
        <v/>
      </c>
      <c r="F731" s="2" t="str">
        <f>IF(A731="","",IF(AND('Offset Inputs'!$B$5&gt;='Mortgage Inputs'!$B$5,'Mortgage Inputs'!$B$5&gt;0),C731,MIN(C731,MAX(0,'Mortgage Inputs'!$B$17-E731))))</f>
        <v/>
      </c>
      <c r="G731" s="2" t="str">
        <f t="shared" si="33"/>
        <v/>
      </c>
      <c r="H731" s="2" t="str">
        <f>IF(A731="","",IF(AND('Offset Inputs'!$B$5&gt;='Mortgage Inputs'!$B$5,'Mortgage Inputs'!$B$5&gt;0),'Offset Inputs'!$B$5-'Mortgage Inputs'!$B$5,D731+'Offset Inputs'!$B$6))</f>
        <v/>
      </c>
    </row>
    <row r="732" spans="1:8" ht="22" customHeight="1">
      <c r="A732" s="1" t="str">
        <f>IF(AND('Mortgage Inputs'!$B$12,726&lt;=IF('Mortgage Inputs'!$B$12,'Mortgage Inputs'!$B$7,0)*12+600,ISNUMBER(G731),G731&gt;0.005),726,"")</f>
        <v/>
      </c>
      <c r="B732" s="4" t="str">
        <f>IF(A732="","",DATE(YEAR('Mortgage Inputs'!$B$8),MONTH('Mortgage Inputs'!$B$8)+A732,DAY('Mortgage Inputs'!$B$8)))</f>
        <v/>
      </c>
      <c r="C732" s="2" t="str">
        <f t="shared" si="34"/>
        <v/>
      </c>
      <c r="D732" s="2" t="str">
        <f t="shared" si="35"/>
        <v/>
      </c>
      <c r="E732" s="2" t="str">
        <f>IF(A732="","",MAX(0,(C732-MIN(D732,C732))*'Mortgage Inputs'!$B$15))</f>
        <v/>
      </c>
      <c r="F732" s="2" t="str">
        <f>IF(A732="","",IF(AND('Offset Inputs'!$B$5&gt;='Mortgage Inputs'!$B$5,'Mortgage Inputs'!$B$5&gt;0),C732,MIN(C732,MAX(0,'Mortgage Inputs'!$B$17-E732))))</f>
        <v/>
      </c>
      <c r="G732" s="2" t="str">
        <f t="shared" si="33"/>
        <v/>
      </c>
      <c r="H732" s="2" t="str">
        <f>IF(A732="","",IF(AND('Offset Inputs'!$B$5&gt;='Mortgage Inputs'!$B$5,'Mortgage Inputs'!$B$5&gt;0),'Offset Inputs'!$B$5-'Mortgage Inputs'!$B$5,D732+'Offset Inputs'!$B$6))</f>
        <v/>
      </c>
    </row>
    <row r="733" spans="1:8" ht="22" customHeight="1">
      <c r="A733" s="1" t="str">
        <f>IF(AND('Mortgage Inputs'!$B$12,727&lt;=IF('Mortgage Inputs'!$B$12,'Mortgage Inputs'!$B$7,0)*12+600,ISNUMBER(G732),G732&gt;0.005),727,"")</f>
        <v/>
      </c>
      <c r="B733" s="4" t="str">
        <f>IF(A733="","",DATE(YEAR('Mortgage Inputs'!$B$8),MONTH('Mortgage Inputs'!$B$8)+A733,DAY('Mortgage Inputs'!$B$8)))</f>
        <v/>
      </c>
      <c r="C733" s="2" t="str">
        <f t="shared" si="34"/>
        <v/>
      </c>
      <c r="D733" s="2" t="str">
        <f t="shared" si="35"/>
        <v/>
      </c>
      <c r="E733" s="2" t="str">
        <f>IF(A733="","",MAX(0,(C733-MIN(D733,C733))*'Mortgage Inputs'!$B$15))</f>
        <v/>
      </c>
      <c r="F733" s="2" t="str">
        <f>IF(A733="","",IF(AND('Offset Inputs'!$B$5&gt;='Mortgage Inputs'!$B$5,'Mortgage Inputs'!$B$5&gt;0),C733,MIN(C733,MAX(0,'Mortgage Inputs'!$B$17-E733))))</f>
        <v/>
      </c>
      <c r="G733" s="2" t="str">
        <f t="shared" si="33"/>
        <v/>
      </c>
      <c r="H733" s="2" t="str">
        <f>IF(A733="","",IF(AND('Offset Inputs'!$B$5&gt;='Mortgage Inputs'!$B$5,'Mortgage Inputs'!$B$5&gt;0),'Offset Inputs'!$B$5-'Mortgage Inputs'!$B$5,D733+'Offset Inputs'!$B$6))</f>
        <v/>
      </c>
    </row>
    <row r="734" spans="1:8" ht="22" customHeight="1">
      <c r="A734" s="1" t="str">
        <f>IF(AND('Mortgage Inputs'!$B$12,728&lt;=IF('Mortgage Inputs'!$B$12,'Mortgage Inputs'!$B$7,0)*12+600,ISNUMBER(G733),G733&gt;0.005),728,"")</f>
        <v/>
      </c>
      <c r="B734" s="4" t="str">
        <f>IF(A734="","",DATE(YEAR('Mortgage Inputs'!$B$8),MONTH('Mortgage Inputs'!$B$8)+A734,DAY('Mortgage Inputs'!$B$8)))</f>
        <v/>
      </c>
      <c r="C734" s="2" t="str">
        <f t="shared" si="34"/>
        <v/>
      </c>
      <c r="D734" s="2" t="str">
        <f t="shared" si="35"/>
        <v/>
      </c>
      <c r="E734" s="2" t="str">
        <f>IF(A734="","",MAX(0,(C734-MIN(D734,C734))*'Mortgage Inputs'!$B$15))</f>
        <v/>
      </c>
      <c r="F734" s="2" t="str">
        <f>IF(A734="","",IF(AND('Offset Inputs'!$B$5&gt;='Mortgage Inputs'!$B$5,'Mortgage Inputs'!$B$5&gt;0),C734,MIN(C734,MAX(0,'Mortgage Inputs'!$B$17-E734))))</f>
        <v/>
      </c>
      <c r="G734" s="2" t="str">
        <f t="shared" si="33"/>
        <v/>
      </c>
      <c r="H734" s="2" t="str">
        <f>IF(A734="","",IF(AND('Offset Inputs'!$B$5&gt;='Mortgage Inputs'!$B$5,'Mortgage Inputs'!$B$5&gt;0),'Offset Inputs'!$B$5-'Mortgage Inputs'!$B$5,D734+'Offset Inputs'!$B$6))</f>
        <v/>
      </c>
    </row>
    <row r="735" spans="1:8" ht="22" customHeight="1">
      <c r="A735" s="1" t="str">
        <f>IF(AND('Mortgage Inputs'!$B$12,729&lt;=IF('Mortgage Inputs'!$B$12,'Mortgage Inputs'!$B$7,0)*12+600,ISNUMBER(G734),G734&gt;0.005),729,"")</f>
        <v/>
      </c>
      <c r="B735" s="4" t="str">
        <f>IF(A735="","",DATE(YEAR('Mortgage Inputs'!$B$8),MONTH('Mortgage Inputs'!$B$8)+A735,DAY('Mortgage Inputs'!$B$8)))</f>
        <v/>
      </c>
      <c r="C735" s="2" t="str">
        <f t="shared" si="34"/>
        <v/>
      </c>
      <c r="D735" s="2" t="str">
        <f t="shared" si="35"/>
        <v/>
      </c>
      <c r="E735" s="2" t="str">
        <f>IF(A735="","",MAX(0,(C735-MIN(D735,C735))*'Mortgage Inputs'!$B$15))</f>
        <v/>
      </c>
      <c r="F735" s="2" t="str">
        <f>IF(A735="","",IF(AND('Offset Inputs'!$B$5&gt;='Mortgage Inputs'!$B$5,'Mortgage Inputs'!$B$5&gt;0),C735,MIN(C735,MAX(0,'Mortgage Inputs'!$B$17-E735))))</f>
        <v/>
      </c>
      <c r="G735" s="2" t="str">
        <f t="shared" si="33"/>
        <v/>
      </c>
      <c r="H735" s="2" t="str">
        <f>IF(A735="","",IF(AND('Offset Inputs'!$B$5&gt;='Mortgage Inputs'!$B$5,'Mortgage Inputs'!$B$5&gt;0),'Offset Inputs'!$B$5-'Mortgage Inputs'!$B$5,D735+'Offset Inputs'!$B$6))</f>
        <v/>
      </c>
    </row>
    <row r="736" spans="1:8" ht="22" customHeight="1">
      <c r="A736" s="1" t="str">
        <f>IF(AND('Mortgage Inputs'!$B$12,730&lt;=IF('Mortgage Inputs'!$B$12,'Mortgage Inputs'!$B$7,0)*12+600,ISNUMBER(G735),G735&gt;0.005),730,"")</f>
        <v/>
      </c>
      <c r="B736" s="4" t="str">
        <f>IF(A736="","",DATE(YEAR('Mortgage Inputs'!$B$8),MONTH('Mortgage Inputs'!$B$8)+A736,DAY('Mortgage Inputs'!$B$8)))</f>
        <v/>
      </c>
      <c r="C736" s="2" t="str">
        <f t="shared" si="34"/>
        <v/>
      </c>
      <c r="D736" s="2" t="str">
        <f t="shared" si="35"/>
        <v/>
      </c>
      <c r="E736" s="2" t="str">
        <f>IF(A736="","",MAX(0,(C736-MIN(D736,C736))*'Mortgage Inputs'!$B$15))</f>
        <v/>
      </c>
      <c r="F736" s="2" t="str">
        <f>IF(A736="","",IF(AND('Offset Inputs'!$B$5&gt;='Mortgage Inputs'!$B$5,'Mortgage Inputs'!$B$5&gt;0),C736,MIN(C736,MAX(0,'Mortgage Inputs'!$B$17-E736))))</f>
        <v/>
      </c>
      <c r="G736" s="2" t="str">
        <f t="shared" si="33"/>
        <v/>
      </c>
      <c r="H736" s="2" t="str">
        <f>IF(A736="","",IF(AND('Offset Inputs'!$B$5&gt;='Mortgage Inputs'!$B$5,'Mortgage Inputs'!$B$5&gt;0),'Offset Inputs'!$B$5-'Mortgage Inputs'!$B$5,D736+'Offset Inputs'!$B$6))</f>
        <v/>
      </c>
    </row>
    <row r="737" spans="1:8" ht="22" customHeight="1">
      <c r="A737" s="1" t="str">
        <f>IF(AND('Mortgage Inputs'!$B$12,731&lt;=IF('Mortgage Inputs'!$B$12,'Mortgage Inputs'!$B$7,0)*12+600,ISNUMBER(G736),G736&gt;0.005),731,"")</f>
        <v/>
      </c>
      <c r="B737" s="4" t="str">
        <f>IF(A737="","",DATE(YEAR('Mortgage Inputs'!$B$8),MONTH('Mortgage Inputs'!$B$8)+A737,DAY('Mortgage Inputs'!$B$8)))</f>
        <v/>
      </c>
      <c r="C737" s="2" t="str">
        <f t="shared" si="34"/>
        <v/>
      </c>
      <c r="D737" s="2" t="str">
        <f t="shared" si="35"/>
        <v/>
      </c>
      <c r="E737" s="2" t="str">
        <f>IF(A737="","",MAX(0,(C737-MIN(D737,C737))*'Mortgage Inputs'!$B$15))</f>
        <v/>
      </c>
      <c r="F737" s="2" t="str">
        <f>IF(A737="","",IF(AND('Offset Inputs'!$B$5&gt;='Mortgage Inputs'!$B$5,'Mortgage Inputs'!$B$5&gt;0),C737,MIN(C737,MAX(0,'Mortgage Inputs'!$B$17-E737))))</f>
        <v/>
      </c>
      <c r="G737" s="2" t="str">
        <f t="shared" si="33"/>
        <v/>
      </c>
      <c r="H737" s="2" t="str">
        <f>IF(A737="","",IF(AND('Offset Inputs'!$B$5&gt;='Mortgage Inputs'!$B$5,'Mortgage Inputs'!$B$5&gt;0),'Offset Inputs'!$B$5-'Mortgage Inputs'!$B$5,D737+'Offset Inputs'!$B$6))</f>
        <v/>
      </c>
    </row>
    <row r="738" spans="1:8" ht="22" customHeight="1">
      <c r="A738" s="1" t="str">
        <f>IF(AND('Mortgage Inputs'!$B$12,732&lt;=IF('Mortgage Inputs'!$B$12,'Mortgage Inputs'!$B$7,0)*12+600,ISNUMBER(G737),G737&gt;0.005),732,"")</f>
        <v/>
      </c>
      <c r="B738" s="4" t="str">
        <f>IF(A738="","",DATE(YEAR('Mortgage Inputs'!$B$8),MONTH('Mortgage Inputs'!$B$8)+A738,DAY('Mortgage Inputs'!$B$8)))</f>
        <v/>
      </c>
      <c r="C738" s="2" t="str">
        <f t="shared" si="34"/>
        <v/>
      </c>
      <c r="D738" s="2" t="str">
        <f t="shared" si="35"/>
        <v/>
      </c>
      <c r="E738" s="2" t="str">
        <f>IF(A738="","",MAX(0,(C738-MIN(D738,C738))*'Mortgage Inputs'!$B$15))</f>
        <v/>
      </c>
      <c r="F738" s="2" t="str">
        <f>IF(A738="","",IF(AND('Offset Inputs'!$B$5&gt;='Mortgage Inputs'!$B$5,'Mortgage Inputs'!$B$5&gt;0),C738,MIN(C738,MAX(0,'Mortgage Inputs'!$B$17-E738))))</f>
        <v/>
      </c>
      <c r="G738" s="2" t="str">
        <f t="shared" si="33"/>
        <v/>
      </c>
      <c r="H738" s="2" t="str">
        <f>IF(A738="","",IF(AND('Offset Inputs'!$B$5&gt;='Mortgage Inputs'!$B$5,'Mortgage Inputs'!$B$5&gt;0),'Offset Inputs'!$B$5-'Mortgage Inputs'!$B$5,D738+'Offset Inputs'!$B$6))</f>
        <v/>
      </c>
    </row>
    <row r="739" spans="1:8" ht="22" customHeight="1">
      <c r="A739" s="1" t="str">
        <f>IF(AND('Mortgage Inputs'!$B$12,733&lt;=IF('Mortgage Inputs'!$B$12,'Mortgage Inputs'!$B$7,0)*12+600,ISNUMBER(G738),G738&gt;0.005),733,"")</f>
        <v/>
      </c>
      <c r="B739" s="4" t="str">
        <f>IF(A739="","",DATE(YEAR('Mortgage Inputs'!$B$8),MONTH('Mortgage Inputs'!$B$8)+A739,DAY('Mortgage Inputs'!$B$8)))</f>
        <v/>
      </c>
      <c r="C739" s="2" t="str">
        <f t="shared" si="34"/>
        <v/>
      </c>
      <c r="D739" s="2" t="str">
        <f t="shared" si="35"/>
        <v/>
      </c>
      <c r="E739" s="2" t="str">
        <f>IF(A739="","",MAX(0,(C739-MIN(D739,C739))*'Mortgage Inputs'!$B$15))</f>
        <v/>
      </c>
      <c r="F739" s="2" t="str">
        <f>IF(A739="","",IF(AND('Offset Inputs'!$B$5&gt;='Mortgage Inputs'!$B$5,'Mortgage Inputs'!$B$5&gt;0),C739,MIN(C739,MAX(0,'Mortgage Inputs'!$B$17-E739))))</f>
        <v/>
      </c>
      <c r="G739" s="2" t="str">
        <f t="shared" si="33"/>
        <v/>
      </c>
      <c r="H739" s="2" t="str">
        <f>IF(A739="","",IF(AND('Offset Inputs'!$B$5&gt;='Mortgage Inputs'!$B$5,'Mortgage Inputs'!$B$5&gt;0),'Offset Inputs'!$B$5-'Mortgage Inputs'!$B$5,D739+'Offset Inputs'!$B$6))</f>
        <v/>
      </c>
    </row>
    <row r="740" spans="1:8" ht="22" customHeight="1">
      <c r="A740" s="1" t="str">
        <f>IF(AND('Mortgage Inputs'!$B$12,734&lt;=IF('Mortgage Inputs'!$B$12,'Mortgage Inputs'!$B$7,0)*12+600,ISNUMBER(G739),G739&gt;0.005),734,"")</f>
        <v/>
      </c>
      <c r="B740" s="4" t="str">
        <f>IF(A740="","",DATE(YEAR('Mortgage Inputs'!$B$8),MONTH('Mortgage Inputs'!$B$8)+A740,DAY('Mortgage Inputs'!$B$8)))</f>
        <v/>
      </c>
      <c r="C740" s="2" t="str">
        <f t="shared" si="34"/>
        <v/>
      </c>
      <c r="D740" s="2" t="str">
        <f t="shared" si="35"/>
        <v/>
      </c>
      <c r="E740" s="2" t="str">
        <f>IF(A740="","",MAX(0,(C740-MIN(D740,C740))*'Mortgage Inputs'!$B$15))</f>
        <v/>
      </c>
      <c r="F740" s="2" t="str">
        <f>IF(A740="","",IF(AND('Offset Inputs'!$B$5&gt;='Mortgage Inputs'!$B$5,'Mortgage Inputs'!$B$5&gt;0),C740,MIN(C740,MAX(0,'Mortgage Inputs'!$B$17-E740))))</f>
        <v/>
      </c>
      <c r="G740" s="2" t="str">
        <f t="shared" si="33"/>
        <v/>
      </c>
      <c r="H740" s="2" t="str">
        <f>IF(A740="","",IF(AND('Offset Inputs'!$B$5&gt;='Mortgage Inputs'!$B$5,'Mortgage Inputs'!$B$5&gt;0),'Offset Inputs'!$B$5-'Mortgage Inputs'!$B$5,D740+'Offset Inputs'!$B$6))</f>
        <v/>
      </c>
    </row>
    <row r="741" spans="1:8" ht="22" customHeight="1">
      <c r="A741" s="1" t="str">
        <f>IF(AND('Mortgage Inputs'!$B$12,735&lt;=IF('Mortgage Inputs'!$B$12,'Mortgage Inputs'!$B$7,0)*12+600,ISNUMBER(G740),G740&gt;0.005),735,"")</f>
        <v/>
      </c>
      <c r="B741" s="4" t="str">
        <f>IF(A741="","",DATE(YEAR('Mortgage Inputs'!$B$8),MONTH('Mortgage Inputs'!$B$8)+A741,DAY('Mortgage Inputs'!$B$8)))</f>
        <v/>
      </c>
      <c r="C741" s="2" t="str">
        <f t="shared" si="34"/>
        <v/>
      </c>
      <c r="D741" s="2" t="str">
        <f t="shared" si="35"/>
        <v/>
      </c>
      <c r="E741" s="2" t="str">
        <f>IF(A741="","",MAX(0,(C741-MIN(D741,C741))*'Mortgage Inputs'!$B$15))</f>
        <v/>
      </c>
      <c r="F741" s="2" t="str">
        <f>IF(A741="","",IF(AND('Offset Inputs'!$B$5&gt;='Mortgage Inputs'!$B$5,'Mortgage Inputs'!$B$5&gt;0),C741,MIN(C741,MAX(0,'Mortgage Inputs'!$B$17-E741))))</f>
        <v/>
      </c>
      <c r="G741" s="2" t="str">
        <f t="shared" si="33"/>
        <v/>
      </c>
      <c r="H741" s="2" t="str">
        <f>IF(A741="","",IF(AND('Offset Inputs'!$B$5&gt;='Mortgage Inputs'!$B$5,'Mortgage Inputs'!$B$5&gt;0),'Offset Inputs'!$B$5-'Mortgage Inputs'!$B$5,D741+'Offset Inputs'!$B$6))</f>
        <v/>
      </c>
    </row>
    <row r="742" spans="1:8" ht="22" customHeight="1">
      <c r="A742" s="1" t="str">
        <f>IF(AND('Mortgage Inputs'!$B$12,736&lt;=IF('Mortgage Inputs'!$B$12,'Mortgage Inputs'!$B$7,0)*12+600,ISNUMBER(G741),G741&gt;0.005),736,"")</f>
        <v/>
      </c>
      <c r="B742" s="4" t="str">
        <f>IF(A742="","",DATE(YEAR('Mortgage Inputs'!$B$8),MONTH('Mortgage Inputs'!$B$8)+A742,DAY('Mortgage Inputs'!$B$8)))</f>
        <v/>
      </c>
      <c r="C742" s="2" t="str">
        <f t="shared" si="34"/>
        <v/>
      </c>
      <c r="D742" s="2" t="str">
        <f t="shared" si="35"/>
        <v/>
      </c>
      <c r="E742" s="2" t="str">
        <f>IF(A742="","",MAX(0,(C742-MIN(D742,C742))*'Mortgage Inputs'!$B$15))</f>
        <v/>
      </c>
      <c r="F742" s="2" t="str">
        <f>IF(A742="","",IF(AND('Offset Inputs'!$B$5&gt;='Mortgage Inputs'!$B$5,'Mortgage Inputs'!$B$5&gt;0),C742,MIN(C742,MAX(0,'Mortgage Inputs'!$B$17-E742))))</f>
        <v/>
      </c>
      <c r="G742" s="2" t="str">
        <f t="shared" si="33"/>
        <v/>
      </c>
      <c r="H742" s="2" t="str">
        <f>IF(A742="","",IF(AND('Offset Inputs'!$B$5&gt;='Mortgage Inputs'!$B$5,'Mortgage Inputs'!$B$5&gt;0),'Offset Inputs'!$B$5-'Mortgage Inputs'!$B$5,D742+'Offset Inputs'!$B$6))</f>
        <v/>
      </c>
    </row>
    <row r="743" spans="1:8" ht="22" customHeight="1">
      <c r="A743" s="1" t="str">
        <f>IF(AND('Mortgage Inputs'!$B$12,737&lt;=IF('Mortgage Inputs'!$B$12,'Mortgage Inputs'!$B$7,0)*12+600,ISNUMBER(G742),G742&gt;0.005),737,"")</f>
        <v/>
      </c>
      <c r="B743" s="4" t="str">
        <f>IF(A743="","",DATE(YEAR('Mortgage Inputs'!$B$8),MONTH('Mortgage Inputs'!$B$8)+A743,DAY('Mortgage Inputs'!$B$8)))</f>
        <v/>
      </c>
      <c r="C743" s="2" t="str">
        <f t="shared" si="34"/>
        <v/>
      </c>
      <c r="D743" s="2" t="str">
        <f t="shared" si="35"/>
        <v/>
      </c>
      <c r="E743" s="2" t="str">
        <f>IF(A743="","",MAX(0,(C743-MIN(D743,C743))*'Mortgage Inputs'!$B$15))</f>
        <v/>
      </c>
      <c r="F743" s="2" t="str">
        <f>IF(A743="","",IF(AND('Offset Inputs'!$B$5&gt;='Mortgage Inputs'!$B$5,'Mortgage Inputs'!$B$5&gt;0),C743,MIN(C743,MAX(0,'Mortgage Inputs'!$B$17-E743))))</f>
        <v/>
      </c>
      <c r="G743" s="2" t="str">
        <f t="shared" si="33"/>
        <v/>
      </c>
      <c r="H743" s="2" t="str">
        <f>IF(A743="","",IF(AND('Offset Inputs'!$B$5&gt;='Mortgage Inputs'!$B$5,'Mortgage Inputs'!$B$5&gt;0),'Offset Inputs'!$B$5-'Mortgage Inputs'!$B$5,D743+'Offset Inputs'!$B$6))</f>
        <v/>
      </c>
    </row>
    <row r="744" spans="1:8" ht="22" customHeight="1">
      <c r="A744" s="1" t="str">
        <f>IF(AND('Mortgage Inputs'!$B$12,738&lt;=IF('Mortgage Inputs'!$B$12,'Mortgage Inputs'!$B$7,0)*12+600,ISNUMBER(G743),G743&gt;0.005),738,"")</f>
        <v/>
      </c>
      <c r="B744" s="4" t="str">
        <f>IF(A744="","",DATE(YEAR('Mortgage Inputs'!$B$8),MONTH('Mortgage Inputs'!$B$8)+A744,DAY('Mortgage Inputs'!$B$8)))</f>
        <v/>
      </c>
      <c r="C744" s="2" t="str">
        <f t="shared" si="34"/>
        <v/>
      </c>
      <c r="D744" s="2" t="str">
        <f t="shared" si="35"/>
        <v/>
      </c>
      <c r="E744" s="2" t="str">
        <f>IF(A744="","",MAX(0,(C744-MIN(D744,C744))*'Mortgage Inputs'!$B$15))</f>
        <v/>
      </c>
      <c r="F744" s="2" t="str">
        <f>IF(A744="","",IF(AND('Offset Inputs'!$B$5&gt;='Mortgage Inputs'!$B$5,'Mortgage Inputs'!$B$5&gt;0),C744,MIN(C744,MAX(0,'Mortgage Inputs'!$B$17-E744))))</f>
        <v/>
      </c>
      <c r="G744" s="2" t="str">
        <f t="shared" si="33"/>
        <v/>
      </c>
      <c r="H744" s="2" t="str">
        <f>IF(A744="","",IF(AND('Offset Inputs'!$B$5&gt;='Mortgage Inputs'!$B$5,'Mortgage Inputs'!$B$5&gt;0),'Offset Inputs'!$B$5-'Mortgage Inputs'!$B$5,D744+'Offset Inputs'!$B$6))</f>
        <v/>
      </c>
    </row>
    <row r="745" spans="1:8" ht="22" customHeight="1">
      <c r="A745" s="1" t="str">
        <f>IF(AND('Mortgage Inputs'!$B$12,739&lt;=IF('Mortgage Inputs'!$B$12,'Mortgage Inputs'!$B$7,0)*12+600,ISNUMBER(G744),G744&gt;0.005),739,"")</f>
        <v/>
      </c>
      <c r="B745" s="4" t="str">
        <f>IF(A745="","",DATE(YEAR('Mortgage Inputs'!$B$8),MONTH('Mortgage Inputs'!$B$8)+A745,DAY('Mortgage Inputs'!$B$8)))</f>
        <v/>
      </c>
      <c r="C745" s="2" t="str">
        <f t="shared" si="34"/>
        <v/>
      </c>
      <c r="D745" s="2" t="str">
        <f t="shared" si="35"/>
        <v/>
      </c>
      <c r="E745" s="2" t="str">
        <f>IF(A745="","",MAX(0,(C745-MIN(D745,C745))*'Mortgage Inputs'!$B$15))</f>
        <v/>
      </c>
      <c r="F745" s="2" t="str">
        <f>IF(A745="","",IF(AND('Offset Inputs'!$B$5&gt;='Mortgage Inputs'!$B$5,'Mortgage Inputs'!$B$5&gt;0),C745,MIN(C745,MAX(0,'Mortgage Inputs'!$B$17-E745))))</f>
        <v/>
      </c>
      <c r="G745" s="2" t="str">
        <f t="shared" si="33"/>
        <v/>
      </c>
      <c r="H745" s="2" t="str">
        <f>IF(A745="","",IF(AND('Offset Inputs'!$B$5&gt;='Mortgage Inputs'!$B$5,'Mortgage Inputs'!$B$5&gt;0),'Offset Inputs'!$B$5-'Mortgage Inputs'!$B$5,D745+'Offset Inputs'!$B$6))</f>
        <v/>
      </c>
    </row>
    <row r="746" spans="1:8" ht="22" customHeight="1">
      <c r="A746" s="1" t="str">
        <f>IF(AND('Mortgage Inputs'!$B$12,740&lt;=IF('Mortgage Inputs'!$B$12,'Mortgage Inputs'!$B$7,0)*12+600,ISNUMBER(G745),G745&gt;0.005),740,"")</f>
        <v/>
      </c>
      <c r="B746" s="4" t="str">
        <f>IF(A746="","",DATE(YEAR('Mortgage Inputs'!$B$8),MONTH('Mortgage Inputs'!$B$8)+A746,DAY('Mortgage Inputs'!$B$8)))</f>
        <v/>
      </c>
      <c r="C746" s="2" t="str">
        <f t="shared" si="34"/>
        <v/>
      </c>
      <c r="D746" s="2" t="str">
        <f t="shared" si="35"/>
        <v/>
      </c>
      <c r="E746" s="2" t="str">
        <f>IF(A746="","",MAX(0,(C746-MIN(D746,C746))*'Mortgage Inputs'!$B$15))</f>
        <v/>
      </c>
      <c r="F746" s="2" t="str">
        <f>IF(A746="","",IF(AND('Offset Inputs'!$B$5&gt;='Mortgage Inputs'!$B$5,'Mortgage Inputs'!$B$5&gt;0),C746,MIN(C746,MAX(0,'Mortgage Inputs'!$B$17-E746))))</f>
        <v/>
      </c>
      <c r="G746" s="2" t="str">
        <f t="shared" si="33"/>
        <v/>
      </c>
      <c r="H746" s="2" t="str">
        <f>IF(A746="","",IF(AND('Offset Inputs'!$B$5&gt;='Mortgage Inputs'!$B$5,'Mortgage Inputs'!$B$5&gt;0),'Offset Inputs'!$B$5-'Mortgage Inputs'!$B$5,D746+'Offset Inputs'!$B$6))</f>
        <v/>
      </c>
    </row>
    <row r="747" spans="1:8" ht="22" customHeight="1">
      <c r="A747" s="1" t="str">
        <f>IF(AND('Mortgage Inputs'!$B$12,741&lt;=IF('Mortgage Inputs'!$B$12,'Mortgage Inputs'!$B$7,0)*12+600,ISNUMBER(G746),G746&gt;0.005),741,"")</f>
        <v/>
      </c>
      <c r="B747" s="4" t="str">
        <f>IF(A747="","",DATE(YEAR('Mortgage Inputs'!$B$8),MONTH('Mortgage Inputs'!$B$8)+A747,DAY('Mortgage Inputs'!$B$8)))</f>
        <v/>
      </c>
      <c r="C747" s="2" t="str">
        <f t="shared" si="34"/>
        <v/>
      </c>
      <c r="D747" s="2" t="str">
        <f t="shared" si="35"/>
        <v/>
      </c>
      <c r="E747" s="2" t="str">
        <f>IF(A747="","",MAX(0,(C747-MIN(D747,C747))*'Mortgage Inputs'!$B$15))</f>
        <v/>
      </c>
      <c r="F747" s="2" t="str">
        <f>IF(A747="","",IF(AND('Offset Inputs'!$B$5&gt;='Mortgage Inputs'!$B$5,'Mortgage Inputs'!$B$5&gt;0),C747,MIN(C747,MAX(0,'Mortgage Inputs'!$B$17-E747))))</f>
        <v/>
      </c>
      <c r="G747" s="2" t="str">
        <f t="shared" si="33"/>
        <v/>
      </c>
      <c r="H747" s="2" t="str">
        <f>IF(A747="","",IF(AND('Offset Inputs'!$B$5&gt;='Mortgage Inputs'!$B$5,'Mortgage Inputs'!$B$5&gt;0),'Offset Inputs'!$B$5-'Mortgage Inputs'!$B$5,D747+'Offset Inputs'!$B$6))</f>
        <v/>
      </c>
    </row>
    <row r="748" spans="1:8" ht="22" customHeight="1">
      <c r="A748" s="1" t="str">
        <f>IF(AND('Mortgage Inputs'!$B$12,742&lt;=IF('Mortgage Inputs'!$B$12,'Mortgage Inputs'!$B$7,0)*12+600,ISNUMBER(G747),G747&gt;0.005),742,"")</f>
        <v/>
      </c>
      <c r="B748" s="4" t="str">
        <f>IF(A748="","",DATE(YEAR('Mortgage Inputs'!$B$8),MONTH('Mortgage Inputs'!$B$8)+A748,DAY('Mortgage Inputs'!$B$8)))</f>
        <v/>
      </c>
      <c r="C748" s="2" t="str">
        <f t="shared" si="34"/>
        <v/>
      </c>
      <c r="D748" s="2" t="str">
        <f t="shared" si="35"/>
        <v/>
      </c>
      <c r="E748" s="2" t="str">
        <f>IF(A748="","",MAX(0,(C748-MIN(D748,C748))*'Mortgage Inputs'!$B$15))</f>
        <v/>
      </c>
      <c r="F748" s="2" t="str">
        <f>IF(A748="","",IF(AND('Offset Inputs'!$B$5&gt;='Mortgage Inputs'!$B$5,'Mortgage Inputs'!$B$5&gt;0),C748,MIN(C748,MAX(0,'Mortgage Inputs'!$B$17-E748))))</f>
        <v/>
      </c>
      <c r="G748" s="2" t="str">
        <f t="shared" si="33"/>
        <v/>
      </c>
      <c r="H748" s="2" t="str">
        <f>IF(A748="","",IF(AND('Offset Inputs'!$B$5&gt;='Mortgage Inputs'!$B$5,'Mortgage Inputs'!$B$5&gt;0),'Offset Inputs'!$B$5-'Mortgage Inputs'!$B$5,D748+'Offset Inputs'!$B$6))</f>
        <v/>
      </c>
    </row>
    <row r="749" spans="1:8" ht="22" customHeight="1">
      <c r="A749" s="1" t="str">
        <f>IF(AND('Mortgage Inputs'!$B$12,743&lt;=IF('Mortgage Inputs'!$B$12,'Mortgage Inputs'!$B$7,0)*12+600,ISNUMBER(G748),G748&gt;0.005),743,"")</f>
        <v/>
      </c>
      <c r="B749" s="4" t="str">
        <f>IF(A749="","",DATE(YEAR('Mortgage Inputs'!$B$8),MONTH('Mortgage Inputs'!$B$8)+A749,DAY('Mortgage Inputs'!$B$8)))</f>
        <v/>
      </c>
      <c r="C749" s="2" t="str">
        <f t="shared" si="34"/>
        <v/>
      </c>
      <c r="D749" s="2" t="str">
        <f t="shared" si="35"/>
        <v/>
      </c>
      <c r="E749" s="2" t="str">
        <f>IF(A749="","",MAX(0,(C749-MIN(D749,C749))*'Mortgage Inputs'!$B$15))</f>
        <v/>
      </c>
      <c r="F749" s="2" t="str">
        <f>IF(A749="","",IF(AND('Offset Inputs'!$B$5&gt;='Mortgage Inputs'!$B$5,'Mortgage Inputs'!$B$5&gt;0),C749,MIN(C749,MAX(0,'Mortgage Inputs'!$B$17-E749))))</f>
        <v/>
      </c>
      <c r="G749" s="2" t="str">
        <f t="shared" si="33"/>
        <v/>
      </c>
      <c r="H749" s="2" t="str">
        <f>IF(A749="","",IF(AND('Offset Inputs'!$B$5&gt;='Mortgage Inputs'!$B$5,'Mortgage Inputs'!$B$5&gt;0),'Offset Inputs'!$B$5-'Mortgage Inputs'!$B$5,D749+'Offset Inputs'!$B$6))</f>
        <v/>
      </c>
    </row>
    <row r="750" spans="1:8" ht="22" customHeight="1">
      <c r="A750" s="1" t="str">
        <f>IF(AND('Mortgage Inputs'!$B$12,744&lt;=IF('Mortgage Inputs'!$B$12,'Mortgage Inputs'!$B$7,0)*12+600,ISNUMBER(G749),G749&gt;0.005),744,"")</f>
        <v/>
      </c>
      <c r="B750" s="4" t="str">
        <f>IF(A750="","",DATE(YEAR('Mortgage Inputs'!$B$8),MONTH('Mortgage Inputs'!$B$8)+A750,DAY('Mortgage Inputs'!$B$8)))</f>
        <v/>
      </c>
      <c r="C750" s="2" t="str">
        <f t="shared" si="34"/>
        <v/>
      </c>
      <c r="D750" s="2" t="str">
        <f t="shared" si="35"/>
        <v/>
      </c>
      <c r="E750" s="2" t="str">
        <f>IF(A750="","",MAX(0,(C750-MIN(D750,C750))*'Mortgage Inputs'!$B$15))</f>
        <v/>
      </c>
      <c r="F750" s="2" t="str">
        <f>IF(A750="","",IF(AND('Offset Inputs'!$B$5&gt;='Mortgage Inputs'!$B$5,'Mortgage Inputs'!$B$5&gt;0),C750,MIN(C750,MAX(0,'Mortgage Inputs'!$B$17-E750))))</f>
        <v/>
      </c>
      <c r="G750" s="2" t="str">
        <f t="shared" si="33"/>
        <v/>
      </c>
      <c r="H750" s="2" t="str">
        <f>IF(A750="","",IF(AND('Offset Inputs'!$B$5&gt;='Mortgage Inputs'!$B$5,'Mortgage Inputs'!$B$5&gt;0),'Offset Inputs'!$B$5-'Mortgage Inputs'!$B$5,D750+'Offset Inputs'!$B$6))</f>
        <v/>
      </c>
    </row>
    <row r="751" spans="1:8" ht="22" customHeight="1">
      <c r="A751" s="1" t="str">
        <f>IF(AND('Mortgage Inputs'!$B$12,745&lt;=IF('Mortgage Inputs'!$B$12,'Mortgage Inputs'!$B$7,0)*12+600,ISNUMBER(G750),G750&gt;0.005),745,"")</f>
        <v/>
      </c>
      <c r="B751" s="4" t="str">
        <f>IF(A751="","",DATE(YEAR('Mortgage Inputs'!$B$8),MONTH('Mortgage Inputs'!$B$8)+A751,DAY('Mortgage Inputs'!$B$8)))</f>
        <v/>
      </c>
      <c r="C751" s="2" t="str">
        <f t="shared" si="34"/>
        <v/>
      </c>
      <c r="D751" s="2" t="str">
        <f t="shared" si="35"/>
        <v/>
      </c>
      <c r="E751" s="2" t="str">
        <f>IF(A751="","",MAX(0,(C751-MIN(D751,C751))*'Mortgage Inputs'!$B$15))</f>
        <v/>
      </c>
      <c r="F751" s="2" t="str">
        <f>IF(A751="","",IF(AND('Offset Inputs'!$B$5&gt;='Mortgage Inputs'!$B$5,'Mortgage Inputs'!$B$5&gt;0),C751,MIN(C751,MAX(0,'Mortgage Inputs'!$B$17-E751))))</f>
        <v/>
      </c>
      <c r="G751" s="2" t="str">
        <f t="shared" si="33"/>
        <v/>
      </c>
      <c r="H751" s="2" t="str">
        <f>IF(A751="","",IF(AND('Offset Inputs'!$B$5&gt;='Mortgage Inputs'!$B$5,'Mortgage Inputs'!$B$5&gt;0),'Offset Inputs'!$B$5-'Mortgage Inputs'!$B$5,D751+'Offset Inputs'!$B$6))</f>
        <v/>
      </c>
    </row>
    <row r="752" spans="1:8" ht="22" customHeight="1">
      <c r="A752" s="1" t="str">
        <f>IF(AND('Mortgage Inputs'!$B$12,746&lt;=IF('Mortgage Inputs'!$B$12,'Mortgage Inputs'!$B$7,0)*12+600,ISNUMBER(G751),G751&gt;0.005),746,"")</f>
        <v/>
      </c>
      <c r="B752" s="4" t="str">
        <f>IF(A752="","",DATE(YEAR('Mortgage Inputs'!$B$8),MONTH('Mortgage Inputs'!$B$8)+A752,DAY('Mortgage Inputs'!$B$8)))</f>
        <v/>
      </c>
      <c r="C752" s="2" t="str">
        <f t="shared" si="34"/>
        <v/>
      </c>
      <c r="D752" s="2" t="str">
        <f t="shared" si="35"/>
        <v/>
      </c>
      <c r="E752" s="2" t="str">
        <f>IF(A752="","",MAX(0,(C752-MIN(D752,C752))*'Mortgage Inputs'!$B$15))</f>
        <v/>
      </c>
      <c r="F752" s="2" t="str">
        <f>IF(A752="","",IF(AND('Offset Inputs'!$B$5&gt;='Mortgage Inputs'!$B$5,'Mortgage Inputs'!$B$5&gt;0),C752,MIN(C752,MAX(0,'Mortgage Inputs'!$B$17-E752))))</f>
        <v/>
      </c>
      <c r="G752" s="2" t="str">
        <f t="shared" si="33"/>
        <v/>
      </c>
      <c r="H752" s="2" t="str">
        <f>IF(A752="","",IF(AND('Offset Inputs'!$B$5&gt;='Mortgage Inputs'!$B$5,'Mortgage Inputs'!$B$5&gt;0),'Offset Inputs'!$B$5-'Mortgage Inputs'!$B$5,D752+'Offset Inputs'!$B$6))</f>
        <v/>
      </c>
    </row>
    <row r="753" spans="1:8" ht="22" customHeight="1">
      <c r="A753" s="1" t="str">
        <f>IF(AND('Mortgage Inputs'!$B$12,747&lt;=IF('Mortgage Inputs'!$B$12,'Mortgage Inputs'!$B$7,0)*12+600,ISNUMBER(G752),G752&gt;0.005),747,"")</f>
        <v/>
      </c>
      <c r="B753" s="4" t="str">
        <f>IF(A753="","",DATE(YEAR('Mortgage Inputs'!$B$8),MONTH('Mortgage Inputs'!$B$8)+A753,DAY('Mortgage Inputs'!$B$8)))</f>
        <v/>
      </c>
      <c r="C753" s="2" t="str">
        <f t="shared" si="34"/>
        <v/>
      </c>
      <c r="D753" s="2" t="str">
        <f t="shared" si="35"/>
        <v/>
      </c>
      <c r="E753" s="2" t="str">
        <f>IF(A753="","",MAX(0,(C753-MIN(D753,C753))*'Mortgage Inputs'!$B$15))</f>
        <v/>
      </c>
      <c r="F753" s="2" t="str">
        <f>IF(A753="","",IF(AND('Offset Inputs'!$B$5&gt;='Mortgage Inputs'!$B$5,'Mortgage Inputs'!$B$5&gt;0),C753,MIN(C753,MAX(0,'Mortgage Inputs'!$B$17-E753))))</f>
        <v/>
      </c>
      <c r="G753" s="2" t="str">
        <f t="shared" si="33"/>
        <v/>
      </c>
      <c r="H753" s="2" t="str">
        <f>IF(A753="","",IF(AND('Offset Inputs'!$B$5&gt;='Mortgage Inputs'!$B$5,'Mortgage Inputs'!$B$5&gt;0),'Offset Inputs'!$B$5-'Mortgage Inputs'!$B$5,D753+'Offset Inputs'!$B$6))</f>
        <v/>
      </c>
    </row>
    <row r="754" spans="1:8" ht="22" customHeight="1">
      <c r="A754" s="1" t="str">
        <f>IF(AND('Mortgage Inputs'!$B$12,748&lt;=IF('Mortgage Inputs'!$B$12,'Mortgage Inputs'!$B$7,0)*12+600,ISNUMBER(G753),G753&gt;0.005),748,"")</f>
        <v/>
      </c>
      <c r="B754" s="4" t="str">
        <f>IF(A754="","",DATE(YEAR('Mortgage Inputs'!$B$8),MONTH('Mortgage Inputs'!$B$8)+A754,DAY('Mortgage Inputs'!$B$8)))</f>
        <v/>
      </c>
      <c r="C754" s="2" t="str">
        <f t="shared" si="34"/>
        <v/>
      </c>
      <c r="D754" s="2" t="str">
        <f t="shared" si="35"/>
        <v/>
      </c>
      <c r="E754" s="2" t="str">
        <f>IF(A754="","",MAX(0,(C754-MIN(D754,C754))*'Mortgage Inputs'!$B$15))</f>
        <v/>
      </c>
      <c r="F754" s="2" t="str">
        <f>IF(A754="","",IF(AND('Offset Inputs'!$B$5&gt;='Mortgage Inputs'!$B$5,'Mortgage Inputs'!$B$5&gt;0),C754,MIN(C754,MAX(0,'Mortgage Inputs'!$B$17-E754))))</f>
        <v/>
      </c>
      <c r="G754" s="2" t="str">
        <f t="shared" si="33"/>
        <v/>
      </c>
      <c r="H754" s="2" t="str">
        <f>IF(A754="","",IF(AND('Offset Inputs'!$B$5&gt;='Mortgage Inputs'!$B$5,'Mortgage Inputs'!$B$5&gt;0),'Offset Inputs'!$B$5-'Mortgage Inputs'!$B$5,D754+'Offset Inputs'!$B$6))</f>
        <v/>
      </c>
    </row>
    <row r="755" spans="1:8" ht="22" customHeight="1">
      <c r="A755" s="1" t="str">
        <f>IF(AND('Mortgage Inputs'!$B$12,749&lt;=IF('Mortgage Inputs'!$B$12,'Mortgage Inputs'!$B$7,0)*12+600,ISNUMBER(G754),G754&gt;0.005),749,"")</f>
        <v/>
      </c>
      <c r="B755" s="4" t="str">
        <f>IF(A755="","",DATE(YEAR('Mortgage Inputs'!$B$8),MONTH('Mortgage Inputs'!$B$8)+A755,DAY('Mortgage Inputs'!$B$8)))</f>
        <v/>
      </c>
      <c r="C755" s="2" t="str">
        <f t="shared" si="34"/>
        <v/>
      </c>
      <c r="D755" s="2" t="str">
        <f t="shared" si="35"/>
        <v/>
      </c>
      <c r="E755" s="2" t="str">
        <f>IF(A755="","",MAX(0,(C755-MIN(D755,C755))*'Mortgage Inputs'!$B$15))</f>
        <v/>
      </c>
      <c r="F755" s="2" t="str">
        <f>IF(A755="","",IF(AND('Offset Inputs'!$B$5&gt;='Mortgage Inputs'!$B$5,'Mortgage Inputs'!$B$5&gt;0),C755,MIN(C755,MAX(0,'Mortgage Inputs'!$B$17-E755))))</f>
        <v/>
      </c>
      <c r="G755" s="2" t="str">
        <f t="shared" si="33"/>
        <v/>
      </c>
      <c r="H755" s="2" t="str">
        <f>IF(A755="","",IF(AND('Offset Inputs'!$B$5&gt;='Mortgage Inputs'!$B$5,'Mortgage Inputs'!$B$5&gt;0),'Offset Inputs'!$B$5-'Mortgage Inputs'!$B$5,D755+'Offset Inputs'!$B$6))</f>
        <v/>
      </c>
    </row>
    <row r="756" spans="1:8" ht="22" customHeight="1">
      <c r="A756" s="1" t="str">
        <f>IF(AND('Mortgage Inputs'!$B$12,750&lt;=IF('Mortgage Inputs'!$B$12,'Mortgage Inputs'!$B$7,0)*12+600,ISNUMBER(G755),G755&gt;0.005),750,"")</f>
        <v/>
      </c>
      <c r="B756" s="4" t="str">
        <f>IF(A756="","",DATE(YEAR('Mortgage Inputs'!$B$8),MONTH('Mortgage Inputs'!$B$8)+A756,DAY('Mortgage Inputs'!$B$8)))</f>
        <v/>
      </c>
      <c r="C756" s="2" t="str">
        <f t="shared" si="34"/>
        <v/>
      </c>
      <c r="D756" s="2" t="str">
        <f t="shared" si="35"/>
        <v/>
      </c>
      <c r="E756" s="2" t="str">
        <f>IF(A756="","",MAX(0,(C756-MIN(D756,C756))*'Mortgage Inputs'!$B$15))</f>
        <v/>
      </c>
      <c r="F756" s="2" t="str">
        <f>IF(A756="","",IF(AND('Offset Inputs'!$B$5&gt;='Mortgage Inputs'!$B$5,'Mortgage Inputs'!$B$5&gt;0),C756,MIN(C756,MAX(0,'Mortgage Inputs'!$B$17-E756))))</f>
        <v/>
      </c>
      <c r="G756" s="2" t="str">
        <f t="shared" si="33"/>
        <v/>
      </c>
      <c r="H756" s="2" t="str">
        <f>IF(A756="","",IF(AND('Offset Inputs'!$B$5&gt;='Mortgage Inputs'!$B$5,'Mortgage Inputs'!$B$5&gt;0),'Offset Inputs'!$B$5-'Mortgage Inputs'!$B$5,D756+'Offset Inputs'!$B$6))</f>
        <v/>
      </c>
    </row>
    <row r="757" spans="1:8" ht="22" customHeight="1">
      <c r="A757" s="1" t="str">
        <f>IF(AND('Mortgage Inputs'!$B$12,751&lt;=IF('Mortgage Inputs'!$B$12,'Mortgage Inputs'!$B$7,0)*12+600,ISNUMBER(G756),G756&gt;0.005),751,"")</f>
        <v/>
      </c>
      <c r="B757" s="4" t="str">
        <f>IF(A757="","",DATE(YEAR('Mortgage Inputs'!$B$8),MONTH('Mortgage Inputs'!$B$8)+A757,DAY('Mortgage Inputs'!$B$8)))</f>
        <v/>
      </c>
      <c r="C757" s="2" t="str">
        <f t="shared" si="34"/>
        <v/>
      </c>
      <c r="D757" s="2" t="str">
        <f t="shared" si="35"/>
        <v/>
      </c>
      <c r="E757" s="2" t="str">
        <f>IF(A757="","",MAX(0,(C757-MIN(D757,C757))*'Mortgage Inputs'!$B$15))</f>
        <v/>
      </c>
      <c r="F757" s="2" t="str">
        <f>IF(A757="","",IF(AND('Offset Inputs'!$B$5&gt;='Mortgage Inputs'!$B$5,'Mortgage Inputs'!$B$5&gt;0),C757,MIN(C757,MAX(0,'Mortgage Inputs'!$B$17-E757))))</f>
        <v/>
      </c>
      <c r="G757" s="2" t="str">
        <f t="shared" si="33"/>
        <v/>
      </c>
      <c r="H757" s="2" t="str">
        <f>IF(A757="","",IF(AND('Offset Inputs'!$B$5&gt;='Mortgage Inputs'!$B$5,'Mortgage Inputs'!$B$5&gt;0),'Offset Inputs'!$B$5-'Mortgage Inputs'!$B$5,D757+'Offset Inputs'!$B$6))</f>
        <v/>
      </c>
    </row>
    <row r="758" spans="1:8" ht="22" customHeight="1">
      <c r="A758" s="1" t="str">
        <f>IF(AND('Mortgage Inputs'!$B$12,752&lt;=IF('Mortgage Inputs'!$B$12,'Mortgage Inputs'!$B$7,0)*12+600,ISNUMBER(G757),G757&gt;0.005),752,"")</f>
        <v/>
      </c>
      <c r="B758" s="4" t="str">
        <f>IF(A758="","",DATE(YEAR('Mortgage Inputs'!$B$8),MONTH('Mortgage Inputs'!$B$8)+A758,DAY('Mortgage Inputs'!$B$8)))</f>
        <v/>
      </c>
      <c r="C758" s="2" t="str">
        <f t="shared" si="34"/>
        <v/>
      </c>
      <c r="D758" s="2" t="str">
        <f t="shared" si="35"/>
        <v/>
      </c>
      <c r="E758" s="2" t="str">
        <f>IF(A758="","",MAX(0,(C758-MIN(D758,C758))*'Mortgage Inputs'!$B$15))</f>
        <v/>
      </c>
      <c r="F758" s="2" t="str">
        <f>IF(A758="","",IF(AND('Offset Inputs'!$B$5&gt;='Mortgage Inputs'!$B$5,'Mortgage Inputs'!$B$5&gt;0),C758,MIN(C758,MAX(0,'Mortgage Inputs'!$B$17-E758))))</f>
        <v/>
      </c>
      <c r="G758" s="2" t="str">
        <f t="shared" si="33"/>
        <v/>
      </c>
      <c r="H758" s="2" t="str">
        <f>IF(A758="","",IF(AND('Offset Inputs'!$B$5&gt;='Mortgage Inputs'!$B$5,'Mortgage Inputs'!$B$5&gt;0),'Offset Inputs'!$B$5-'Mortgage Inputs'!$B$5,D758+'Offset Inputs'!$B$6))</f>
        <v/>
      </c>
    </row>
    <row r="759" spans="1:8" ht="22" customHeight="1">
      <c r="A759" s="1" t="str">
        <f>IF(AND('Mortgage Inputs'!$B$12,753&lt;=IF('Mortgage Inputs'!$B$12,'Mortgage Inputs'!$B$7,0)*12+600,ISNUMBER(G758),G758&gt;0.005),753,"")</f>
        <v/>
      </c>
      <c r="B759" s="4" t="str">
        <f>IF(A759="","",DATE(YEAR('Mortgage Inputs'!$B$8),MONTH('Mortgage Inputs'!$B$8)+A759,DAY('Mortgage Inputs'!$B$8)))</f>
        <v/>
      </c>
      <c r="C759" s="2" t="str">
        <f t="shared" si="34"/>
        <v/>
      </c>
      <c r="D759" s="2" t="str">
        <f t="shared" si="35"/>
        <v/>
      </c>
      <c r="E759" s="2" t="str">
        <f>IF(A759="","",MAX(0,(C759-MIN(D759,C759))*'Mortgage Inputs'!$B$15))</f>
        <v/>
      </c>
      <c r="F759" s="2" t="str">
        <f>IF(A759="","",IF(AND('Offset Inputs'!$B$5&gt;='Mortgage Inputs'!$B$5,'Mortgage Inputs'!$B$5&gt;0),C759,MIN(C759,MAX(0,'Mortgage Inputs'!$B$17-E759))))</f>
        <v/>
      </c>
      <c r="G759" s="2" t="str">
        <f t="shared" si="33"/>
        <v/>
      </c>
      <c r="H759" s="2" t="str">
        <f>IF(A759="","",IF(AND('Offset Inputs'!$B$5&gt;='Mortgage Inputs'!$B$5,'Mortgage Inputs'!$B$5&gt;0),'Offset Inputs'!$B$5-'Mortgage Inputs'!$B$5,D759+'Offset Inputs'!$B$6))</f>
        <v/>
      </c>
    </row>
    <row r="760" spans="1:8" ht="22" customHeight="1">
      <c r="A760" s="1" t="str">
        <f>IF(AND('Mortgage Inputs'!$B$12,754&lt;=IF('Mortgage Inputs'!$B$12,'Mortgage Inputs'!$B$7,0)*12+600,ISNUMBER(G759),G759&gt;0.005),754,"")</f>
        <v/>
      </c>
      <c r="B760" s="4" t="str">
        <f>IF(A760="","",DATE(YEAR('Mortgage Inputs'!$B$8),MONTH('Mortgage Inputs'!$B$8)+A760,DAY('Mortgage Inputs'!$B$8)))</f>
        <v/>
      </c>
      <c r="C760" s="2" t="str">
        <f t="shared" si="34"/>
        <v/>
      </c>
      <c r="D760" s="2" t="str">
        <f t="shared" si="35"/>
        <v/>
      </c>
      <c r="E760" s="2" t="str">
        <f>IF(A760="","",MAX(0,(C760-MIN(D760,C760))*'Mortgage Inputs'!$B$15))</f>
        <v/>
      </c>
      <c r="F760" s="2" t="str">
        <f>IF(A760="","",IF(AND('Offset Inputs'!$B$5&gt;='Mortgage Inputs'!$B$5,'Mortgage Inputs'!$B$5&gt;0),C760,MIN(C760,MAX(0,'Mortgage Inputs'!$B$17-E760))))</f>
        <v/>
      </c>
      <c r="G760" s="2" t="str">
        <f t="shared" si="33"/>
        <v/>
      </c>
      <c r="H760" s="2" t="str">
        <f>IF(A760="","",IF(AND('Offset Inputs'!$B$5&gt;='Mortgage Inputs'!$B$5,'Mortgage Inputs'!$B$5&gt;0),'Offset Inputs'!$B$5-'Mortgage Inputs'!$B$5,D760+'Offset Inputs'!$B$6))</f>
        <v/>
      </c>
    </row>
    <row r="761" spans="1:8" ht="22" customHeight="1">
      <c r="A761" s="1" t="str">
        <f>IF(AND('Mortgage Inputs'!$B$12,755&lt;=IF('Mortgage Inputs'!$B$12,'Mortgage Inputs'!$B$7,0)*12+600,ISNUMBER(G760),G760&gt;0.005),755,"")</f>
        <v/>
      </c>
      <c r="B761" s="4" t="str">
        <f>IF(A761="","",DATE(YEAR('Mortgage Inputs'!$B$8),MONTH('Mortgage Inputs'!$B$8)+A761,DAY('Mortgage Inputs'!$B$8)))</f>
        <v/>
      </c>
      <c r="C761" s="2" t="str">
        <f t="shared" si="34"/>
        <v/>
      </c>
      <c r="D761" s="2" t="str">
        <f t="shared" si="35"/>
        <v/>
      </c>
      <c r="E761" s="2" t="str">
        <f>IF(A761="","",MAX(0,(C761-MIN(D761,C761))*'Mortgage Inputs'!$B$15))</f>
        <v/>
      </c>
      <c r="F761" s="2" t="str">
        <f>IF(A761="","",IF(AND('Offset Inputs'!$B$5&gt;='Mortgage Inputs'!$B$5,'Mortgage Inputs'!$B$5&gt;0),C761,MIN(C761,MAX(0,'Mortgage Inputs'!$B$17-E761))))</f>
        <v/>
      </c>
      <c r="G761" s="2" t="str">
        <f t="shared" si="33"/>
        <v/>
      </c>
      <c r="H761" s="2" t="str">
        <f>IF(A761="","",IF(AND('Offset Inputs'!$B$5&gt;='Mortgage Inputs'!$B$5,'Mortgage Inputs'!$B$5&gt;0),'Offset Inputs'!$B$5-'Mortgage Inputs'!$B$5,D761+'Offset Inputs'!$B$6))</f>
        <v/>
      </c>
    </row>
    <row r="762" spans="1:8" ht="22" customHeight="1">
      <c r="A762" s="1" t="str">
        <f>IF(AND('Mortgage Inputs'!$B$12,756&lt;=IF('Mortgage Inputs'!$B$12,'Mortgage Inputs'!$B$7,0)*12+600,ISNUMBER(G761),G761&gt;0.005),756,"")</f>
        <v/>
      </c>
      <c r="B762" s="4" t="str">
        <f>IF(A762="","",DATE(YEAR('Mortgage Inputs'!$B$8),MONTH('Mortgage Inputs'!$B$8)+A762,DAY('Mortgage Inputs'!$B$8)))</f>
        <v/>
      </c>
      <c r="C762" s="2" t="str">
        <f t="shared" si="34"/>
        <v/>
      </c>
      <c r="D762" s="2" t="str">
        <f t="shared" si="35"/>
        <v/>
      </c>
      <c r="E762" s="2" t="str">
        <f>IF(A762="","",MAX(0,(C762-MIN(D762,C762))*'Mortgage Inputs'!$B$15))</f>
        <v/>
      </c>
      <c r="F762" s="2" t="str">
        <f>IF(A762="","",IF(AND('Offset Inputs'!$B$5&gt;='Mortgage Inputs'!$B$5,'Mortgage Inputs'!$B$5&gt;0),C762,MIN(C762,MAX(0,'Mortgage Inputs'!$B$17-E762))))</f>
        <v/>
      </c>
      <c r="G762" s="2" t="str">
        <f t="shared" si="33"/>
        <v/>
      </c>
      <c r="H762" s="2" t="str">
        <f>IF(A762="","",IF(AND('Offset Inputs'!$B$5&gt;='Mortgage Inputs'!$B$5,'Mortgage Inputs'!$B$5&gt;0),'Offset Inputs'!$B$5-'Mortgage Inputs'!$B$5,D762+'Offset Inputs'!$B$6))</f>
        <v/>
      </c>
    </row>
    <row r="763" spans="1:8" ht="22" customHeight="1">
      <c r="A763" s="1" t="str">
        <f>IF(AND('Mortgage Inputs'!$B$12,757&lt;=IF('Mortgage Inputs'!$B$12,'Mortgage Inputs'!$B$7,0)*12+600,ISNUMBER(G762),G762&gt;0.005),757,"")</f>
        <v/>
      </c>
      <c r="B763" s="4" t="str">
        <f>IF(A763="","",DATE(YEAR('Mortgage Inputs'!$B$8),MONTH('Mortgage Inputs'!$B$8)+A763,DAY('Mortgage Inputs'!$B$8)))</f>
        <v/>
      </c>
      <c r="C763" s="2" t="str">
        <f t="shared" si="34"/>
        <v/>
      </c>
      <c r="D763" s="2" t="str">
        <f t="shared" si="35"/>
        <v/>
      </c>
      <c r="E763" s="2" t="str">
        <f>IF(A763="","",MAX(0,(C763-MIN(D763,C763))*'Mortgage Inputs'!$B$15))</f>
        <v/>
      </c>
      <c r="F763" s="2" t="str">
        <f>IF(A763="","",IF(AND('Offset Inputs'!$B$5&gt;='Mortgage Inputs'!$B$5,'Mortgage Inputs'!$B$5&gt;0),C763,MIN(C763,MAX(0,'Mortgage Inputs'!$B$17-E763))))</f>
        <v/>
      </c>
      <c r="G763" s="2" t="str">
        <f t="shared" si="33"/>
        <v/>
      </c>
      <c r="H763" s="2" t="str">
        <f>IF(A763="","",IF(AND('Offset Inputs'!$B$5&gt;='Mortgage Inputs'!$B$5,'Mortgage Inputs'!$B$5&gt;0),'Offset Inputs'!$B$5-'Mortgage Inputs'!$B$5,D763+'Offset Inputs'!$B$6))</f>
        <v/>
      </c>
    </row>
    <row r="764" spans="1:8" ht="22" customHeight="1">
      <c r="A764" s="1" t="str">
        <f>IF(AND('Mortgage Inputs'!$B$12,758&lt;=IF('Mortgage Inputs'!$B$12,'Mortgage Inputs'!$B$7,0)*12+600,ISNUMBER(G763),G763&gt;0.005),758,"")</f>
        <v/>
      </c>
      <c r="B764" s="4" t="str">
        <f>IF(A764="","",DATE(YEAR('Mortgage Inputs'!$B$8),MONTH('Mortgage Inputs'!$B$8)+A764,DAY('Mortgage Inputs'!$B$8)))</f>
        <v/>
      </c>
      <c r="C764" s="2" t="str">
        <f t="shared" si="34"/>
        <v/>
      </c>
      <c r="D764" s="2" t="str">
        <f t="shared" si="35"/>
        <v/>
      </c>
      <c r="E764" s="2" t="str">
        <f>IF(A764="","",MAX(0,(C764-MIN(D764,C764))*'Mortgage Inputs'!$B$15))</f>
        <v/>
      </c>
      <c r="F764" s="2" t="str">
        <f>IF(A764="","",IF(AND('Offset Inputs'!$B$5&gt;='Mortgage Inputs'!$B$5,'Mortgage Inputs'!$B$5&gt;0),C764,MIN(C764,MAX(0,'Mortgage Inputs'!$B$17-E764))))</f>
        <v/>
      </c>
      <c r="G764" s="2" t="str">
        <f t="shared" si="33"/>
        <v/>
      </c>
      <c r="H764" s="2" t="str">
        <f>IF(A764="","",IF(AND('Offset Inputs'!$B$5&gt;='Mortgage Inputs'!$B$5,'Mortgage Inputs'!$B$5&gt;0),'Offset Inputs'!$B$5-'Mortgage Inputs'!$B$5,D764+'Offset Inputs'!$B$6))</f>
        <v/>
      </c>
    </row>
    <row r="765" spans="1:8" ht="22" customHeight="1">
      <c r="A765" s="1" t="str">
        <f>IF(AND('Mortgage Inputs'!$B$12,759&lt;=IF('Mortgage Inputs'!$B$12,'Mortgage Inputs'!$B$7,0)*12+600,ISNUMBER(G764),G764&gt;0.005),759,"")</f>
        <v/>
      </c>
      <c r="B765" s="4" t="str">
        <f>IF(A765="","",DATE(YEAR('Mortgage Inputs'!$B$8),MONTH('Mortgage Inputs'!$B$8)+A765,DAY('Mortgage Inputs'!$B$8)))</f>
        <v/>
      </c>
      <c r="C765" s="2" t="str">
        <f t="shared" si="34"/>
        <v/>
      </c>
      <c r="D765" s="2" t="str">
        <f t="shared" si="35"/>
        <v/>
      </c>
      <c r="E765" s="2" t="str">
        <f>IF(A765="","",MAX(0,(C765-MIN(D765,C765))*'Mortgage Inputs'!$B$15))</f>
        <v/>
      </c>
      <c r="F765" s="2" t="str">
        <f>IF(A765="","",IF(AND('Offset Inputs'!$B$5&gt;='Mortgage Inputs'!$B$5,'Mortgage Inputs'!$B$5&gt;0),C765,MIN(C765,MAX(0,'Mortgage Inputs'!$B$17-E765))))</f>
        <v/>
      </c>
      <c r="G765" s="2" t="str">
        <f t="shared" si="33"/>
        <v/>
      </c>
      <c r="H765" s="2" t="str">
        <f>IF(A765="","",IF(AND('Offset Inputs'!$B$5&gt;='Mortgage Inputs'!$B$5,'Mortgage Inputs'!$B$5&gt;0),'Offset Inputs'!$B$5-'Mortgage Inputs'!$B$5,D765+'Offset Inputs'!$B$6))</f>
        <v/>
      </c>
    </row>
    <row r="766" spans="1:8" ht="22" customHeight="1">
      <c r="A766" s="1" t="str">
        <f>IF(AND('Mortgage Inputs'!$B$12,760&lt;=IF('Mortgage Inputs'!$B$12,'Mortgage Inputs'!$B$7,0)*12+600,ISNUMBER(G765),G765&gt;0.005),760,"")</f>
        <v/>
      </c>
      <c r="B766" s="4" t="str">
        <f>IF(A766="","",DATE(YEAR('Mortgage Inputs'!$B$8),MONTH('Mortgage Inputs'!$B$8)+A766,DAY('Mortgage Inputs'!$B$8)))</f>
        <v/>
      </c>
      <c r="C766" s="2" t="str">
        <f t="shared" si="34"/>
        <v/>
      </c>
      <c r="D766" s="2" t="str">
        <f t="shared" si="35"/>
        <v/>
      </c>
      <c r="E766" s="2" t="str">
        <f>IF(A766="","",MAX(0,(C766-MIN(D766,C766))*'Mortgage Inputs'!$B$15))</f>
        <v/>
      </c>
      <c r="F766" s="2" t="str">
        <f>IF(A766="","",IF(AND('Offset Inputs'!$B$5&gt;='Mortgage Inputs'!$B$5,'Mortgage Inputs'!$B$5&gt;0),C766,MIN(C766,MAX(0,'Mortgage Inputs'!$B$17-E766))))</f>
        <v/>
      </c>
      <c r="G766" s="2" t="str">
        <f t="shared" si="33"/>
        <v/>
      </c>
      <c r="H766" s="2" t="str">
        <f>IF(A766="","",IF(AND('Offset Inputs'!$B$5&gt;='Mortgage Inputs'!$B$5,'Mortgage Inputs'!$B$5&gt;0),'Offset Inputs'!$B$5-'Mortgage Inputs'!$B$5,D766+'Offset Inputs'!$B$6))</f>
        <v/>
      </c>
    </row>
    <row r="767" spans="1:8" ht="22" customHeight="1">
      <c r="A767" s="1" t="str">
        <f>IF(AND('Mortgage Inputs'!$B$12,761&lt;=IF('Mortgage Inputs'!$B$12,'Mortgage Inputs'!$B$7,0)*12+600,ISNUMBER(G766),G766&gt;0.005),761,"")</f>
        <v/>
      </c>
      <c r="B767" s="4" t="str">
        <f>IF(A767="","",DATE(YEAR('Mortgage Inputs'!$B$8),MONTH('Mortgage Inputs'!$B$8)+A767,DAY('Mortgage Inputs'!$B$8)))</f>
        <v/>
      </c>
      <c r="C767" s="2" t="str">
        <f t="shared" si="34"/>
        <v/>
      </c>
      <c r="D767" s="2" t="str">
        <f t="shared" si="35"/>
        <v/>
      </c>
      <c r="E767" s="2" t="str">
        <f>IF(A767="","",MAX(0,(C767-MIN(D767,C767))*'Mortgage Inputs'!$B$15))</f>
        <v/>
      </c>
      <c r="F767" s="2" t="str">
        <f>IF(A767="","",IF(AND('Offset Inputs'!$B$5&gt;='Mortgage Inputs'!$B$5,'Mortgage Inputs'!$B$5&gt;0),C767,MIN(C767,MAX(0,'Mortgage Inputs'!$B$17-E767))))</f>
        <v/>
      </c>
      <c r="G767" s="2" t="str">
        <f t="shared" si="33"/>
        <v/>
      </c>
      <c r="H767" s="2" t="str">
        <f>IF(A767="","",IF(AND('Offset Inputs'!$B$5&gt;='Mortgage Inputs'!$B$5,'Mortgage Inputs'!$B$5&gt;0),'Offset Inputs'!$B$5-'Mortgage Inputs'!$B$5,D767+'Offset Inputs'!$B$6))</f>
        <v/>
      </c>
    </row>
    <row r="768" spans="1:8" ht="22" customHeight="1">
      <c r="A768" s="1" t="str">
        <f>IF(AND('Mortgage Inputs'!$B$12,762&lt;=IF('Mortgage Inputs'!$B$12,'Mortgage Inputs'!$B$7,0)*12+600,ISNUMBER(G767),G767&gt;0.005),762,"")</f>
        <v/>
      </c>
      <c r="B768" s="4" t="str">
        <f>IF(A768="","",DATE(YEAR('Mortgage Inputs'!$B$8),MONTH('Mortgage Inputs'!$B$8)+A768,DAY('Mortgage Inputs'!$B$8)))</f>
        <v/>
      </c>
      <c r="C768" s="2" t="str">
        <f t="shared" si="34"/>
        <v/>
      </c>
      <c r="D768" s="2" t="str">
        <f t="shared" si="35"/>
        <v/>
      </c>
      <c r="E768" s="2" t="str">
        <f>IF(A768="","",MAX(0,(C768-MIN(D768,C768))*'Mortgage Inputs'!$B$15))</f>
        <v/>
      </c>
      <c r="F768" s="2" t="str">
        <f>IF(A768="","",IF(AND('Offset Inputs'!$B$5&gt;='Mortgage Inputs'!$B$5,'Mortgage Inputs'!$B$5&gt;0),C768,MIN(C768,MAX(0,'Mortgage Inputs'!$B$17-E768))))</f>
        <v/>
      </c>
      <c r="G768" s="2" t="str">
        <f t="shared" si="33"/>
        <v/>
      </c>
      <c r="H768" s="2" t="str">
        <f>IF(A768="","",IF(AND('Offset Inputs'!$B$5&gt;='Mortgage Inputs'!$B$5,'Mortgage Inputs'!$B$5&gt;0),'Offset Inputs'!$B$5-'Mortgage Inputs'!$B$5,D768+'Offset Inputs'!$B$6))</f>
        <v/>
      </c>
    </row>
    <row r="769" spans="1:8" ht="22" customHeight="1">
      <c r="A769" s="1" t="str">
        <f>IF(AND('Mortgage Inputs'!$B$12,763&lt;=IF('Mortgage Inputs'!$B$12,'Mortgage Inputs'!$B$7,0)*12+600,ISNUMBER(G768),G768&gt;0.005),763,"")</f>
        <v/>
      </c>
      <c r="B769" s="4" t="str">
        <f>IF(A769="","",DATE(YEAR('Mortgage Inputs'!$B$8),MONTH('Mortgage Inputs'!$B$8)+A769,DAY('Mortgage Inputs'!$B$8)))</f>
        <v/>
      </c>
      <c r="C769" s="2" t="str">
        <f t="shared" si="34"/>
        <v/>
      </c>
      <c r="D769" s="2" t="str">
        <f t="shared" si="35"/>
        <v/>
      </c>
      <c r="E769" s="2" t="str">
        <f>IF(A769="","",MAX(0,(C769-MIN(D769,C769))*'Mortgage Inputs'!$B$15))</f>
        <v/>
      </c>
      <c r="F769" s="2" t="str">
        <f>IF(A769="","",IF(AND('Offset Inputs'!$B$5&gt;='Mortgage Inputs'!$B$5,'Mortgage Inputs'!$B$5&gt;0),C769,MIN(C769,MAX(0,'Mortgage Inputs'!$B$17-E769))))</f>
        <v/>
      </c>
      <c r="G769" s="2" t="str">
        <f t="shared" si="33"/>
        <v/>
      </c>
      <c r="H769" s="2" t="str">
        <f>IF(A769="","",IF(AND('Offset Inputs'!$B$5&gt;='Mortgage Inputs'!$B$5,'Mortgage Inputs'!$B$5&gt;0),'Offset Inputs'!$B$5-'Mortgage Inputs'!$B$5,D769+'Offset Inputs'!$B$6))</f>
        <v/>
      </c>
    </row>
    <row r="770" spans="1:8" ht="22" customHeight="1">
      <c r="A770" s="1" t="str">
        <f>IF(AND('Mortgage Inputs'!$B$12,764&lt;=IF('Mortgage Inputs'!$B$12,'Mortgage Inputs'!$B$7,0)*12+600,ISNUMBER(G769),G769&gt;0.005),764,"")</f>
        <v/>
      </c>
      <c r="B770" s="4" t="str">
        <f>IF(A770="","",DATE(YEAR('Mortgage Inputs'!$B$8),MONTH('Mortgage Inputs'!$B$8)+A770,DAY('Mortgage Inputs'!$B$8)))</f>
        <v/>
      </c>
      <c r="C770" s="2" t="str">
        <f t="shared" si="34"/>
        <v/>
      </c>
      <c r="D770" s="2" t="str">
        <f t="shared" si="35"/>
        <v/>
      </c>
      <c r="E770" s="2" t="str">
        <f>IF(A770="","",MAX(0,(C770-MIN(D770,C770))*'Mortgage Inputs'!$B$15))</f>
        <v/>
      </c>
      <c r="F770" s="2" t="str">
        <f>IF(A770="","",IF(AND('Offset Inputs'!$B$5&gt;='Mortgage Inputs'!$B$5,'Mortgage Inputs'!$B$5&gt;0),C770,MIN(C770,MAX(0,'Mortgage Inputs'!$B$17-E770))))</f>
        <v/>
      </c>
      <c r="G770" s="2" t="str">
        <f t="shared" si="33"/>
        <v/>
      </c>
      <c r="H770" s="2" t="str">
        <f>IF(A770="","",IF(AND('Offset Inputs'!$B$5&gt;='Mortgage Inputs'!$B$5,'Mortgage Inputs'!$B$5&gt;0),'Offset Inputs'!$B$5-'Mortgage Inputs'!$B$5,D770+'Offset Inputs'!$B$6))</f>
        <v/>
      </c>
    </row>
    <row r="771" spans="1:8" ht="22" customHeight="1">
      <c r="A771" s="1" t="str">
        <f>IF(AND('Mortgage Inputs'!$B$12,765&lt;=IF('Mortgage Inputs'!$B$12,'Mortgage Inputs'!$B$7,0)*12+600,ISNUMBER(G770),G770&gt;0.005),765,"")</f>
        <v/>
      </c>
      <c r="B771" s="4" t="str">
        <f>IF(A771="","",DATE(YEAR('Mortgage Inputs'!$B$8),MONTH('Mortgage Inputs'!$B$8)+A771,DAY('Mortgage Inputs'!$B$8)))</f>
        <v/>
      </c>
      <c r="C771" s="2" t="str">
        <f t="shared" si="34"/>
        <v/>
      </c>
      <c r="D771" s="2" t="str">
        <f t="shared" si="35"/>
        <v/>
      </c>
      <c r="E771" s="2" t="str">
        <f>IF(A771="","",MAX(0,(C771-MIN(D771,C771))*'Mortgage Inputs'!$B$15))</f>
        <v/>
      </c>
      <c r="F771" s="2" t="str">
        <f>IF(A771="","",IF(AND('Offset Inputs'!$B$5&gt;='Mortgage Inputs'!$B$5,'Mortgage Inputs'!$B$5&gt;0),C771,MIN(C771,MAX(0,'Mortgage Inputs'!$B$17-E771))))</f>
        <v/>
      </c>
      <c r="G771" s="2" t="str">
        <f t="shared" si="33"/>
        <v/>
      </c>
      <c r="H771" s="2" t="str">
        <f>IF(A771="","",IF(AND('Offset Inputs'!$B$5&gt;='Mortgage Inputs'!$B$5,'Mortgage Inputs'!$B$5&gt;0),'Offset Inputs'!$B$5-'Mortgage Inputs'!$B$5,D771+'Offset Inputs'!$B$6))</f>
        <v/>
      </c>
    </row>
    <row r="772" spans="1:8" ht="22" customHeight="1">
      <c r="A772" s="1" t="str">
        <f>IF(AND('Mortgage Inputs'!$B$12,766&lt;=IF('Mortgage Inputs'!$B$12,'Mortgage Inputs'!$B$7,0)*12+600,ISNUMBER(G771),G771&gt;0.005),766,"")</f>
        <v/>
      </c>
      <c r="B772" s="4" t="str">
        <f>IF(A772="","",DATE(YEAR('Mortgage Inputs'!$B$8),MONTH('Mortgage Inputs'!$B$8)+A772,DAY('Mortgage Inputs'!$B$8)))</f>
        <v/>
      </c>
      <c r="C772" s="2" t="str">
        <f t="shared" si="34"/>
        <v/>
      </c>
      <c r="D772" s="2" t="str">
        <f t="shared" si="35"/>
        <v/>
      </c>
      <c r="E772" s="2" t="str">
        <f>IF(A772="","",MAX(0,(C772-MIN(D772,C772))*'Mortgage Inputs'!$B$15))</f>
        <v/>
      </c>
      <c r="F772" s="2" t="str">
        <f>IF(A772="","",IF(AND('Offset Inputs'!$B$5&gt;='Mortgage Inputs'!$B$5,'Mortgage Inputs'!$B$5&gt;0),C772,MIN(C772,MAX(0,'Mortgage Inputs'!$B$17-E772))))</f>
        <v/>
      </c>
      <c r="G772" s="2" t="str">
        <f t="shared" si="33"/>
        <v/>
      </c>
      <c r="H772" s="2" t="str">
        <f>IF(A772="","",IF(AND('Offset Inputs'!$B$5&gt;='Mortgage Inputs'!$B$5,'Mortgage Inputs'!$B$5&gt;0),'Offset Inputs'!$B$5-'Mortgage Inputs'!$B$5,D772+'Offset Inputs'!$B$6))</f>
        <v/>
      </c>
    </row>
    <row r="773" spans="1:8" ht="22" customHeight="1">
      <c r="A773" s="1" t="str">
        <f>IF(AND('Mortgage Inputs'!$B$12,767&lt;=IF('Mortgage Inputs'!$B$12,'Mortgage Inputs'!$B$7,0)*12+600,ISNUMBER(G772),G772&gt;0.005),767,"")</f>
        <v/>
      </c>
      <c r="B773" s="4" t="str">
        <f>IF(A773="","",DATE(YEAR('Mortgage Inputs'!$B$8),MONTH('Mortgage Inputs'!$B$8)+A773,DAY('Mortgage Inputs'!$B$8)))</f>
        <v/>
      </c>
      <c r="C773" s="2" t="str">
        <f t="shared" si="34"/>
        <v/>
      </c>
      <c r="D773" s="2" t="str">
        <f t="shared" si="35"/>
        <v/>
      </c>
      <c r="E773" s="2" t="str">
        <f>IF(A773="","",MAX(0,(C773-MIN(D773,C773))*'Mortgage Inputs'!$B$15))</f>
        <v/>
      </c>
      <c r="F773" s="2" t="str">
        <f>IF(A773="","",IF(AND('Offset Inputs'!$B$5&gt;='Mortgage Inputs'!$B$5,'Mortgage Inputs'!$B$5&gt;0),C773,MIN(C773,MAX(0,'Mortgage Inputs'!$B$17-E773))))</f>
        <v/>
      </c>
      <c r="G773" s="2" t="str">
        <f t="shared" si="33"/>
        <v/>
      </c>
      <c r="H773" s="2" t="str">
        <f>IF(A773="","",IF(AND('Offset Inputs'!$B$5&gt;='Mortgage Inputs'!$B$5,'Mortgage Inputs'!$B$5&gt;0),'Offset Inputs'!$B$5-'Mortgage Inputs'!$B$5,D773+'Offset Inputs'!$B$6))</f>
        <v/>
      </c>
    </row>
    <row r="774" spans="1:8" ht="22" customHeight="1">
      <c r="A774" s="1" t="str">
        <f>IF(AND('Mortgage Inputs'!$B$12,768&lt;=IF('Mortgage Inputs'!$B$12,'Mortgage Inputs'!$B$7,0)*12+600,ISNUMBER(G773),G773&gt;0.005),768,"")</f>
        <v/>
      </c>
      <c r="B774" s="4" t="str">
        <f>IF(A774="","",DATE(YEAR('Mortgage Inputs'!$B$8),MONTH('Mortgage Inputs'!$B$8)+A774,DAY('Mortgage Inputs'!$B$8)))</f>
        <v/>
      </c>
      <c r="C774" s="2" t="str">
        <f t="shared" si="34"/>
        <v/>
      </c>
      <c r="D774" s="2" t="str">
        <f t="shared" si="35"/>
        <v/>
      </c>
      <c r="E774" s="2" t="str">
        <f>IF(A774="","",MAX(0,(C774-MIN(D774,C774))*'Mortgage Inputs'!$B$15))</f>
        <v/>
      </c>
      <c r="F774" s="2" t="str">
        <f>IF(A774="","",IF(AND('Offset Inputs'!$B$5&gt;='Mortgage Inputs'!$B$5,'Mortgage Inputs'!$B$5&gt;0),C774,MIN(C774,MAX(0,'Mortgage Inputs'!$B$17-E774))))</f>
        <v/>
      </c>
      <c r="G774" s="2" t="str">
        <f t="shared" si="33"/>
        <v/>
      </c>
      <c r="H774" s="2" t="str">
        <f>IF(A774="","",IF(AND('Offset Inputs'!$B$5&gt;='Mortgage Inputs'!$B$5,'Mortgage Inputs'!$B$5&gt;0),'Offset Inputs'!$B$5-'Mortgage Inputs'!$B$5,D774+'Offset Inputs'!$B$6))</f>
        <v/>
      </c>
    </row>
    <row r="775" spans="1:8" ht="22" customHeight="1">
      <c r="A775" s="1" t="str">
        <f>IF(AND('Mortgage Inputs'!$B$12,769&lt;=IF('Mortgage Inputs'!$B$12,'Mortgage Inputs'!$B$7,0)*12+600,ISNUMBER(G774),G774&gt;0.005),769,"")</f>
        <v/>
      </c>
      <c r="B775" s="4" t="str">
        <f>IF(A775="","",DATE(YEAR('Mortgage Inputs'!$B$8),MONTH('Mortgage Inputs'!$B$8)+A775,DAY('Mortgage Inputs'!$B$8)))</f>
        <v/>
      </c>
      <c r="C775" s="2" t="str">
        <f t="shared" si="34"/>
        <v/>
      </c>
      <c r="D775" s="2" t="str">
        <f t="shared" si="35"/>
        <v/>
      </c>
      <c r="E775" s="2" t="str">
        <f>IF(A775="","",MAX(0,(C775-MIN(D775,C775))*'Mortgage Inputs'!$B$15))</f>
        <v/>
      </c>
      <c r="F775" s="2" t="str">
        <f>IF(A775="","",IF(AND('Offset Inputs'!$B$5&gt;='Mortgage Inputs'!$B$5,'Mortgage Inputs'!$B$5&gt;0),C775,MIN(C775,MAX(0,'Mortgage Inputs'!$B$17-E775))))</f>
        <v/>
      </c>
      <c r="G775" s="2" t="str">
        <f t="shared" ref="G775:G838" si="36">IF(A775="","",MAX(0,C775-F775))</f>
        <v/>
      </c>
      <c r="H775" s="2" t="str">
        <f>IF(A775="","",IF(AND('Offset Inputs'!$B$5&gt;='Mortgage Inputs'!$B$5,'Mortgage Inputs'!$B$5&gt;0),'Offset Inputs'!$B$5-'Mortgage Inputs'!$B$5,D775+'Offset Inputs'!$B$6))</f>
        <v/>
      </c>
    </row>
    <row r="776" spans="1:8" ht="22" customHeight="1">
      <c r="A776" s="1" t="str">
        <f>IF(AND('Mortgage Inputs'!$B$12,770&lt;=IF('Mortgage Inputs'!$B$12,'Mortgage Inputs'!$B$7,0)*12+600,ISNUMBER(G775),G775&gt;0.005),770,"")</f>
        <v/>
      </c>
      <c r="B776" s="4" t="str">
        <f>IF(A776="","",DATE(YEAR('Mortgage Inputs'!$B$8),MONTH('Mortgage Inputs'!$B$8)+A776,DAY('Mortgage Inputs'!$B$8)))</f>
        <v/>
      </c>
      <c r="C776" s="2" t="str">
        <f t="shared" ref="C776:C839" si="37">IF(A776="","",G775)</f>
        <v/>
      </c>
      <c r="D776" s="2" t="str">
        <f t="shared" ref="D776:D839" si="38">IF(A776="","",H775)</f>
        <v/>
      </c>
      <c r="E776" s="2" t="str">
        <f>IF(A776="","",MAX(0,(C776-MIN(D776,C776))*'Mortgage Inputs'!$B$15))</f>
        <v/>
      </c>
      <c r="F776" s="2" t="str">
        <f>IF(A776="","",IF(AND('Offset Inputs'!$B$5&gt;='Mortgage Inputs'!$B$5,'Mortgage Inputs'!$B$5&gt;0),C776,MIN(C776,MAX(0,'Mortgage Inputs'!$B$17-E776))))</f>
        <v/>
      </c>
      <c r="G776" s="2" t="str">
        <f t="shared" si="36"/>
        <v/>
      </c>
      <c r="H776" s="2" t="str">
        <f>IF(A776="","",IF(AND('Offset Inputs'!$B$5&gt;='Mortgage Inputs'!$B$5,'Mortgage Inputs'!$B$5&gt;0),'Offset Inputs'!$B$5-'Mortgage Inputs'!$B$5,D776+'Offset Inputs'!$B$6))</f>
        <v/>
      </c>
    </row>
    <row r="777" spans="1:8" ht="22" customHeight="1">
      <c r="A777" s="1" t="str">
        <f>IF(AND('Mortgage Inputs'!$B$12,771&lt;=IF('Mortgage Inputs'!$B$12,'Mortgage Inputs'!$B$7,0)*12+600,ISNUMBER(G776),G776&gt;0.005),771,"")</f>
        <v/>
      </c>
      <c r="B777" s="4" t="str">
        <f>IF(A777="","",DATE(YEAR('Mortgage Inputs'!$B$8),MONTH('Mortgage Inputs'!$B$8)+A777,DAY('Mortgage Inputs'!$B$8)))</f>
        <v/>
      </c>
      <c r="C777" s="2" t="str">
        <f t="shared" si="37"/>
        <v/>
      </c>
      <c r="D777" s="2" t="str">
        <f t="shared" si="38"/>
        <v/>
      </c>
      <c r="E777" s="2" t="str">
        <f>IF(A777="","",MAX(0,(C777-MIN(D777,C777))*'Mortgage Inputs'!$B$15))</f>
        <v/>
      </c>
      <c r="F777" s="2" t="str">
        <f>IF(A777="","",IF(AND('Offset Inputs'!$B$5&gt;='Mortgage Inputs'!$B$5,'Mortgage Inputs'!$B$5&gt;0),C777,MIN(C777,MAX(0,'Mortgage Inputs'!$B$17-E777))))</f>
        <v/>
      </c>
      <c r="G777" s="2" t="str">
        <f t="shared" si="36"/>
        <v/>
      </c>
      <c r="H777" s="2" t="str">
        <f>IF(A777="","",IF(AND('Offset Inputs'!$B$5&gt;='Mortgage Inputs'!$B$5,'Mortgage Inputs'!$B$5&gt;0),'Offset Inputs'!$B$5-'Mortgage Inputs'!$B$5,D777+'Offset Inputs'!$B$6))</f>
        <v/>
      </c>
    </row>
    <row r="778" spans="1:8" ht="22" customHeight="1">
      <c r="A778" s="1" t="str">
        <f>IF(AND('Mortgage Inputs'!$B$12,772&lt;=IF('Mortgage Inputs'!$B$12,'Mortgage Inputs'!$B$7,0)*12+600,ISNUMBER(G777),G777&gt;0.005),772,"")</f>
        <v/>
      </c>
      <c r="B778" s="4" t="str">
        <f>IF(A778="","",DATE(YEAR('Mortgage Inputs'!$B$8),MONTH('Mortgage Inputs'!$B$8)+A778,DAY('Mortgage Inputs'!$B$8)))</f>
        <v/>
      </c>
      <c r="C778" s="2" t="str">
        <f t="shared" si="37"/>
        <v/>
      </c>
      <c r="D778" s="2" t="str">
        <f t="shared" si="38"/>
        <v/>
      </c>
      <c r="E778" s="2" t="str">
        <f>IF(A778="","",MAX(0,(C778-MIN(D778,C778))*'Mortgage Inputs'!$B$15))</f>
        <v/>
      </c>
      <c r="F778" s="2" t="str">
        <f>IF(A778="","",IF(AND('Offset Inputs'!$B$5&gt;='Mortgage Inputs'!$B$5,'Mortgage Inputs'!$B$5&gt;0),C778,MIN(C778,MAX(0,'Mortgage Inputs'!$B$17-E778))))</f>
        <v/>
      </c>
      <c r="G778" s="2" t="str">
        <f t="shared" si="36"/>
        <v/>
      </c>
      <c r="H778" s="2" t="str">
        <f>IF(A778="","",IF(AND('Offset Inputs'!$B$5&gt;='Mortgage Inputs'!$B$5,'Mortgage Inputs'!$B$5&gt;0),'Offset Inputs'!$B$5-'Mortgage Inputs'!$B$5,D778+'Offset Inputs'!$B$6))</f>
        <v/>
      </c>
    </row>
    <row r="779" spans="1:8" ht="22" customHeight="1">
      <c r="A779" s="1" t="str">
        <f>IF(AND('Mortgage Inputs'!$B$12,773&lt;=IF('Mortgage Inputs'!$B$12,'Mortgage Inputs'!$B$7,0)*12+600,ISNUMBER(G778),G778&gt;0.005),773,"")</f>
        <v/>
      </c>
      <c r="B779" s="4" t="str">
        <f>IF(A779="","",DATE(YEAR('Mortgage Inputs'!$B$8),MONTH('Mortgage Inputs'!$B$8)+A779,DAY('Mortgage Inputs'!$B$8)))</f>
        <v/>
      </c>
      <c r="C779" s="2" t="str">
        <f t="shared" si="37"/>
        <v/>
      </c>
      <c r="D779" s="2" t="str">
        <f t="shared" si="38"/>
        <v/>
      </c>
      <c r="E779" s="2" t="str">
        <f>IF(A779="","",MAX(0,(C779-MIN(D779,C779))*'Mortgage Inputs'!$B$15))</f>
        <v/>
      </c>
      <c r="F779" s="2" t="str">
        <f>IF(A779="","",IF(AND('Offset Inputs'!$B$5&gt;='Mortgage Inputs'!$B$5,'Mortgage Inputs'!$B$5&gt;0),C779,MIN(C779,MAX(0,'Mortgage Inputs'!$B$17-E779))))</f>
        <v/>
      </c>
      <c r="G779" s="2" t="str">
        <f t="shared" si="36"/>
        <v/>
      </c>
      <c r="H779" s="2" t="str">
        <f>IF(A779="","",IF(AND('Offset Inputs'!$B$5&gt;='Mortgage Inputs'!$B$5,'Mortgage Inputs'!$B$5&gt;0),'Offset Inputs'!$B$5-'Mortgage Inputs'!$B$5,D779+'Offset Inputs'!$B$6))</f>
        <v/>
      </c>
    </row>
    <row r="780" spans="1:8" ht="22" customHeight="1">
      <c r="A780" s="1" t="str">
        <f>IF(AND('Mortgage Inputs'!$B$12,774&lt;=IF('Mortgage Inputs'!$B$12,'Mortgage Inputs'!$B$7,0)*12+600,ISNUMBER(G779),G779&gt;0.005),774,"")</f>
        <v/>
      </c>
      <c r="B780" s="4" t="str">
        <f>IF(A780="","",DATE(YEAR('Mortgage Inputs'!$B$8),MONTH('Mortgage Inputs'!$B$8)+A780,DAY('Mortgage Inputs'!$B$8)))</f>
        <v/>
      </c>
      <c r="C780" s="2" t="str">
        <f t="shared" si="37"/>
        <v/>
      </c>
      <c r="D780" s="2" t="str">
        <f t="shared" si="38"/>
        <v/>
      </c>
      <c r="E780" s="2" t="str">
        <f>IF(A780="","",MAX(0,(C780-MIN(D780,C780))*'Mortgage Inputs'!$B$15))</f>
        <v/>
      </c>
      <c r="F780" s="2" t="str">
        <f>IF(A780="","",IF(AND('Offset Inputs'!$B$5&gt;='Mortgage Inputs'!$B$5,'Mortgage Inputs'!$B$5&gt;0),C780,MIN(C780,MAX(0,'Mortgage Inputs'!$B$17-E780))))</f>
        <v/>
      </c>
      <c r="G780" s="2" t="str">
        <f t="shared" si="36"/>
        <v/>
      </c>
      <c r="H780" s="2" t="str">
        <f>IF(A780="","",IF(AND('Offset Inputs'!$B$5&gt;='Mortgage Inputs'!$B$5,'Mortgage Inputs'!$B$5&gt;0),'Offset Inputs'!$B$5-'Mortgage Inputs'!$B$5,D780+'Offset Inputs'!$B$6))</f>
        <v/>
      </c>
    </row>
    <row r="781" spans="1:8" ht="22" customHeight="1">
      <c r="A781" s="1" t="str">
        <f>IF(AND('Mortgage Inputs'!$B$12,775&lt;=IF('Mortgage Inputs'!$B$12,'Mortgage Inputs'!$B$7,0)*12+600,ISNUMBER(G780),G780&gt;0.005),775,"")</f>
        <v/>
      </c>
      <c r="B781" s="4" t="str">
        <f>IF(A781="","",DATE(YEAR('Mortgage Inputs'!$B$8),MONTH('Mortgage Inputs'!$B$8)+A781,DAY('Mortgage Inputs'!$B$8)))</f>
        <v/>
      </c>
      <c r="C781" s="2" t="str">
        <f t="shared" si="37"/>
        <v/>
      </c>
      <c r="D781" s="2" t="str">
        <f t="shared" si="38"/>
        <v/>
      </c>
      <c r="E781" s="2" t="str">
        <f>IF(A781="","",MAX(0,(C781-MIN(D781,C781))*'Mortgage Inputs'!$B$15))</f>
        <v/>
      </c>
      <c r="F781" s="2" t="str">
        <f>IF(A781="","",IF(AND('Offset Inputs'!$B$5&gt;='Mortgage Inputs'!$B$5,'Mortgage Inputs'!$B$5&gt;0),C781,MIN(C781,MAX(0,'Mortgage Inputs'!$B$17-E781))))</f>
        <v/>
      </c>
      <c r="G781" s="2" t="str">
        <f t="shared" si="36"/>
        <v/>
      </c>
      <c r="H781" s="2" t="str">
        <f>IF(A781="","",IF(AND('Offset Inputs'!$B$5&gt;='Mortgage Inputs'!$B$5,'Mortgage Inputs'!$B$5&gt;0),'Offset Inputs'!$B$5-'Mortgage Inputs'!$B$5,D781+'Offset Inputs'!$B$6))</f>
        <v/>
      </c>
    </row>
    <row r="782" spans="1:8" ht="22" customHeight="1">
      <c r="A782" s="1" t="str">
        <f>IF(AND('Mortgage Inputs'!$B$12,776&lt;=IF('Mortgage Inputs'!$B$12,'Mortgage Inputs'!$B$7,0)*12+600,ISNUMBER(G781),G781&gt;0.005),776,"")</f>
        <v/>
      </c>
      <c r="B782" s="4" t="str">
        <f>IF(A782="","",DATE(YEAR('Mortgage Inputs'!$B$8),MONTH('Mortgage Inputs'!$B$8)+A782,DAY('Mortgage Inputs'!$B$8)))</f>
        <v/>
      </c>
      <c r="C782" s="2" t="str">
        <f t="shared" si="37"/>
        <v/>
      </c>
      <c r="D782" s="2" t="str">
        <f t="shared" si="38"/>
        <v/>
      </c>
      <c r="E782" s="2" t="str">
        <f>IF(A782="","",MAX(0,(C782-MIN(D782,C782))*'Mortgage Inputs'!$B$15))</f>
        <v/>
      </c>
      <c r="F782" s="2" t="str">
        <f>IF(A782="","",IF(AND('Offset Inputs'!$B$5&gt;='Mortgage Inputs'!$B$5,'Mortgage Inputs'!$B$5&gt;0),C782,MIN(C782,MAX(0,'Mortgage Inputs'!$B$17-E782))))</f>
        <v/>
      </c>
      <c r="G782" s="2" t="str">
        <f t="shared" si="36"/>
        <v/>
      </c>
      <c r="H782" s="2" t="str">
        <f>IF(A782="","",IF(AND('Offset Inputs'!$B$5&gt;='Mortgage Inputs'!$B$5,'Mortgage Inputs'!$B$5&gt;0),'Offset Inputs'!$B$5-'Mortgage Inputs'!$B$5,D782+'Offset Inputs'!$B$6))</f>
        <v/>
      </c>
    </row>
    <row r="783" spans="1:8" ht="22" customHeight="1">
      <c r="A783" s="1" t="str">
        <f>IF(AND('Mortgage Inputs'!$B$12,777&lt;=IF('Mortgage Inputs'!$B$12,'Mortgage Inputs'!$B$7,0)*12+600,ISNUMBER(G782),G782&gt;0.005),777,"")</f>
        <v/>
      </c>
      <c r="B783" s="4" t="str">
        <f>IF(A783="","",DATE(YEAR('Mortgage Inputs'!$B$8),MONTH('Mortgage Inputs'!$B$8)+A783,DAY('Mortgage Inputs'!$B$8)))</f>
        <v/>
      </c>
      <c r="C783" s="2" t="str">
        <f t="shared" si="37"/>
        <v/>
      </c>
      <c r="D783" s="2" t="str">
        <f t="shared" si="38"/>
        <v/>
      </c>
      <c r="E783" s="2" t="str">
        <f>IF(A783="","",MAX(0,(C783-MIN(D783,C783))*'Mortgage Inputs'!$B$15))</f>
        <v/>
      </c>
      <c r="F783" s="2" t="str">
        <f>IF(A783="","",IF(AND('Offset Inputs'!$B$5&gt;='Mortgage Inputs'!$B$5,'Mortgage Inputs'!$B$5&gt;0),C783,MIN(C783,MAX(0,'Mortgage Inputs'!$B$17-E783))))</f>
        <v/>
      </c>
      <c r="G783" s="2" t="str">
        <f t="shared" si="36"/>
        <v/>
      </c>
      <c r="H783" s="2" t="str">
        <f>IF(A783="","",IF(AND('Offset Inputs'!$B$5&gt;='Mortgage Inputs'!$B$5,'Mortgage Inputs'!$B$5&gt;0),'Offset Inputs'!$B$5-'Mortgage Inputs'!$B$5,D783+'Offset Inputs'!$B$6))</f>
        <v/>
      </c>
    </row>
    <row r="784" spans="1:8" ht="22" customHeight="1">
      <c r="A784" s="1" t="str">
        <f>IF(AND('Mortgage Inputs'!$B$12,778&lt;=IF('Mortgage Inputs'!$B$12,'Mortgage Inputs'!$B$7,0)*12+600,ISNUMBER(G783),G783&gt;0.005),778,"")</f>
        <v/>
      </c>
      <c r="B784" s="4" t="str">
        <f>IF(A784="","",DATE(YEAR('Mortgage Inputs'!$B$8),MONTH('Mortgage Inputs'!$B$8)+A784,DAY('Mortgage Inputs'!$B$8)))</f>
        <v/>
      </c>
      <c r="C784" s="2" t="str">
        <f t="shared" si="37"/>
        <v/>
      </c>
      <c r="D784" s="2" t="str">
        <f t="shared" si="38"/>
        <v/>
      </c>
      <c r="E784" s="2" t="str">
        <f>IF(A784="","",MAX(0,(C784-MIN(D784,C784))*'Mortgage Inputs'!$B$15))</f>
        <v/>
      </c>
      <c r="F784" s="2" t="str">
        <f>IF(A784="","",IF(AND('Offset Inputs'!$B$5&gt;='Mortgage Inputs'!$B$5,'Mortgage Inputs'!$B$5&gt;0),C784,MIN(C784,MAX(0,'Mortgage Inputs'!$B$17-E784))))</f>
        <v/>
      </c>
      <c r="G784" s="2" t="str">
        <f t="shared" si="36"/>
        <v/>
      </c>
      <c r="H784" s="2" t="str">
        <f>IF(A784="","",IF(AND('Offset Inputs'!$B$5&gt;='Mortgage Inputs'!$B$5,'Mortgage Inputs'!$B$5&gt;0),'Offset Inputs'!$B$5-'Mortgage Inputs'!$B$5,D784+'Offset Inputs'!$B$6))</f>
        <v/>
      </c>
    </row>
    <row r="785" spans="1:8" ht="22" customHeight="1">
      <c r="A785" s="1" t="str">
        <f>IF(AND('Mortgage Inputs'!$B$12,779&lt;=IF('Mortgage Inputs'!$B$12,'Mortgage Inputs'!$B$7,0)*12+600,ISNUMBER(G784),G784&gt;0.005),779,"")</f>
        <v/>
      </c>
      <c r="B785" s="4" t="str">
        <f>IF(A785="","",DATE(YEAR('Mortgage Inputs'!$B$8),MONTH('Mortgage Inputs'!$B$8)+A785,DAY('Mortgage Inputs'!$B$8)))</f>
        <v/>
      </c>
      <c r="C785" s="2" t="str">
        <f t="shared" si="37"/>
        <v/>
      </c>
      <c r="D785" s="2" t="str">
        <f t="shared" si="38"/>
        <v/>
      </c>
      <c r="E785" s="2" t="str">
        <f>IF(A785="","",MAX(0,(C785-MIN(D785,C785))*'Mortgage Inputs'!$B$15))</f>
        <v/>
      </c>
      <c r="F785" s="2" t="str">
        <f>IF(A785="","",IF(AND('Offset Inputs'!$B$5&gt;='Mortgage Inputs'!$B$5,'Mortgage Inputs'!$B$5&gt;0),C785,MIN(C785,MAX(0,'Mortgage Inputs'!$B$17-E785))))</f>
        <v/>
      </c>
      <c r="G785" s="2" t="str">
        <f t="shared" si="36"/>
        <v/>
      </c>
      <c r="H785" s="2" t="str">
        <f>IF(A785="","",IF(AND('Offset Inputs'!$B$5&gt;='Mortgage Inputs'!$B$5,'Mortgage Inputs'!$B$5&gt;0),'Offset Inputs'!$B$5-'Mortgage Inputs'!$B$5,D785+'Offset Inputs'!$B$6))</f>
        <v/>
      </c>
    </row>
    <row r="786" spans="1:8" ht="22" customHeight="1">
      <c r="A786" s="1" t="str">
        <f>IF(AND('Mortgage Inputs'!$B$12,780&lt;=IF('Mortgage Inputs'!$B$12,'Mortgage Inputs'!$B$7,0)*12+600,ISNUMBER(G785),G785&gt;0.005),780,"")</f>
        <v/>
      </c>
      <c r="B786" s="4" t="str">
        <f>IF(A786="","",DATE(YEAR('Mortgage Inputs'!$B$8),MONTH('Mortgage Inputs'!$B$8)+A786,DAY('Mortgage Inputs'!$B$8)))</f>
        <v/>
      </c>
      <c r="C786" s="2" t="str">
        <f t="shared" si="37"/>
        <v/>
      </c>
      <c r="D786" s="2" t="str">
        <f t="shared" si="38"/>
        <v/>
      </c>
      <c r="E786" s="2" t="str">
        <f>IF(A786="","",MAX(0,(C786-MIN(D786,C786))*'Mortgage Inputs'!$B$15))</f>
        <v/>
      </c>
      <c r="F786" s="2" t="str">
        <f>IF(A786="","",IF(AND('Offset Inputs'!$B$5&gt;='Mortgage Inputs'!$B$5,'Mortgage Inputs'!$B$5&gt;0),C786,MIN(C786,MAX(0,'Mortgage Inputs'!$B$17-E786))))</f>
        <v/>
      </c>
      <c r="G786" s="2" t="str">
        <f t="shared" si="36"/>
        <v/>
      </c>
      <c r="H786" s="2" t="str">
        <f>IF(A786="","",IF(AND('Offset Inputs'!$B$5&gt;='Mortgage Inputs'!$B$5,'Mortgage Inputs'!$B$5&gt;0),'Offset Inputs'!$B$5-'Mortgage Inputs'!$B$5,D786+'Offset Inputs'!$B$6))</f>
        <v/>
      </c>
    </row>
    <row r="787" spans="1:8" ht="22" customHeight="1">
      <c r="A787" s="1" t="str">
        <f>IF(AND('Mortgage Inputs'!$B$12,781&lt;=IF('Mortgage Inputs'!$B$12,'Mortgage Inputs'!$B$7,0)*12+600,ISNUMBER(G786),G786&gt;0.005),781,"")</f>
        <v/>
      </c>
      <c r="B787" s="4" t="str">
        <f>IF(A787="","",DATE(YEAR('Mortgage Inputs'!$B$8),MONTH('Mortgage Inputs'!$B$8)+A787,DAY('Mortgage Inputs'!$B$8)))</f>
        <v/>
      </c>
      <c r="C787" s="2" t="str">
        <f t="shared" si="37"/>
        <v/>
      </c>
      <c r="D787" s="2" t="str">
        <f t="shared" si="38"/>
        <v/>
      </c>
      <c r="E787" s="2" t="str">
        <f>IF(A787="","",MAX(0,(C787-MIN(D787,C787))*'Mortgage Inputs'!$B$15))</f>
        <v/>
      </c>
      <c r="F787" s="2" t="str">
        <f>IF(A787="","",IF(AND('Offset Inputs'!$B$5&gt;='Mortgage Inputs'!$B$5,'Mortgage Inputs'!$B$5&gt;0),C787,MIN(C787,MAX(0,'Mortgage Inputs'!$B$17-E787))))</f>
        <v/>
      </c>
      <c r="G787" s="2" t="str">
        <f t="shared" si="36"/>
        <v/>
      </c>
      <c r="H787" s="2" t="str">
        <f>IF(A787="","",IF(AND('Offset Inputs'!$B$5&gt;='Mortgage Inputs'!$B$5,'Mortgage Inputs'!$B$5&gt;0),'Offset Inputs'!$B$5-'Mortgage Inputs'!$B$5,D787+'Offset Inputs'!$B$6))</f>
        <v/>
      </c>
    </row>
    <row r="788" spans="1:8" ht="22" customHeight="1">
      <c r="A788" s="1" t="str">
        <f>IF(AND('Mortgage Inputs'!$B$12,782&lt;=IF('Mortgage Inputs'!$B$12,'Mortgage Inputs'!$B$7,0)*12+600,ISNUMBER(G787),G787&gt;0.005),782,"")</f>
        <v/>
      </c>
      <c r="B788" s="4" t="str">
        <f>IF(A788="","",DATE(YEAR('Mortgage Inputs'!$B$8),MONTH('Mortgage Inputs'!$B$8)+A788,DAY('Mortgage Inputs'!$B$8)))</f>
        <v/>
      </c>
      <c r="C788" s="2" t="str">
        <f t="shared" si="37"/>
        <v/>
      </c>
      <c r="D788" s="2" t="str">
        <f t="shared" si="38"/>
        <v/>
      </c>
      <c r="E788" s="2" t="str">
        <f>IF(A788="","",MAX(0,(C788-MIN(D788,C788))*'Mortgage Inputs'!$B$15))</f>
        <v/>
      </c>
      <c r="F788" s="2" t="str">
        <f>IF(A788="","",IF(AND('Offset Inputs'!$B$5&gt;='Mortgage Inputs'!$B$5,'Mortgage Inputs'!$B$5&gt;0),C788,MIN(C788,MAX(0,'Mortgage Inputs'!$B$17-E788))))</f>
        <v/>
      </c>
      <c r="G788" s="2" t="str">
        <f t="shared" si="36"/>
        <v/>
      </c>
      <c r="H788" s="2" t="str">
        <f>IF(A788="","",IF(AND('Offset Inputs'!$B$5&gt;='Mortgage Inputs'!$B$5,'Mortgage Inputs'!$B$5&gt;0),'Offset Inputs'!$B$5-'Mortgage Inputs'!$B$5,D788+'Offset Inputs'!$B$6))</f>
        <v/>
      </c>
    </row>
    <row r="789" spans="1:8" ht="22" customHeight="1">
      <c r="A789" s="1" t="str">
        <f>IF(AND('Mortgage Inputs'!$B$12,783&lt;=IF('Mortgage Inputs'!$B$12,'Mortgage Inputs'!$B$7,0)*12+600,ISNUMBER(G788),G788&gt;0.005),783,"")</f>
        <v/>
      </c>
      <c r="B789" s="4" t="str">
        <f>IF(A789="","",DATE(YEAR('Mortgage Inputs'!$B$8),MONTH('Mortgage Inputs'!$B$8)+A789,DAY('Mortgage Inputs'!$B$8)))</f>
        <v/>
      </c>
      <c r="C789" s="2" t="str">
        <f t="shared" si="37"/>
        <v/>
      </c>
      <c r="D789" s="2" t="str">
        <f t="shared" si="38"/>
        <v/>
      </c>
      <c r="E789" s="2" t="str">
        <f>IF(A789="","",MAX(0,(C789-MIN(D789,C789))*'Mortgage Inputs'!$B$15))</f>
        <v/>
      </c>
      <c r="F789" s="2" t="str">
        <f>IF(A789="","",IF(AND('Offset Inputs'!$B$5&gt;='Mortgage Inputs'!$B$5,'Mortgage Inputs'!$B$5&gt;0),C789,MIN(C789,MAX(0,'Mortgage Inputs'!$B$17-E789))))</f>
        <v/>
      </c>
      <c r="G789" s="2" t="str">
        <f t="shared" si="36"/>
        <v/>
      </c>
      <c r="H789" s="2" t="str">
        <f>IF(A789="","",IF(AND('Offset Inputs'!$B$5&gt;='Mortgage Inputs'!$B$5,'Mortgage Inputs'!$B$5&gt;0),'Offset Inputs'!$B$5-'Mortgage Inputs'!$B$5,D789+'Offset Inputs'!$B$6))</f>
        <v/>
      </c>
    </row>
    <row r="790" spans="1:8" ht="22" customHeight="1">
      <c r="A790" s="1" t="str">
        <f>IF(AND('Mortgage Inputs'!$B$12,784&lt;=IF('Mortgage Inputs'!$B$12,'Mortgage Inputs'!$B$7,0)*12+600,ISNUMBER(G789),G789&gt;0.005),784,"")</f>
        <v/>
      </c>
      <c r="B790" s="4" t="str">
        <f>IF(A790="","",DATE(YEAR('Mortgage Inputs'!$B$8),MONTH('Mortgage Inputs'!$B$8)+A790,DAY('Mortgage Inputs'!$B$8)))</f>
        <v/>
      </c>
      <c r="C790" s="2" t="str">
        <f t="shared" si="37"/>
        <v/>
      </c>
      <c r="D790" s="2" t="str">
        <f t="shared" si="38"/>
        <v/>
      </c>
      <c r="E790" s="2" t="str">
        <f>IF(A790="","",MAX(0,(C790-MIN(D790,C790))*'Mortgage Inputs'!$B$15))</f>
        <v/>
      </c>
      <c r="F790" s="2" t="str">
        <f>IF(A790="","",IF(AND('Offset Inputs'!$B$5&gt;='Mortgage Inputs'!$B$5,'Mortgage Inputs'!$B$5&gt;0),C790,MIN(C790,MAX(0,'Mortgage Inputs'!$B$17-E790))))</f>
        <v/>
      </c>
      <c r="G790" s="2" t="str">
        <f t="shared" si="36"/>
        <v/>
      </c>
      <c r="H790" s="2" t="str">
        <f>IF(A790="","",IF(AND('Offset Inputs'!$B$5&gt;='Mortgage Inputs'!$B$5,'Mortgage Inputs'!$B$5&gt;0),'Offset Inputs'!$B$5-'Mortgage Inputs'!$B$5,D790+'Offset Inputs'!$B$6))</f>
        <v/>
      </c>
    </row>
    <row r="791" spans="1:8" ht="22" customHeight="1">
      <c r="A791" s="1" t="str">
        <f>IF(AND('Mortgage Inputs'!$B$12,785&lt;=IF('Mortgage Inputs'!$B$12,'Mortgage Inputs'!$B$7,0)*12+600,ISNUMBER(G790),G790&gt;0.005),785,"")</f>
        <v/>
      </c>
      <c r="B791" s="4" t="str">
        <f>IF(A791="","",DATE(YEAR('Mortgage Inputs'!$B$8),MONTH('Mortgage Inputs'!$B$8)+A791,DAY('Mortgage Inputs'!$B$8)))</f>
        <v/>
      </c>
      <c r="C791" s="2" t="str">
        <f t="shared" si="37"/>
        <v/>
      </c>
      <c r="D791" s="2" t="str">
        <f t="shared" si="38"/>
        <v/>
      </c>
      <c r="E791" s="2" t="str">
        <f>IF(A791="","",MAX(0,(C791-MIN(D791,C791))*'Mortgage Inputs'!$B$15))</f>
        <v/>
      </c>
      <c r="F791" s="2" t="str">
        <f>IF(A791="","",IF(AND('Offset Inputs'!$B$5&gt;='Mortgage Inputs'!$B$5,'Mortgage Inputs'!$B$5&gt;0),C791,MIN(C791,MAX(0,'Mortgage Inputs'!$B$17-E791))))</f>
        <v/>
      </c>
      <c r="G791" s="2" t="str">
        <f t="shared" si="36"/>
        <v/>
      </c>
      <c r="H791" s="2" t="str">
        <f>IF(A791="","",IF(AND('Offset Inputs'!$B$5&gt;='Mortgage Inputs'!$B$5,'Mortgage Inputs'!$B$5&gt;0),'Offset Inputs'!$B$5-'Mortgage Inputs'!$B$5,D791+'Offset Inputs'!$B$6))</f>
        <v/>
      </c>
    </row>
    <row r="792" spans="1:8" ht="22" customHeight="1">
      <c r="A792" s="1" t="str">
        <f>IF(AND('Mortgage Inputs'!$B$12,786&lt;=IF('Mortgage Inputs'!$B$12,'Mortgage Inputs'!$B$7,0)*12+600,ISNUMBER(G791),G791&gt;0.005),786,"")</f>
        <v/>
      </c>
      <c r="B792" s="4" t="str">
        <f>IF(A792="","",DATE(YEAR('Mortgage Inputs'!$B$8),MONTH('Mortgage Inputs'!$B$8)+A792,DAY('Mortgage Inputs'!$B$8)))</f>
        <v/>
      </c>
      <c r="C792" s="2" t="str">
        <f t="shared" si="37"/>
        <v/>
      </c>
      <c r="D792" s="2" t="str">
        <f t="shared" si="38"/>
        <v/>
      </c>
      <c r="E792" s="2" t="str">
        <f>IF(A792="","",MAX(0,(C792-MIN(D792,C792))*'Mortgage Inputs'!$B$15))</f>
        <v/>
      </c>
      <c r="F792" s="2" t="str">
        <f>IF(A792="","",IF(AND('Offset Inputs'!$B$5&gt;='Mortgage Inputs'!$B$5,'Mortgage Inputs'!$B$5&gt;0),C792,MIN(C792,MAX(0,'Mortgage Inputs'!$B$17-E792))))</f>
        <v/>
      </c>
      <c r="G792" s="2" t="str">
        <f t="shared" si="36"/>
        <v/>
      </c>
      <c r="H792" s="2" t="str">
        <f>IF(A792="","",IF(AND('Offset Inputs'!$B$5&gt;='Mortgage Inputs'!$B$5,'Mortgage Inputs'!$B$5&gt;0),'Offset Inputs'!$B$5-'Mortgage Inputs'!$B$5,D792+'Offset Inputs'!$B$6))</f>
        <v/>
      </c>
    </row>
    <row r="793" spans="1:8" ht="22" customHeight="1">
      <c r="A793" s="1" t="str">
        <f>IF(AND('Mortgage Inputs'!$B$12,787&lt;=IF('Mortgage Inputs'!$B$12,'Mortgage Inputs'!$B$7,0)*12+600,ISNUMBER(G792),G792&gt;0.005),787,"")</f>
        <v/>
      </c>
      <c r="B793" s="4" t="str">
        <f>IF(A793="","",DATE(YEAR('Mortgage Inputs'!$B$8),MONTH('Mortgage Inputs'!$B$8)+A793,DAY('Mortgage Inputs'!$B$8)))</f>
        <v/>
      </c>
      <c r="C793" s="2" t="str">
        <f t="shared" si="37"/>
        <v/>
      </c>
      <c r="D793" s="2" t="str">
        <f t="shared" si="38"/>
        <v/>
      </c>
      <c r="E793" s="2" t="str">
        <f>IF(A793="","",MAX(0,(C793-MIN(D793,C793))*'Mortgage Inputs'!$B$15))</f>
        <v/>
      </c>
      <c r="F793" s="2" t="str">
        <f>IF(A793="","",IF(AND('Offset Inputs'!$B$5&gt;='Mortgage Inputs'!$B$5,'Mortgage Inputs'!$B$5&gt;0),C793,MIN(C793,MAX(0,'Mortgage Inputs'!$B$17-E793))))</f>
        <v/>
      </c>
      <c r="G793" s="2" t="str">
        <f t="shared" si="36"/>
        <v/>
      </c>
      <c r="H793" s="2" t="str">
        <f>IF(A793="","",IF(AND('Offset Inputs'!$B$5&gt;='Mortgage Inputs'!$B$5,'Mortgage Inputs'!$B$5&gt;0),'Offset Inputs'!$B$5-'Mortgage Inputs'!$B$5,D793+'Offset Inputs'!$B$6))</f>
        <v/>
      </c>
    </row>
    <row r="794" spans="1:8" ht="22" customHeight="1">
      <c r="A794" s="1" t="str">
        <f>IF(AND('Mortgage Inputs'!$B$12,788&lt;=IF('Mortgage Inputs'!$B$12,'Mortgage Inputs'!$B$7,0)*12+600,ISNUMBER(G793),G793&gt;0.005),788,"")</f>
        <v/>
      </c>
      <c r="B794" s="4" t="str">
        <f>IF(A794="","",DATE(YEAR('Mortgage Inputs'!$B$8),MONTH('Mortgage Inputs'!$B$8)+A794,DAY('Mortgage Inputs'!$B$8)))</f>
        <v/>
      </c>
      <c r="C794" s="2" t="str">
        <f t="shared" si="37"/>
        <v/>
      </c>
      <c r="D794" s="2" t="str">
        <f t="shared" si="38"/>
        <v/>
      </c>
      <c r="E794" s="2" t="str">
        <f>IF(A794="","",MAX(0,(C794-MIN(D794,C794))*'Mortgage Inputs'!$B$15))</f>
        <v/>
      </c>
      <c r="F794" s="2" t="str">
        <f>IF(A794="","",IF(AND('Offset Inputs'!$B$5&gt;='Mortgage Inputs'!$B$5,'Mortgage Inputs'!$B$5&gt;0),C794,MIN(C794,MAX(0,'Mortgage Inputs'!$B$17-E794))))</f>
        <v/>
      </c>
      <c r="G794" s="2" t="str">
        <f t="shared" si="36"/>
        <v/>
      </c>
      <c r="H794" s="2" t="str">
        <f>IF(A794="","",IF(AND('Offset Inputs'!$B$5&gt;='Mortgage Inputs'!$B$5,'Mortgage Inputs'!$B$5&gt;0),'Offset Inputs'!$B$5-'Mortgage Inputs'!$B$5,D794+'Offset Inputs'!$B$6))</f>
        <v/>
      </c>
    </row>
    <row r="795" spans="1:8" ht="22" customHeight="1">
      <c r="A795" s="1" t="str">
        <f>IF(AND('Mortgage Inputs'!$B$12,789&lt;=IF('Mortgage Inputs'!$B$12,'Mortgage Inputs'!$B$7,0)*12+600,ISNUMBER(G794),G794&gt;0.005),789,"")</f>
        <v/>
      </c>
      <c r="B795" s="4" t="str">
        <f>IF(A795="","",DATE(YEAR('Mortgage Inputs'!$B$8),MONTH('Mortgage Inputs'!$B$8)+A795,DAY('Mortgage Inputs'!$B$8)))</f>
        <v/>
      </c>
      <c r="C795" s="2" t="str">
        <f t="shared" si="37"/>
        <v/>
      </c>
      <c r="D795" s="2" t="str">
        <f t="shared" si="38"/>
        <v/>
      </c>
      <c r="E795" s="2" t="str">
        <f>IF(A795="","",MAX(0,(C795-MIN(D795,C795))*'Mortgage Inputs'!$B$15))</f>
        <v/>
      </c>
      <c r="F795" s="2" t="str">
        <f>IF(A795="","",IF(AND('Offset Inputs'!$B$5&gt;='Mortgage Inputs'!$B$5,'Mortgage Inputs'!$B$5&gt;0),C795,MIN(C795,MAX(0,'Mortgage Inputs'!$B$17-E795))))</f>
        <v/>
      </c>
      <c r="G795" s="2" t="str">
        <f t="shared" si="36"/>
        <v/>
      </c>
      <c r="H795" s="2" t="str">
        <f>IF(A795="","",IF(AND('Offset Inputs'!$B$5&gt;='Mortgage Inputs'!$B$5,'Mortgage Inputs'!$B$5&gt;0),'Offset Inputs'!$B$5-'Mortgage Inputs'!$B$5,D795+'Offset Inputs'!$B$6))</f>
        <v/>
      </c>
    </row>
    <row r="796" spans="1:8" ht="22" customHeight="1">
      <c r="A796" s="1" t="str">
        <f>IF(AND('Mortgage Inputs'!$B$12,790&lt;=IF('Mortgage Inputs'!$B$12,'Mortgage Inputs'!$B$7,0)*12+600,ISNUMBER(G795),G795&gt;0.005),790,"")</f>
        <v/>
      </c>
      <c r="B796" s="4" t="str">
        <f>IF(A796="","",DATE(YEAR('Mortgage Inputs'!$B$8),MONTH('Mortgage Inputs'!$B$8)+A796,DAY('Mortgage Inputs'!$B$8)))</f>
        <v/>
      </c>
      <c r="C796" s="2" t="str">
        <f t="shared" si="37"/>
        <v/>
      </c>
      <c r="D796" s="2" t="str">
        <f t="shared" si="38"/>
        <v/>
      </c>
      <c r="E796" s="2" t="str">
        <f>IF(A796="","",MAX(0,(C796-MIN(D796,C796))*'Mortgage Inputs'!$B$15))</f>
        <v/>
      </c>
      <c r="F796" s="2" t="str">
        <f>IF(A796="","",IF(AND('Offset Inputs'!$B$5&gt;='Mortgage Inputs'!$B$5,'Mortgage Inputs'!$B$5&gt;0),C796,MIN(C796,MAX(0,'Mortgage Inputs'!$B$17-E796))))</f>
        <v/>
      </c>
      <c r="G796" s="2" t="str">
        <f t="shared" si="36"/>
        <v/>
      </c>
      <c r="H796" s="2" t="str">
        <f>IF(A796="","",IF(AND('Offset Inputs'!$B$5&gt;='Mortgage Inputs'!$B$5,'Mortgage Inputs'!$B$5&gt;0),'Offset Inputs'!$B$5-'Mortgage Inputs'!$B$5,D796+'Offset Inputs'!$B$6))</f>
        <v/>
      </c>
    </row>
    <row r="797" spans="1:8" ht="22" customHeight="1">
      <c r="A797" s="1" t="str">
        <f>IF(AND('Mortgage Inputs'!$B$12,791&lt;=IF('Mortgage Inputs'!$B$12,'Mortgage Inputs'!$B$7,0)*12+600,ISNUMBER(G796),G796&gt;0.005),791,"")</f>
        <v/>
      </c>
      <c r="B797" s="4" t="str">
        <f>IF(A797="","",DATE(YEAR('Mortgage Inputs'!$B$8),MONTH('Mortgage Inputs'!$B$8)+A797,DAY('Mortgage Inputs'!$B$8)))</f>
        <v/>
      </c>
      <c r="C797" s="2" t="str">
        <f t="shared" si="37"/>
        <v/>
      </c>
      <c r="D797" s="2" t="str">
        <f t="shared" si="38"/>
        <v/>
      </c>
      <c r="E797" s="2" t="str">
        <f>IF(A797="","",MAX(0,(C797-MIN(D797,C797))*'Mortgage Inputs'!$B$15))</f>
        <v/>
      </c>
      <c r="F797" s="2" t="str">
        <f>IF(A797="","",IF(AND('Offset Inputs'!$B$5&gt;='Mortgage Inputs'!$B$5,'Mortgage Inputs'!$B$5&gt;0),C797,MIN(C797,MAX(0,'Mortgage Inputs'!$B$17-E797))))</f>
        <v/>
      </c>
      <c r="G797" s="2" t="str">
        <f t="shared" si="36"/>
        <v/>
      </c>
      <c r="H797" s="2" t="str">
        <f>IF(A797="","",IF(AND('Offset Inputs'!$B$5&gt;='Mortgage Inputs'!$B$5,'Mortgage Inputs'!$B$5&gt;0),'Offset Inputs'!$B$5-'Mortgage Inputs'!$B$5,D797+'Offset Inputs'!$B$6))</f>
        <v/>
      </c>
    </row>
    <row r="798" spans="1:8" ht="22" customHeight="1">
      <c r="A798" s="1" t="str">
        <f>IF(AND('Mortgage Inputs'!$B$12,792&lt;=IF('Mortgage Inputs'!$B$12,'Mortgage Inputs'!$B$7,0)*12+600,ISNUMBER(G797),G797&gt;0.005),792,"")</f>
        <v/>
      </c>
      <c r="B798" s="4" t="str">
        <f>IF(A798="","",DATE(YEAR('Mortgage Inputs'!$B$8),MONTH('Mortgage Inputs'!$B$8)+A798,DAY('Mortgage Inputs'!$B$8)))</f>
        <v/>
      </c>
      <c r="C798" s="2" t="str">
        <f t="shared" si="37"/>
        <v/>
      </c>
      <c r="D798" s="2" t="str">
        <f t="shared" si="38"/>
        <v/>
      </c>
      <c r="E798" s="2" t="str">
        <f>IF(A798="","",MAX(0,(C798-MIN(D798,C798))*'Mortgage Inputs'!$B$15))</f>
        <v/>
      </c>
      <c r="F798" s="2" t="str">
        <f>IF(A798="","",IF(AND('Offset Inputs'!$B$5&gt;='Mortgage Inputs'!$B$5,'Mortgage Inputs'!$B$5&gt;0),C798,MIN(C798,MAX(0,'Mortgage Inputs'!$B$17-E798))))</f>
        <v/>
      </c>
      <c r="G798" s="2" t="str">
        <f t="shared" si="36"/>
        <v/>
      </c>
      <c r="H798" s="2" t="str">
        <f>IF(A798="","",IF(AND('Offset Inputs'!$B$5&gt;='Mortgage Inputs'!$B$5,'Mortgage Inputs'!$B$5&gt;0),'Offset Inputs'!$B$5-'Mortgage Inputs'!$B$5,D798+'Offset Inputs'!$B$6))</f>
        <v/>
      </c>
    </row>
    <row r="799" spans="1:8" ht="22" customHeight="1">
      <c r="A799" s="1" t="str">
        <f>IF(AND('Mortgage Inputs'!$B$12,793&lt;=IF('Mortgage Inputs'!$B$12,'Mortgage Inputs'!$B$7,0)*12+600,ISNUMBER(G798),G798&gt;0.005),793,"")</f>
        <v/>
      </c>
      <c r="B799" s="4" t="str">
        <f>IF(A799="","",DATE(YEAR('Mortgage Inputs'!$B$8),MONTH('Mortgage Inputs'!$B$8)+A799,DAY('Mortgage Inputs'!$B$8)))</f>
        <v/>
      </c>
      <c r="C799" s="2" t="str">
        <f t="shared" si="37"/>
        <v/>
      </c>
      <c r="D799" s="2" t="str">
        <f t="shared" si="38"/>
        <v/>
      </c>
      <c r="E799" s="2" t="str">
        <f>IF(A799="","",MAX(0,(C799-MIN(D799,C799))*'Mortgage Inputs'!$B$15))</f>
        <v/>
      </c>
      <c r="F799" s="2" t="str">
        <f>IF(A799="","",IF(AND('Offset Inputs'!$B$5&gt;='Mortgage Inputs'!$B$5,'Mortgage Inputs'!$B$5&gt;0),C799,MIN(C799,MAX(0,'Mortgage Inputs'!$B$17-E799))))</f>
        <v/>
      </c>
      <c r="G799" s="2" t="str">
        <f t="shared" si="36"/>
        <v/>
      </c>
      <c r="H799" s="2" t="str">
        <f>IF(A799="","",IF(AND('Offset Inputs'!$B$5&gt;='Mortgage Inputs'!$B$5,'Mortgage Inputs'!$B$5&gt;0),'Offset Inputs'!$B$5-'Mortgage Inputs'!$B$5,D799+'Offset Inputs'!$B$6))</f>
        <v/>
      </c>
    </row>
    <row r="800" spans="1:8" ht="22" customHeight="1">
      <c r="A800" s="1" t="str">
        <f>IF(AND('Mortgage Inputs'!$B$12,794&lt;=IF('Mortgage Inputs'!$B$12,'Mortgage Inputs'!$B$7,0)*12+600,ISNUMBER(G799),G799&gt;0.005),794,"")</f>
        <v/>
      </c>
      <c r="B800" s="4" t="str">
        <f>IF(A800="","",DATE(YEAR('Mortgage Inputs'!$B$8),MONTH('Mortgage Inputs'!$B$8)+A800,DAY('Mortgage Inputs'!$B$8)))</f>
        <v/>
      </c>
      <c r="C800" s="2" t="str">
        <f t="shared" si="37"/>
        <v/>
      </c>
      <c r="D800" s="2" t="str">
        <f t="shared" si="38"/>
        <v/>
      </c>
      <c r="E800" s="2" t="str">
        <f>IF(A800="","",MAX(0,(C800-MIN(D800,C800))*'Mortgage Inputs'!$B$15))</f>
        <v/>
      </c>
      <c r="F800" s="2" t="str">
        <f>IF(A800="","",IF(AND('Offset Inputs'!$B$5&gt;='Mortgage Inputs'!$B$5,'Mortgage Inputs'!$B$5&gt;0),C800,MIN(C800,MAX(0,'Mortgage Inputs'!$B$17-E800))))</f>
        <v/>
      </c>
      <c r="G800" s="2" t="str">
        <f t="shared" si="36"/>
        <v/>
      </c>
      <c r="H800" s="2" t="str">
        <f>IF(A800="","",IF(AND('Offset Inputs'!$B$5&gt;='Mortgage Inputs'!$B$5,'Mortgage Inputs'!$B$5&gt;0),'Offset Inputs'!$B$5-'Mortgage Inputs'!$B$5,D800+'Offset Inputs'!$B$6))</f>
        <v/>
      </c>
    </row>
    <row r="801" spans="1:8" ht="22" customHeight="1">
      <c r="A801" s="1" t="str">
        <f>IF(AND('Mortgage Inputs'!$B$12,795&lt;=IF('Mortgage Inputs'!$B$12,'Mortgage Inputs'!$B$7,0)*12+600,ISNUMBER(G800),G800&gt;0.005),795,"")</f>
        <v/>
      </c>
      <c r="B801" s="4" t="str">
        <f>IF(A801="","",DATE(YEAR('Mortgage Inputs'!$B$8),MONTH('Mortgage Inputs'!$B$8)+A801,DAY('Mortgage Inputs'!$B$8)))</f>
        <v/>
      </c>
      <c r="C801" s="2" t="str">
        <f t="shared" si="37"/>
        <v/>
      </c>
      <c r="D801" s="2" t="str">
        <f t="shared" si="38"/>
        <v/>
      </c>
      <c r="E801" s="2" t="str">
        <f>IF(A801="","",MAX(0,(C801-MIN(D801,C801))*'Mortgage Inputs'!$B$15))</f>
        <v/>
      </c>
      <c r="F801" s="2" t="str">
        <f>IF(A801="","",IF(AND('Offset Inputs'!$B$5&gt;='Mortgage Inputs'!$B$5,'Mortgage Inputs'!$B$5&gt;0),C801,MIN(C801,MAX(0,'Mortgage Inputs'!$B$17-E801))))</f>
        <v/>
      </c>
      <c r="G801" s="2" t="str">
        <f t="shared" si="36"/>
        <v/>
      </c>
      <c r="H801" s="2" t="str">
        <f>IF(A801="","",IF(AND('Offset Inputs'!$B$5&gt;='Mortgage Inputs'!$B$5,'Mortgage Inputs'!$B$5&gt;0),'Offset Inputs'!$B$5-'Mortgage Inputs'!$B$5,D801+'Offset Inputs'!$B$6))</f>
        <v/>
      </c>
    </row>
    <row r="802" spans="1:8" ht="22" customHeight="1">
      <c r="A802" s="1" t="str">
        <f>IF(AND('Mortgage Inputs'!$B$12,796&lt;=IF('Mortgage Inputs'!$B$12,'Mortgage Inputs'!$B$7,0)*12+600,ISNUMBER(G801),G801&gt;0.005),796,"")</f>
        <v/>
      </c>
      <c r="B802" s="4" t="str">
        <f>IF(A802="","",DATE(YEAR('Mortgage Inputs'!$B$8),MONTH('Mortgage Inputs'!$B$8)+A802,DAY('Mortgage Inputs'!$B$8)))</f>
        <v/>
      </c>
      <c r="C802" s="2" t="str">
        <f t="shared" si="37"/>
        <v/>
      </c>
      <c r="D802" s="2" t="str">
        <f t="shared" si="38"/>
        <v/>
      </c>
      <c r="E802" s="2" t="str">
        <f>IF(A802="","",MAX(0,(C802-MIN(D802,C802))*'Mortgage Inputs'!$B$15))</f>
        <v/>
      </c>
      <c r="F802" s="2" t="str">
        <f>IF(A802="","",IF(AND('Offset Inputs'!$B$5&gt;='Mortgage Inputs'!$B$5,'Mortgage Inputs'!$B$5&gt;0),C802,MIN(C802,MAX(0,'Mortgage Inputs'!$B$17-E802))))</f>
        <v/>
      </c>
      <c r="G802" s="2" t="str">
        <f t="shared" si="36"/>
        <v/>
      </c>
      <c r="H802" s="2" t="str">
        <f>IF(A802="","",IF(AND('Offset Inputs'!$B$5&gt;='Mortgage Inputs'!$B$5,'Mortgage Inputs'!$B$5&gt;0),'Offset Inputs'!$B$5-'Mortgage Inputs'!$B$5,D802+'Offset Inputs'!$B$6))</f>
        <v/>
      </c>
    </row>
    <row r="803" spans="1:8" ht="22" customHeight="1">
      <c r="A803" s="1" t="str">
        <f>IF(AND('Mortgage Inputs'!$B$12,797&lt;=IF('Mortgage Inputs'!$B$12,'Mortgage Inputs'!$B$7,0)*12+600,ISNUMBER(G802),G802&gt;0.005),797,"")</f>
        <v/>
      </c>
      <c r="B803" s="4" t="str">
        <f>IF(A803="","",DATE(YEAR('Mortgage Inputs'!$B$8),MONTH('Mortgage Inputs'!$B$8)+A803,DAY('Mortgage Inputs'!$B$8)))</f>
        <v/>
      </c>
      <c r="C803" s="2" t="str">
        <f t="shared" si="37"/>
        <v/>
      </c>
      <c r="D803" s="2" t="str">
        <f t="shared" si="38"/>
        <v/>
      </c>
      <c r="E803" s="2" t="str">
        <f>IF(A803="","",MAX(0,(C803-MIN(D803,C803))*'Mortgage Inputs'!$B$15))</f>
        <v/>
      </c>
      <c r="F803" s="2" t="str">
        <f>IF(A803="","",IF(AND('Offset Inputs'!$B$5&gt;='Mortgage Inputs'!$B$5,'Mortgage Inputs'!$B$5&gt;0),C803,MIN(C803,MAX(0,'Mortgage Inputs'!$B$17-E803))))</f>
        <v/>
      </c>
      <c r="G803" s="2" t="str">
        <f t="shared" si="36"/>
        <v/>
      </c>
      <c r="H803" s="2" t="str">
        <f>IF(A803="","",IF(AND('Offset Inputs'!$B$5&gt;='Mortgage Inputs'!$B$5,'Mortgage Inputs'!$B$5&gt;0),'Offset Inputs'!$B$5-'Mortgage Inputs'!$B$5,D803+'Offset Inputs'!$B$6))</f>
        <v/>
      </c>
    </row>
    <row r="804" spans="1:8" ht="22" customHeight="1">
      <c r="A804" s="1" t="str">
        <f>IF(AND('Mortgage Inputs'!$B$12,798&lt;=IF('Mortgage Inputs'!$B$12,'Mortgage Inputs'!$B$7,0)*12+600,ISNUMBER(G803),G803&gt;0.005),798,"")</f>
        <v/>
      </c>
      <c r="B804" s="4" t="str">
        <f>IF(A804="","",DATE(YEAR('Mortgage Inputs'!$B$8),MONTH('Mortgage Inputs'!$B$8)+A804,DAY('Mortgage Inputs'!$B$8)))</f>
        <v/>
      </c>
      <c r="C804" s="2" t="str">
        <f t="shared" si="37"/>
        <v/>
      </c>
      <c r="D804" s="2" t="str">
        <f t="shared" si="38"/>
        <v/>
      </c>
      <c r="E804" s="2" t="str">
        <f>IF(A804="","",MAX(0,(C804-MIN(D804,C804))*'Mortgage Inputs'!$B$15))</f>
        <v/>
      </c>
      <c r="F804" s="2" t="str">
        <f>IF(A804="","",IF(AND('Offset Inputs'!$B$5&gt;='Mortgage Inputs'!$B$5,'Mortgage Inputs'!$B$5&gt;0),C804,MIN(C804,MAX(0,'Mortgage Inputs'!$B$17-E804))))</f>
        <v/>
      </c>
      <c r="G804" s="2" t="str">
        <f t="shared" si="36"/>
        <v/>
      </c>
      <c r="H804" s="2" t="str">
        <f>IF(A804="","",IF(AND('Offset Inputs'!$B$5&gt;='Mortgage Inputs'!$B$5,'Mortgage Inputs'!$B$5&gt;0),'Offset Inputs'!$B$5-'Mortgage Inputs'!$B$5,D804+'Offset Inputs'!$B$6))</f>
        <v/>
      </c>
    </row>
    <row r="805" spans="1:8" ht="22" customHeight="1">
      <c r="A805" s="1" t="str">
        <f>IF(AND('Mortgage Inputs'!$B$12,799&lt;=IF('Mortgage Inputs'!$B$12,'Mortgage Inputs'!$B$7,0)*12+600,ISNUMBER(G804),G804&gt;0.005),799,"")</f>
        <v/>
      </c>
      <c r="B805" s="4" t="str">
        <f>IF(A805="","",DATE(YEAR('Mortgage Inputs'!$B$8),MONTH('Mortgage Inputs'!$B$8)+A805,DAY('Mortgage Inputs'!$B$8)))</f>
        <v/>
      </c>
      <c r="C805" s="2" t="str">
        <f t="shared" si="37"/>
        <v/>
      </c>
      <c r="D805" s="2" t="str">
        <f t="shared" si="38"/>
        <v/>
      </c>
      <c r="E805" s="2" t="str">
        <f>IF(A805="","",MAX(0,(C805-MIN(D805,C805))*'Mortgage Inputs'!$B$15))</f>
        <v/>
      </c>
      <c r="F805" s="2" t="str">
        <f>IF(A805="","",IF(AND('Offset Inputs'!$B$5&gt;='Mortgage Inputs'!$B$5,'Mortgage Inputs'!$B$5&gt;0),C805,MIN(C805,MAX(0,'Mortgage Inputs'!$B$17-E805))))</f>
        <v/>
      </c>
      <c r="G805" s="2" t="str">
        <f t="shared" si="36"/>
        <v/>
      </c>
      <c r="H805" s="2" t="str">
        <f>IF(A805="","",IF(AND('Offset Inputs'!$B$5&gt;='Mortgage Inputs'!$B$5,'Mortgage Inputs'!$B$5&gt;0),'Offset Inputs'!$B$5-'Mortgage Inputs'!$B$5,D805+'Offset Inputs'!$B$6))</f>
        <v/>
      </c>
    </row>
    <row r="806" spans="1:8" ht="22" customHeight="1">
      <c r="A806" s="1" t="str">
        <f>IF(AND('Mortgage Inputs'!$B$12,800&lt;=IF('Mortgage Inputs'!$B$12,'Mortgage Inputs'!$B$7,0)*12+600,ISNUMBER(G805),G805&gt;0.005),800,"")</f>
        <v/>
      </c>
      <c r="B806" s="4" t="str">
        <f>IF(A806="","",DATE(YEAR('Mortgage Inputs'!$B$8),MONTH('Mortgage Inputs'!$B$8)+A806,DAY('Mortgage Inputs'!$B$8)))</f>
        <v/>
      </c>
      <c r="C806" s="2" t="str">
        <f t="shared" si="37"/>
        <v/>
      </c>
      <c r="D806" s="2" t="str">
        <f t="shared" si="38"/>
        <v/>
      </c>
      <c r="E806" s="2" t="str">
        <f>IF(A806="","",MAX(0,(C806-MIN(D806,C806))*'Mortgage Inputs'!$B$15))</f>
        <v/>
      </c>
      <c r="F806" s="2" t="str">
        <f>IF(A806="","",IF(AND('Offset Inputs'!$B$5&gt;='Mortgage Inputs'!$B$5,'Mortgage Inputs'!$B$5&gt;0),C806,MIN(C806,MAX(0,'Mortgage Inputs'!$B$17-E806))))</f>
        <v/>
      </c>
      <c r="G806" s="2" t="str">
        <f t="shared" si="36"/>
        <v/>
      </c>
      <c r="H806" s="2" t="str">
        <f>IF(A806="","",IF(AND('Offset Inputs'!$B$5&gt;='Mortgage Inputs'!$B$5,'Mortgage Inputs'!$B$5&gt;0),'Offset Inputs'!$B$5-'Mortgage Inputs'!$B$5,D806+'Offset Inputs'!$B$6))</f>
        <v/>
      </c>
    </row>
    <row r="807" spans="1:8" ht="22" customHeight="1">
      <c r="A807" s="1" t="str">
        <f>IF(AND('Mortgage Inputs'!$B$12,801&lt;=IF('Mortgage Inputs'!$B$12,'Mortgage Inputs'!$B$7,0)*12+600,ISNUMBER(G806),G806&gt;0.005),801,"")</f>
        <v/>
      </c>
      <c r="B807" s="4" t="str">
        <f>IF(A807="","",DATE(YEAR('Mortgage Inputs'!$B$8),MONTH('Mortgage Inputs'!$B$8)+A807,DAY('Mortgage Inputs'!$B$8)))</f>
        <v/>
      </c>
      <c r="C807" s="2" t="str">
        <f t="shared" si="37"/>
        <v/>
      </c>
      <c r="D807" s="2" t="str">
        <f t="shared" si="38"/>
        <v/>
      </c>
      <c r="E807" s="2" t="str">
        <f>IF(A807="","",MAX(0,(C807-MIN(D807,C807))*'Mortgage Inputs'!$B$15))</f>
        <v/>
      </c>
      <c r="F807" s="2" t="str">
        <f>IF(A807="","",IF(AND('Offset Inputs'!$B$5&gt;='Mortgage Inputs'!$B$5,'Mortgage Inputs'!$B$5&gt;0),C807,MIN(C807,MAX(0,'Mortgage Inputs'!$B$17-E807))))</f>
        <v/>
      </c>
      <c r="G807" s="2" t="str">
        <f t="shared" si="36"/>
        <v/>
      </c>
      <c r="H807" s="2" t="str">
        <f>IF(A807="","",IF(AND('Offset Inputs'!$B$5&gt;='Mortgage Inputs'!$B$5,'Mortgage Inputs'!$B$5&gt;0),'Offset Inputs'!$B$5-'Mortgage Inputs'!$B$5,D807+'Offset Inputs'!$B$6))</f>
        <v/>
      </c>
    </row>
    <row r="808" spans="1:8" ht="22" customHeight="1">
      <c r="A808" s="1" t="str">
        <f>IF(AND('Mortgage Inputs'!$B$12,802&lt;=IF('Mortgage Inputs'!$B$12,'Mortgage Inputs'!$B$7,0)*12+600,ISNUMBER(G807),G807&gt;0.005),802,"")</f>
        <v/>
      </c>
      <c r="B808" s="4" t="str">
        <f>IF(A808="","",DATE(YEAR('Mortgage Inputs'!$B$8),MONTH('Mortgage Inputs'!$B$8)+A808,DAY('Mortgage Inputs'!$B$8)))</f>
        <v/>
      </c>
      <c r="C808" s="2" t="str">
        <f t="shared" si="37"/>
        <v/>
      </c>
      <c r="D808" s="2" t="str">
        <f t="shared" si="38"/>
        <v/>
      </c>
      <c r="E808" s="2" t="str">
        <f>IF(A808="","",MAX(0,(C808-MIN(D808,C808))*'Mortgage Inputs'!$B$15))</f>
        <v/>
      </c>
      <c r="F808" s="2" t="str">
        <f>IF(A808="","",IF(AND('Offset Inputs'!$B$5&gt;='Mortgage Inputs'!$B$5,'Mortgage Inputs'!$B$5&gt;0),C808,MIN(C808,MAX(0,'Mortgage Inputs'!$B$17-E808))))</f>
        <v/>
      </c>
      <c r="G808" s="2" t="str">
        <f t="shared" si="36"/>
        <v/>
      </c>
      <c r="H808" s="2" t="str">
        <f>IF(A808="","",IF(AND('Offset Inputs'!$B$5&gt;='Mortgage Inputs'!$B$5,'Mortgage Inputs'!$B$5&gt;0),'Offset Inputs'!$B$5-'Mortgage Inputs'!$B$5,D808+'Offset Inputs'!$B$6))</f>
        <v/>
      </c>
    </row>
    <row r="809" spans="1:8" ht="22" customHeight="1">
      <c r="A809" s="1" t="str">
        <f>IF(AND('Mortgage Inputs'!$B$12,803&lt;=IF('Mortgage Inputs'!$B$12,'Mortgage Inputs'!$B$7,0)*12+600,ISNUMBER(G808),G808&gt;0.005),803,"")</f>
        <v/>
      </c>
      <c r="B809" s="4" t="str">
        <f>IF(A809="","",DATE(YEAR('Mortgage Inputs'!$B$8),MONTH('Mortgage Inputs'!$B$8)+A809,DAY('Mortgage Inputs'!$B$8)))</f>
        <v/>
      </c>
      <c r="C809" s="2" t="str">
        <f t="shared" si="37"/>
        <v/>
      </c>
      <c r="D809" s="2" t="str">
        <f t="shared" si="38"/>
        <v/>
      </c>
      <c r="E809" s="2" t="str">
        <f>IF(A809="","",MAX(0,(C809-MIN(D809,C809))*'Mortgage Inputs'!$B$15))</f>
        <v/>
      </c>
      <c r="F809" s="2" t="str">
        <f>IF(A809="","",IF(AND('Offset Inputs'!$B$5&gt;='Mortgage Inputs'!$B$5,'Mortgage Inputs'!$B$5&gt;0),C809,MIN(C809,MAX(0,'Mortgage Inputs'!$B$17-E809))))</f>
        <v/>
      </c>
      <c r="G809" s="2" t="str">
        <f t="shared" si="36"/>
        <v/>
      </c>
      <c r="H809" s="2" t="str">
        <f>IF(A809="","",IF(AND('Offset Inputs'!$B$5&gt;='Mortgage Inputs'!$B$5,'Mortgage Inputs'!$B$5&gt;0),'Offset Inputs'!$B$5-'Mortgage Inputs'!$B$5,D809+'Offset Inputs'!$B$6))</f>
        <v/>
      </c>
    </row>
    <row r="810" spans="1:8" ht="22" customHeight="1">
      <c r="A810" s="1" t="str">
        <f>IF(AND('Mortgage Inputs'!$B$12,804&lt;=IF('Mortgage Inputs'!$B$12,'Mortgage Inputs'!$B$7,0)*12+600,ISNUMBER(G809),G809&gt;0.005),804,"")</f>
        <v/>
      </c>
      <c r="B810" s="4" t="str">
        <f>IF(A810="","",DATE(YEAR('Mortgage Inputs'!$B$8),MONTH('Mortgage Inputs'!$B$8)+A810,DAY('Mortgage Inputs'!$B$8)))</f>
        <v/>
      </c>
      <c r="C810" s="2" t="str">
        <f t="shared" si="37"/>
        <v/>
      </c>
      <c r="D810" s="2" t="str">
        <f t="shared" si="38"/>
        <v/>
      </c>
      <c r="E810" s="2" t="str">
        <f>IF(A810="","",MAX(0,(C810-MIN(D810,C810))*'Mortgage Inputs'!$B$15))</f>
        <v/>
      </c>
      <c r="F810" s="2" t="str">
        <f>IF(A810="","",IF(AND('Offset Inputs'!$B$5&gt;='Mortgage Inputs'!$B$5,'Mortgage Inputs'!$B$5&gt;0),C810,MIN(C810,MAX(0,'Mortgage Inputs'!$B$17-E810))))</f>
        <v/>
      </c>
      <c r="G810" s="2" t="str">
        <f t="shared" si="36"/>
        <v/>
      </c>
      <c r="H810" s="2" t="str">
        <f>IF(A810="","",IF(AND('Offset Inputs'!$B$5&gt;='Mortgage Inputs'!$B$5,'Mortgage Inputs'!$B$5&gt;0),'Offset Inputs'!$B$5-'Mortgage Inputs'!$B$5,D810+'Offset Inputs'!$B$6))</f>
        <v/>
      </c>
    </row>
    <row r="811" spans="1:8" ht="22" customHeight="1">
      <c r="A811" s="1" t="str">
        <f>IF(AND('Mortgage Inputs'!$B$12,805&lt;=IF('Mortgage Inputs'!$B$12,'Mortgage Inputs'!$B$7,0)*12+600,ISNUMBER(G810),G810&gt;0.005),805,"")</f>
        <v/>
      </c>
      <c r="B811" s="4" t="str">
        <f>IF(A811="","",DATE(YEAR('Mortgage Inputs'!$B$8),MONTH('Mortgage Inputs'!$B$8)+A811,DAY('Mortgage Inputs'!$B$8)))</f>
        <v/>
      </c>
      <c r="C811" s="2" t="str">
        <f t="shared" si="37"/>
        <v/>
      </c>
      <c r="D811" s="2" t="str">
        <f t="shared" si="38"/>
        <v/>
      </c>
      <c r="E811" s="2" t="str">
        <f>IF(A811="","",MAX(0,(C811-MIN(D811,C811))*'Mortgage Inputs'!$B$15))</f>
        <v/>
      </c>
      <c r="F811" s="2" t="str">
        <f>IF(A811="","",IF(AND('Offset Inputs'!$B$5&gt;='Mortgage Inputs'!$B$5,'Mortgage Inputs'!$B$5&gt;0),C811,MIN(C811,MAX(0,'Mortgage Inputs'!$B$17-E811))))</f>
        <v/>
      </c>
      <c r="G811" s="2" t="str">
        <f t="shared" si="36"/>
        <v/>
      </c>
      <c r="H811" s="2" t="str">
        <f>IF(A811="","",IF(AND('Offset Inputs'!$B$5&gt;='Mortgage Inputs'!$B$5,'Mortgage Inputs'!$B$5&gt;0),'Offset Inputs'!$B$5-'Mortgage Inputs'!$B$5,D811+'Offset Inputs'!$B$6))</f>
        <v/>
      </c>
    </row>
    <row r="812" spans="1:8" ht="22" customHeight="1">
      <c r="A812" s="1" t="str">
        <f>IF(AND('Mortgage Inputs'!$B$12,806&lt;=IF('Mortgage Inputs'!$B$12,'Mortgage Inputs'!$B$7,0)*12+600,ISNUMBER(G811),G811&gt;0.005),806,"")</f>
        <v/>
      </c>
      <c r="B812" s="4" t="str">
        <f>IF(A812="","",DATE(YEAR('Mortgage Inputs'!$B$8),MONTH('Mortgage Inputs'!$B$8)+A812,DAY('Mortgage Inputs'!$B$8)))</f>
        <v/>
      </c>
      <c r="C812" s="2" t="str">
        <f t="shared" si="37"/>
        <v/>
      </c>
      <c r="D812" s="2" t="str">
        <f t="shared" si="38"/>
        <v/>
      </c>
      <c r="E812" s="2" t="str">
        <f>IF(A812="","",MAX(0,(C812-MIN(D812,C812))*'Mortgage Inputs'!$B$15))</f>
        <v/>
      </c>
      <c r="F812" s="2" t="str">
        <f>IF(A812="","",IF(AND('Offset Inputs'!$B$5&gt;='Mortgage Inputs'!$B$5,'Mortgage Inputs'!$B$5&gt;0),C812,MIN(C812,MAX(0,'Mortgage Inputs'!$B$17-E812))))</f>
        <v/>
      </c>
      <c r="G812" s="2" t="str">
        <f t="shared" si="36"/>
        <v/>
      </c>
      <c r="H812" s="2" t="str">
        <f>IF(A812="","",IF(AND('Offset Inputs'!$B$5&gt;='Mortgage Inputs'!$B$5,'Mortgage Inputs'!$B$5&gt;0),'Offset Inputs'!$B$5-'Mortgage Inputs'!$B$5,D812+'Offset Inputs'!$B$6))</f>
        <v/>
      </c>
    </row>
    <row r="813" spans="1:8" ht="22" customHeight="1">
      <c r="A813" s="1" t="str">
        <f>IF(AND('Mortgage Inputs'!$B$12,807&lt;=IF('Mortgage Inputs'!$B$12,'Mortgage Inputs'!$B$7,0)*12+600,ISNUMBER(G812),G812&gt;0.005),807,"")</f>
        <v/>
      </c>
      <c r="B813" s="4" t="str">
        <f>IF(A813="","",DATE(YEAR('Mortgage Inputs'!$B$8),MONTH('Mortgage Inputs'!$B$8)+A813,DAY('Mortgage Inputs'!$B$8)))</f>
        <v/>
      </c>
      <c r="C813" s="2" t="str">
        <f t="shared" si="37"/>
        <v/>
      </c>
      <c r="D813" s="2" t="str">
        <f t="shared" si="38"/>
        <v/>
      </c>
      <c r="E813" s="2" t="str">
        <f>IF(A813="","",MAX(0,(C813-MIN(D813,C813))*'Mortgage Inputs'!$B$15))</f>
        <v/>
      </c>
      <c r="F813" s="2" t="str">
        <f>IF(A813="","",IF(AND('Offset Inputs'!$B$5&gt;='Mortgage Inputs'!$B$5,'Mortgage Inputs'!$B$5&gt;0),C813,MIN(C813,MAX(0,'Mortgage Inputs'!$B$17-E813))))</f>
        <v/>
      </c>
      <c r="G813" s="2" t="str">
        <f t="shared" si="36"/>
        <v/>
      </c>
      <c r="H813" s="2" t="str">
        <f>IF(A813="","",IF(AND('Offset Inputs'!$B$5&gt;='Mortgage Inputs'!$B$5,'Mortgage Inputs'!$B$5&gt;0),'Offset Inputs'!$B$5-'Mortgage Inputs'!$B$5,D813+'Offset Inputs'!$B$6))</f>
        <v/>
      </c>
    </row>
    <row r="814" spans="1:8" ht="22" customHeight="1">
      <c r="A814" s="1" t="str">
        <f>IF(AND('Mortgage Inputs'!$B$12,808&lt;=IF('Mortgage Inputs'!$B$12,'Mortgage Inputs'!$B$7,0)*12+600,ISNUMBER(G813),G813&gt;0.005),808,"")</f>
        <v/>
      </c>
      <c r="B814" s="4" t="str">
        <f>IF(A814="","",DATE(YEAR('Mortgage Inputs'!$B$8),MONTH('Mortgage Inputs'!$B$8)+A814,DAY('Mortgage Inputs'!$B$8)))</f>
        <v/>
      </c>
      <c r="C814" s="2" t="str">
        <f t="shared" si="37"/>
        <v/>
      </c>
      <c r="D814" s="2" t="str">
        <f t="shared" si="38"/>
        <v/>
      </c>
      <c r="E814" s="2" t="str">
        <f>IF(A814="","",MAX(0,(C814-MIN(D814,C814))*'Mortgage Inputs'!$B$15))</f>
        <v/>
      </c>
      <c r="F814" s="2" t="str">
        <f>IF(A814="","",IF(AND('Offset Inputs'!$B$5&gt;='Mortgage Inputs'!$B$5,'Mortgage Inputs'!$B$5&gt;0),C814,MIN(C814,MAX(0,'Mortgage Inputs'!$B$17-E814))))</f>
        <v/>
      </c>
      <c r="G814" s="2" t="str">
        <f t="shared" si="36"/>
        <v/>
      </c>
      <c r="H814" s="2" t="str">
        <f>IF(A814="","",IF(AND('Offset Inputs'!$B$5&gt;='Mortgage Inputs'!$B$5,'Mortgage Inputs'!$B$5&gt;0),'Offset Inputs'!$B$5-'Mortgage Inputs'!$B$5,D814+'Offset Inputs'!$B$6))</f>
        <v/>
      </c>
    </row>
    <row r="815" spans="1:8" ht="22" customHeight="1">
      <c r="A815" s="1" t="str">
        <f>IF(AND('Mortgage Inputs'!$B$12,809&lt;=IF('Mortgage Inputs'!$B$12,'Mortgage Inputs'!$B$7,0)*12+600,ISNUMBER(G814),G814&gt;0.005),809,"")</f>
        <v/>
      </c>
      <c r="B815" s="4" t="str">
        <f>IF(A815="","",DATE(YEAR('Mortgage Inputs'!$B$8),MONTH('Mortgage Inputs'!$B$8)+A815,DAY('Mortgage Inputs'!$B$8)))</f>
        <v/>
      </c>
      <c r="C815" s="2" t="str">
        <f t="shared" si="37"/>
        <v/>
      </c>
      <c r="D815" s="2" t="str">
        <f t="shared" si="38"/>
        <v/>
      </c>
      <c r="E815" s="2" t="str">
        <f>IF(A815="","",MAX(0,(C815-MIN(D815,C815))*'Mortgage Inputs'!$B$15))</f>
        <v/>
      </c>
      <c r="F815" s="2" t="str">
        <f>IF(A815="","",IF(AND('Offset Inputs'!$B$5&gt;='Mortgage Inputs'!$B$5,'Mortgage Inputs'!$B$5&gt;0),C815,MIN(C815,MAX(0,'Mortgage Inputs'!$B$17-E815))))</f>
        <v/>
      </c>
      <c r="G815" s="2" t="str">
        <f t="shared" si="36"/>
        <v/>
      </c>
      <c r="H815" s="2" t="str">
        <f>IF(A815="","",IF(AND('Offset Inputs'!$B$5&gt;='Mortgage Inputs'!$B$5,'Mortgage Inputs'!$B$5&gt;0),'Offset Inputs'!$B$5-'Mortgage Inputs'!$B$5,D815+'Offset Inputs'!$B$6))</f>
        <v/>
      </c>
    </row>
    <row r="816" spans="1:8" ht="22" customHeight="1">
      <c r="A816" s="1" t="str">
        <f>IF(AND('Mortgage Inputs'!$B$12,810&lt;=IF('Mortgage Inputs'!$B$12,'Mortgage Inputs'!$B$7,0)*12+600,ISNUMBER(G815),G815&gt;0.005),810,"")</f>
        <v/>
      </c>
      <c r="B816" s="4" t="str">
        <f>IF(A816="","",DATE(YEAR('Mortgage Inputs'!$B$8),MONTH('Mortgage Inputs'!$B$8)+A816,DAY('Mortgage Inputs'!$B$8)))</f>
        <v/>
      </c>
      <c r="C816" s="2" t="str">
        <f t="shared" si="37"/>
        <v/>
      </c>
      <c r="D816" s="2" t="str">
        <f t="shared" si="38"/>
        <v/>
      </c>
      <c r="E816" s="2" t="str">
        <f>IF(A816="","",MAX(0,(C816-MIN(D816,C816))*'Mortgage Inputs'!$B$15))</f>
        <v/>
      </c>
      <c r="F816" s="2" t="str">
        <f>IF(A816="","",IF(AND('Offset Inputs'!$B$5&gt;='Mortgage Inputs'!$B$5,'Mortgage Inputs'!$B$5&gt;0),C816,MIN(C816,MAX(0,'Mortgage Inputs'!$B$17-E816))))</f>
        <v/>
      </c>
      <c r="G816" s="2" t="str">
        <f t="shared" si="36"/>
        <v/>
      </c>
      <c r="H816" s="2" t="str">
        <f>IF(A816="","",IF(AND('Offset Inputs'!$B$5&gt;='Mortgage Inputs'!$B$5,'Mortgage Inputs'!$B$5&gt;0),'Offset Inputs'!$B$5-'Mortgage Inputs'!$B$5,D816+'Offset Inputs'!$B$6))</f>
        <v/>
      </c>
    </row>
    <row r="817" spans="1:8" ht="22" customHeight="1">
      <c r="A817" s="1" t="str">
        <f>IF(AND('Mortgage Inputs'!$B$12,811&lt;=IF('Mortgage Inputs'!$B$12,'Mortgage Inputs'!$B$7,0)*12+600,ISNUMBER(G816),G816&gt;0.005),811,"")</f>
        <v/>
      </c>
      <c r="B817" s="4" t="str">
        <f>IF(A817="","",DATE(YEAR('Mortgage Inputs'!$B$8),MONTH('Mortgage Inputs'!$B$8)+A817,DAY('Mortgage Inputs'!$B$8)))</f>
        <v/>
      </c>
      <c r="C817" s="2" t="str">
        <f t="shared" si="37"/>
        <v/>
      </c>
      <c r="D817" s="2" t="str">
        <f t="shared" si="38"/>
        <v/>
      </c>
      <c r="E817" s="2" t="str">
        <f>IF(A817="","",MAX(0,(C817-MIN(D817,C817))*'Mortgage Inputs'!$B$15))</f>
        <v/>
      </c>
      <c r="F817" s="2" t="str">
        <f>IF(A817="","",IF(AND('Offset Inputs'!$B$5&gt;='Mortgage Inputs'!$B$5,'Mortgage Inputs'!$B$5&gt;0),C817,MIN(C817,MAX(0,'Mortgage Inputs'!$B$17-E817))))</f>
        <v/>
      </c>
      <c r="G817" s="2" t="str">
        <f t="shared" si="36"/>
        <v/>
      </c>
      <c r="H817" s="2" t="str">
        <f>IF(A817="","",IF(AND('Offset Inputs'!$B$5&gt;='Mortgage Inputs'!$B$5,'Mortgage Inputs'!$B$5&gt;0),'Offset Inputs'!$B$5-'Mortgage Inputs'!$B$5,D817+'Offset Inputs'!$B$6))</f>
        <v/>
      </c>
    </row>
    <row r="818" spans="1:8" ht="22" customHeight="1">
      <c r="A818" s="1" t="str">
        <f>IF(AND('Mortgage Inputs'!$B$12,812&lt;=IF('Mortgage Inputs'!$B$12,'Mortgage Inputs'!$B$7,0)*12+600,ISNUMBER(G817),G817&gt;0.005),812,"")</f>
        <v/>
      </c>
      <c r="B818" s="4" t="str">
        <f>IF(A818="","",DATE(YEAR('Mortgage Inputs'!$B$8),MONTH('Mortgage Inputs'!$B$8)+A818,DAY('Mortgage Inputs'!$B$8)))</f>
        <v/>
      </c>
      <c r="C818" s="2" t="str">
        <f t="shared" si="37"/>
        <v/>
      </c>
      <c r="D818" s="2" t="str">
        <f t="shared" si="38"/>
        <v/>
      </c>
      <c r="E818" s="2" t="str">
        <f>IF(A818="","",MAX(0,(C818-MIN(D818,C818))*'Mortgage Inputs'!$B$15))</f>
        <v/>
      </c>
      <c r="F818" s="2" t="str">
        <f>IF(A818="","",IF(AND('Offset Inputs'!$B$5&gt;='Mortgage Inputs'!$B$5,'Mortgage Inputs'!$B$5&gt;0),C818,MIN(C818,MAX(0,'Mortgage Inputs'!$B$17-E818))))</f>
        <v/>
      </c>
      <c r="G818" s="2" t="str">
        <f t="shared" si="36"/>
        <v/>
      </c>
      <c r="H818" s="2" t="str">
        <f>IF(A818="","",IF(AND('Offset Inputs'!$B$5&gt;='Mortgage Inputs'!$B$5,'Mortgage Inputs'!$B$5&gt;0),'Offset Inputs'!$B$5-'Mortgage Inputs'!$B$5,D818+'Offset Inputs'!$B$6))</f>
        <v/>
      </c>
    </row>
    <row r="819" spans="1:8" ht="22" customHeight="1">
      <c r="A819" s="1" t="str">
        <f>IF(AND('Mortgage Inputs'!$B$12,813&lt;=IF('Mortgage Inputs'!$B$12,'Mortgage Inputs'!$B$7,0)*12+600,ISNUMBER(G818),G818&gt;0.005),813,"")</f>
        <v/>
      </c>
      <c r="B819" s="4" t="str">
        <f>IF(A819="","",DATE(YEAR('Mortgage Inputs'!$B$8),MONTH('Mortgage Inputs'!$B$8)+A819,DAY('Mortgage Inputs'!$B$8)))</f>
        <v/>
      </c>
      <c r="C819" s="2" t="str">
        <f t="shared" si="37"/>
        <v/>
      </c>
      <c r="D819" s="2" t="str">
        <f t="shared" si="38"/>
        <v/>
      </c>
      <c r="E819" s="2" t="str">
        <f>IF(A819="","",MAX(0,(C819-MIN(D819,C819))*'Mortgage Inputs'!$B$15))</f>
        <v/>
      </c>
      <c r="F819" s="2" t="str">
        <f>IF(A819="","",IF(AND('Offset Inputs'!$B$5&gt;='Mortgage Inputs'!$B$5,'Mortgage Inputs'!$B$5&gt;0),C819,MIN(C819,MAX(0,'Mortgage Inputs'!$B$17-E819))))</f>
        <v/>
      </c>
      <c r="G819" s="2" t="str">
        <f t="shared" si="36"/>
        <v/>
      </c>
      <c r="H819" s="2" t="str">
        <f>IF(A819="","",IF(AND('Offset Inputs'!$B$5&gt;='Mortgage Inputs'!$B$5,'Mortgage Inputs'!$B$5&gt;0),'Offset Inputs'!$B$5-'Mortgage Inputs'!$B$5,D819+'Offset Inputs'!$B$6))</f>
        <v/>
      </c>
    </row>
    <row r="820" spans="1:8" ht="22" customHeight="1">
      <c r="A820" s="1" t="str">
        <f>IF(AND('Mortgage Inputs'!$B$12,814&lt;=IF('Mortgage Inputs'!$B$12,'Mortgage Inputs'!$B$7,0)*12+600,ISNUMBER(G819),G819&gt;0.005),814,"")</f>
        <v/>
      </c>
      <c r="B820" s="4" t="str">
        <f>IF(A820="","",DATE(YEAR('Mortgage Inputs'!$B$8),MONTH('Mortgage Inputs'!$B$8)+A820,DAY('Mortgage Inputs'!$B$8)))</f>
        <v/>
      </c>
      <c r="C820" s="2" t="str">
        <f t="shared" si="37"/>
        <v/>
      </c>
      <c r="D820" s="2" t="str">
        <f t="shared" si="38"/>
        <v/>
      </c>
      <c r="E820" s="2" t="str">
        <f>IF(A820="","",MAX(0,(C820-MIN(D820,C820))*'Mortgage Inputs'!$B$15))</f>
        <v/>
      </c>
      <c r="F820" s="2" t="str">
        <f>IF(A820="","",IF(AND('Offset Inputs'!$B$5&gt;='Mortgage Inputs'!$B$5,'Mortgage Inputs'!$B$5&gt;0),C820,MIN(C820,MAX(0,'Mortgage Inputs'!$B$17-E820))))</f>
        <v/>
      </c>
      <c r="G820" s="2" t="str">
        <f t="shared" si="36"/>
        <v/>
      </c>
      <c r="H820" s="2" t="str">
        <f>IF(A820="","",IF(AND('Offset Inputs'!$B$5&gt;='Mortgage Inputs'!$B$5,'Mortgage Inputs'!$B$5&gt;0),'Offset Inputs'!$B$5-'Mortgage Inputs'!$B$5,D820+'Offset Inputs'!$B$6))</f>
        <v/>
      </c>
    </row>
    <row r="821" spans="1:8" ht="22" customHeight="1">
      <c r="A821" s="1" t="str">
        <f>IF(AND('Mortgage Inputs'!$B$12,815&lt;=IF('Mortgage Inputs'!$B$12,'Mortgage Inputs'!$B$7,0)*12+600,ISNUMBER(G820),G820&gt;0.005),815,"")</f>
        <v/>
      </c>
      <c r="B821" s="4" t="str">
        <f>IF(A821="","",DATE(YEAR('Mortgage Inputs'!$B$8),MONTH('Mortgage Inputs'!$B$8)+A821,DAY('Mortgage Inputs'!$B$8)))</f>
        <v/>
      </c>
      <c r="C821" s="2" t="str">
        <f t="shared" si="37"/>
        <v/>
      </c>
      <c r="D821" s="2" t="str">
        <f t="shared" si="38"/>
        <v/>
      </c>
      <c r="E821" s="2" t="str">
        <f>IF(A821="","",MAX(0,(C821-MIN(D821,C821))*'Mortgage Inputs'!$B$15))</f>
        <v/>
      </c>
      <c r="F821" s="2" t="str">
        <f>IF(A821="","",IF(AND('Offset Inputs'!$B$5&gt;='Mortgage Inputs'!$B$5,'Mortgage Inputs'!$B$5&gt;0),C821,MIN(C821,MAX(0,'Mortgage Inputs'!$B$17-E821))))</f>
        <v/>
      </c>
      <c r="G821" s="2" t="str">
        <f t="shared" si="36"/>
        <v/>
      </c>
      <c r="H821" s="2" t="str">
        <f>IF(A821="","",IF(AND('Offset Inputs'!$B$5&gt;='Mortgage Inputs'!$B$5,'Mortgage Inputs'!$B$5&gt;0),'Offset Inputs'!$B$5-'Mortgage Inputs'!$B$5,D821+'Offset Inputs'!$B$6))</f>
        <v/>
      </c>
    </row>
    <row r="822" spans="1:8" ht="22" customHeight="1">
      <c r="A822" s="1" t="str">
        <f>IF(AND('Mortgage Inputs'!$B$12,816&lt;=IF('Mortgage Inputs'!$B$12,'Mortgage Inputs'!$B$7,0)*12+600,ISNUMBER(G821),G821&gt;0.005),816,"")</f>
        <v/>
      </c>
      <c r="B822" s="4" t="str">
        <f>IF(A822="","",DATE(YEAR('Mortgage Inputs'!$B$8),MONTH('Mortgage Inputs'!$B$8)+A822,DAY('Mortgage Inputs'!$B$8)))</f>
        <v/>
      </c>
      <c r="C822" s="2" t="str">
        <f t="shared" si="37"/>
        <v/>
      </c>
      <c r="D822" s="2" t="str">
        <f t="shared" si="38"/>
        <v/>
      </c>
      <c r="E822" s="2" t="str">
        <f>IF(A822="","",MAX(0,(C822-MIN(D822,C822))*'Mortgage Inputs'!$B$15))</f>
        <v/>
      </c>
      <c r="F822" s="2" t="str">
        <f>IF(A822="","",IF(AND('Offset Inputs'!$B$5&gt;='Mortgage Inputs'!$B$5,'Mortgage Inputs'!$B$5&gt;0),C822,MIN(C822,MAX(0,'Mortgage Inputs'!$B$17-E822))))</f>
        <v/>
      </c>
      <c r="G822" s="2" t="str">
        <f t="shared" si="36"/>
        <v/>
      </c>
      <c r="H822" s="2" t="str">
        <f>IF(A822="","",IF(AND('Offset Inputs'!$B$5&gt;='Mortgage Inputs'!$B$5,'Mortgage Inputs'!$B$5&gt;0),'Offset Inputs'!$B$5-'Mortgage Inputs'!$B$5,D822+'Offset Inputs'!$B$6))</f>
        <v/>
      </c>
    </row>
    <row r="823" spans="1:8" ht="22" customHeight="1">
      <c r="A823" s="1" t="str">
        <f>IF(AND('Mortgage Inputs'!$B$12,817&lt;=IF('Mortgage Inputs'!$B$12,'Mortgage Inputs'!$B$7,0)*12+600,ISNUMBER(G822),G822&gt;0.005),817,"")</f>
        <v/>
      </c>
      <c r="B823" s="4" t="str">
        <f>IF(A823="","",DATE(YEAR('Mortgage Inputs'!$B$8),MONTH('Mortgage Inputs'!$B$8)+A823,DAY('Mortgage Inputs'!$B$8)))</f>
        <v/>
      </c>
      <c r="C823" s="2" t="str">
        <f t="shared" si="37"/>
        <v/>
      </c>
      <c r="D823" s="2" t="str">
        <f t="shared" si="38"/>
        <v/>
      </c>
      <c r="E823" s="2" t="str">
        <f>IF(A823="","",MAX(0,(C823-MIN(D823,C823))*'Mortgage Inputs'!$B$15))</f>
        <v/>
      </c>
      <c r="F823" s="2" t="str">
        <f>IF(A823="","",IF(AND('Offset Inputs'!$B$5&gt;='Mortgage Inputs'!$B$5,'Mortgage Inputs'!$B$5&gt;0),C823,MIN(C823,MAX(0,'Mortgage Inputs'!$B$17-E823))))</f>
        <v/>
      </c>
      <c r="G823" s="2" t="str">
        <f t="shared" si="36"/>
        <v/>
      </c>
      <c r="H823" s="2" t="str">
        <f>IF(A823="","",IF(AND('Offset Inputs'!$B$5&gt;='Mortgage Inputs'!$B$5,'Mortgage Inputs'!$B$5&gt;0),'Offset Inputs'!$B$5-'Mortgage Inputs'!$B$5,D823+'Offset Inputs'!$B$6))</f>
        <v/>
      </c>
    </row>
    <row r="824" spans="1:8" ht="22" customHeight="1">
      <c r="A824" s="1" t="str">
        <f>IF(AND('Mortgage Inputs'!$B$12,818&lt;=IF('Mortgage Inputs'!$B$12,'Mortgage Inputs'!$B$7,0)*12+600,ISNUMBER(G823),G823&gt;0.005),818,"")</f>
        <v/>
      </c>
      <c r="B824" s="4" t="str">
        <f>IF(A824="","",DATE(YEAR('Mortgage Inputs'!$B$8),MONTH('Mortgage Inputs'!$B$8)+A824,DAY('Mortgage Inputs'!$B$8)))</f>
        <v/>
      </c>
      <c r="C824" s="2" t="str">
        <f t="shared" si="37"/>
        <v/>
      </c>
      <c r="D824" s="2" t="str">
        <f t="shared" si="38"/>
        <v/>
      </c>
      <c r="E824" s="2" t="str">
        <f>IF(A824="","",MAX(0,(C824-MIN(D824,C824))*'Mortgage Inputs'!$B$15))</f>
        <v/>
      </c>
      <c r="F824" s="2" t="str">
        <f>IF(A824="","",IF(AND('Offset Inputs'!$B$5&gt;='Mortgage Inputs'!$B$5,'Mortgage Inputs'!$B$5&gt;0),C824,MIN(C824,MAX(0,'Mortgage Inputs'!$B$17-E824))))</f>
        <v/>
      </c>
      <c r="G824" s="2" t="str">
        <f t="shared" si="36"/>
        <v/>
      </c>
      <c r="H824" s="2" t="str">
        <f>IF(A824="","",IF(AND('Offset Inputs'!$B$5&gt;='Mortgage Inputs'!$B$5,'Mortgage Inputs'!$B$5&gt;0),'Offset Inputs'!$B$5-'Mortgage Inputs'!$B$5,D824+'Offset Inputs'!$B$6))</f>
        <v/>
      </c>
    </row>
    <row r="825" spans="1:8" ht="22" customHeight="1">
      <c r="A825" s="1" t="str">
        <f>IF(AND('Mortgage Inputs'!$B$12,819&lt;=IF('Mortgage Inputs'!$B$12,'Mortgage Inputs'!$B$7,0)*12+600,ISNUMBER(G824),G824&gt;0.005),819,"")</f>
        <v/>
      </c>
      <c r="B825" s="4" t="str">
        <f>IF(A825="","",DATE(YEAR('Mortgage Inputs'!$B$8),MONTH('Mortgage Inputs'!$B$8)+A825,DAY('Mortgage Inputs'!$B$8)))</f>
        <v/>
      </c>
      <c r="C825" s="2" t="str">
        <f t="shared" si="37"/>
        <v/>
      </c>
      <c r="D825" s="2" t="str">
        <f t="shared" si="38"/>
        <v/>
      </c>
      <c r="E825" s="2" t="str">
        <f>IF(A825="","",MAX(0,(C825-MIN(D825,C825))*'Mortgage Inputs'!$B$15))</f>
        <v/>
      </c>
      <c r="F825" s="2" t="str">
        <f>IF(A825="","",IF(AND('Offset Inputs'!$B$5&gt;='Mortgage Inputs'!$B$5,'Mortgage Inputs'!$B$5&gt;0),C825,MIN(C825,MAX(0,'Mortgage Inputs'!$B$17-E825))))</f>
        <v/>
      </c>
      <c r="G825" s="2" t="str">
        <f t="shared" si="36"/>
        <v/>
      </c>
      <c r="H825" s="2" t="str">
        <f>IF(A825="","",IF(AND('Offset Inputs'!$B$5&gt;='Mortgage Inputs'!$B$5,'Mortgage Inputs'!$B$5&gt;0),'Offset Inputs'!$B$5-'Mortgage Inputs'!$B$5,D825+'Offset Inputs'!$B$6))</f>
        <v/>
      </c>
    </row>
    <row r="826" spans="1:8" ht="22" customHeight="1">
      <c r="A826" s="1" t="str">
        <f>IF(AND('Mortgage Inputs'!$B$12,820&lt;=IF('Mortgage Inputs'!$B$12,'Mortgage Inputs'!$B$7,0)*12+600,ISNUMBER(G825),G825&gt;0.005),820,"")</f>
        <v/>
      </c>
      <c r="B826" s="4" t="str">
        <f>IF(A826="","",DATE(YEAR('Mortgage Inputs'!$B$8),MONTH('Mortgage Inputs'!$B$8)+A826,DAY('Mortgage Inputs'!$B$8)))</f>
        <v/>
      </c>
      <c r="C826" s="2" t="str">
        <f t="shared" si="37"/>
        <v/>
      </c>
      <c r="D826" s="2" t="str">
        <f t="shared" si="38"/>
        <v/>
      </c>
      <c r="E826" s="2" t="str">
        <f>IF(A826="","",MAX(0,(C826-MIN(D826,C826))*'Mortgage Inputs'!$B$15))</f>
        <v/>
      </c>
      <c r="F826" s="2" t="str">
        <f>IF(A826="","",IF(AND('Offset Inputs'!$B$5&gt;='Mortgage Inputs'!$B$5,'Mortgage Inputs'!$B$5&gt;0),C826,MIN(C826,MAX(0,'Mortgage Inputs'!$B$17-E826))))</f>
        <v/>
      </c>
      <c r="G826" s="2" t="str">
        <f t="shared" si="36"/>
        <v/>
      </c>
      <c r="H826" s="2" t="str">
        <f>IF(A826="","",IF(AND('Offset Inputs'!$B$5&gt;='Mortgage Inputs'!$B$5,'Mortgage Inputs'!$B$5&gt;0),'Offset Inputs'!$B$5-'Mortgage Inputs'!$B$5,D826+'Offset Inputs'!$B$6))</f>
        <v/>
      </c>
    </row>
    <row r="827" spans="1:8" ht="22" customHeight="1">
      <c r="A827" s="1" t="str">
        <f>IF(AND('Mortgage Inputs'!$B$12,821&lt;=IF('Mortgage Inputs'!$B$12,'Mortgage Inputs'!$B$7,0)*12+600,ISNUMBER(G826),G826&gt;0.005),821,"")</f>
        <v/>
      </c>
      <c r="B827" s="4" t="str">
        <f>IF(A827="","",DATE(YEAR('Mortgage Inputs'!$B$8),MONTH('Mortgage Inputs'!$B$8)+A827,DAY('Mortgage Inputs'!$B$8)))</f>
        <v/>
      </c>
      <c r="C827" s="2" t="str">
        <f t="shared" si="37"/>
        <v/>
      </c>
      <c r="D827" s="2" t="str">
        <f t="shared" si="38"/>
        <v/>
      </c>
      <c r="E827" s="2" t="str">
        <f>IF(A827="","",MAX(0,(C827-MIN(D827,C827))*'Mortgage Inputs'!$B$15))</f>
        <v/>
      </c>
      <c r="F827" s="2" t="str">
        <f>IF(A827="","",IF(AND('Offset Inputs'!$B$5&gt;='Mortgage Inputs'!$B$5,'Mortgage Inputs'!$B$5&gt;0),C827,MIN(C827,MAX(0,'Mortgage Inputs'!$B$17-E827))))</f>
        <v/>
      </c>
      <c r="G827" s="2" t="str">
        <f t="shared" si="36"/>
        <v/>
      </c>
      <c r="H827" s="2" t="str">
        <f>IF(A827="","",IF(AND('Offset Inputs'!$B$5&gt;='Mortgage Inputs'!$B$5,'Mortgage Inputs'!$B$5&gt;0),'Offset Inputs'!$B$5-'Mortgage Inputs'!$B$5,D827+'Offset Inputs'!$B$6))</f>
        <v/>
      </c>
    </row>
    <row r="828" spans="1:8" ht="22" customHeight="1">
      <c r="A828" s="1" t="str">
        <f>IF(AND('Mortgage Inputs'!$B$12,822&lt;=IF('Mortgage Inputs'!$B$12,'Mortgage Inputs'!$B$7,0)*12+600,ISNUMBER(G827),G827&gt;0.005),822,"")</f>
        <v/>
      </c>
      <c r="B828" s="4" t="str">
        <f>IF(A828="","",DATE(YEAR('Mortgage Inputs'!$B$8),MONTH('Mortgage Inputs'!$B$8)+A828,DAY('Mortgage Inputs'!$B$8)))</f>
        <v/>
      </c>
      <c r="C828" s="2" t="str">
        <f t="shared" si="37"/>
        <v/>
      </c>
      <c r="D828" s="2" t="str">
        <f t="shared" si="38"/>
        <v/>
      </c>
      <c r="E828" s="2" t="str">
        <f>IF(A828="","",MAX(0,(C828-MIN(D828,C828))*'Mortgage Inputs'!$B$15))</f>
        <v/>
      </c>
      <c r="F828" s="2" t="str">
        <f>IF(A828="","",IF(AND('Offset Inputs'!$B$5&gt;='Mortgage Inputs'!$B$5,'Mortgage Inputs'!$B$5&gt;0),C828,MIN(C828,MAX(0,'Mortgage Inputs'!$B$17-E828))))</f>
        <v/>
      </c>
      <c r="G828" s="2" t="str">
        <f t="shared" si="36"/>
        <v/>
      </c>
      <c r="H828" s="2" t="str">
        <f>IF(A828="","",IF(AND('Offset Inputs'!$B$5&gt;='Mortgage Inputs'!$B$5,'Mortgage Inputs'!$B$5&gt;0),'Offset Inputs'!$B$5-'Mortgage Inputs'!$B$5,D828+'Offset Inputs'!$B$6))</f>
        <v/>
      </c>
    </row>
    <row r="829" spans="1:8" ht="22" customHeight="1">
      <c r="A829" s="1" t="str">
        <f>IF(AND('Mortgage Inputs'!$B$12,823&lt;=IF('Mortgage Inputs'!$B$12,'Mortgage Inputs'!$B$7,0)*12+600,ISNUMBER(G828),G828&gt;0.005),823,"")</f>
        <v/>
      </c>
      <c r="B829" s="4" t="str">
        <f>IF(A829="","",DATE(YEAR('Mortgage Inputs'!$B$8),MONTH('Mortgage Inputs'!$B$8)+A829,DAY('Mortgage Inputs'!$B$8)))</f>
        <v/>
      </c>
      <c r="C829" s="2" t="str">
        <f t="shared" si="37"/>
        <v/>
      </c>
      <c r="D829" s="2" t="str">
        <f t="shared" si="38"/>
        <v/>
      </c>
      <c r="E829" s="2" t="str">
        <f>IF(A829="","",MAX(0,(C829-MIN(D829,C829))*'Mortgage Inputs'!$B$15))</f>
        <v/>
      </c>
      <c r="F829" s="2" t="str">
        <f>IF(A829="","",IF(AND('Offset Inputs'!$B$5&gt;='Mortgage Inputs'!$B$5,'Mortgage Inputs'!$B$5&gt;0),C829,MIN(C829,MAX(0,'Mortgage Inputs'!$B$17-E829))))</f>
        <v/>
      </c>
      <c r="G829" s="2" t="str">
        <f t="shared" si="36"/>
        <v/>
      </c>
      <c r="H829" s="2" t="str">
        <f>IF(A829="","",IF(AND('Offset Inputs'!$B$5&gt;='Mortgage Inputs'!$B$5,'Mortgage Inputs'!$B$5&gt;0),'Offset Inputs'!$B$5-'Mortgage Inputs'!$B$5,D829+'Offset Inputs'!$B$6))</f>
        <v/>
      </c>
    </row>
    <row r="830" spans="1:8" ht="22" customHeight="1">
      <c r="A830" s="1" t="str">
        <f>IF(AND('Mortgage Inputs'!$B$12,824&lt;=IF('Mortgage Inputs'!$B$12,'Mortgage Inputs'!$B$7,0)*12+600,ISNUMBER(G829),G829&gt;0.005),824,"")</f>
        <v/>
      </c>
      <c r="B830" s="4" t="str">
        <f>IF(A830="","",DATE(YEAR('Mortgage Inputs'!$B$8),MONTH('Mortgage Inputs'!$B$8)+A830,DAY('Mortgage Inputs'!$B$8)))</f>
        <v/>
      </c>
      <c r="C830" s="2" t="str">
        <f t="shared" si="37"/>
        <v/>
      </c>
      <c r="D830" s="2" t="str">
        <f t="shared" si="38"/>
        <v/>
      </c>
      <c r="E830" s="2" t="str">
        <f>IF(A830="","",MAX(0,(C830-MIN(D830,C830))*'Mortgage Inputs'!$B$15))</f>
        <v/>
      </c>
      <c r="F830" s="2" t="str">
        <f>IF(A830="","",IF(AND('Offset Inputs'!$B$5&gt;='Mortgage Inputs'!$B$5,'Mortgage Inputs'!$B$5&gt;0),C830,MIN(C830,MAX(0,'Mortgage Inputs'!$B$17-E830))))</f>
        <v/>
      </c>
      <c r="G830" s="2" t="str">
        <f t="shared" si="36"/>
        <v/>
      </c>
      <c r="H830" s="2" t="str">
        <f>IF(A830="","",IF(AND('Offset Inputs'!$B$5&gt;='Mortgage Inputs'!$B$5,'Mortgage Inputs'!$B$5&gt;0),'Offset Inputs'!$B$5-'Mortgage Inputs'!$B$5,D830+'Offset Inputs'!$B$6))</f>
        <v/>
      </c>
    </row>
    <row r="831" spans="1:8" ht="22" customHeight="1">
      <c r="A831" s="1" t="str">
        <f>IF(AND('Mortgage Inputs'!$B$12,825&lt;=IF('Mortgage Inputs'!$B$12,'Mortgage Inputs'!$B$7,0)*12+600,ISNUMBER(G830),G830&gt;0.005),825,"")</f>
        <v/>
      </c>
      <c r="B831" s="4" t="str">
        <f>IF(A831="","",DATE(YEAR('Mortgage Inputs'!$B$8),MONTH('Mortgage Inputs'!$B$8)+A831,DAY('Mortgage Inputs'!$B$8)))</f>
        <v/>
      </c>
      <c r="C831" s="2" t="str">
        <f t="shared" si="37"/>
        <v/>
      </c>
      <c r="D831" s="2" t="str">
        <f t="shared" si="38"/>
        <v/>
      </c>
      <c r="E831" s="2" t="str">
        <f>IF(A831="","",MAX(0,(C831-MIN(D831,C831))*'Mortgage Inputs'!$B$15))</f>
        <v/>
      </c>
      <c r="F831" s="2" t="str">
        <f>IF(A831="","",IF(AND('Offset Inputs'!$B$5&gt;='Mortgage Inputs'!$B$5,'Mortgage Inputs'!$B$5&gt;0),C831,MIN(C831,MAX(0,'Mortgage Inputs'!$B$17-E831))))</f>
        <v/>
      </c>
      <c r="G831" s="2" t="str">
        <f t="shared" si="36"/>
        <v/>
      </c>
      <c r="H831" s="2" t="str">
        <f>IF(A831="","",IF(AND('Offset Inputs'!$B$5&gt;='Mortgage Inputs'!$B$5,'Mortgage Inputs'!$B$5&gt;0),'Offset Inputs'!$B$5-'Mortgage Inputs'!$B$5,D831+'Offset Inputs'!$B$6))</f>
        <v/>
      </c>
    </row>
    <row r="832" spans="1:8" ht="22" customHeight="1">
      <c r="A832" s="1" t="str">
        <f>IF(AND('Mortgage Inputs'!$B$12,826&lt;=IF('Mortgage Inputs'!$B$12,'Mortgage Inputs'!$B$7,0)*12+600,ISNUMBER(G831),G831&gt;0.005),826,"")</f>
        <v/>
      </c>
      <c r="B832" s="4" t="str">
        <f>IF(A832="","",DATE(YEAR('Mortgage Inputs'!$B$8),MONTH('Mortgage Inputs'!$B$8)+A832,DAY('Mortgage Inputs'!$B$8)))</f>
        <v/>
      </c>
      <c r="C832" s="2" t="str">
        <f t="shared" si="37"/>
        <v/>
      </c>
      <c r="D832" s="2" t="str">
        <f t="shared" si="38"/>
        <v/>
      </c>
      <c r="E832" s="2" t="str">
        <f>IF(A832="","",MAX(0,(C832-MIN(D832,C832))*'Mortgage Inputs'!$B$15))</f>
        <v/>
      </c>
      <c r="F832" s="2" t="str">
        <f>IF(A832="","",IF(AND('Offset Inputs'!$B$5&gt;='Mortgage Inputs'!$B$5,'Mortgage Inputs'!$B$5&gt;0),C832,MIN(C832,MAX(0,'Mortgage Inputs'!$B$17-E832))))</f>
        <v/>
      </c>
      <c r="G832" s="2" t="str">
        <f t="shared" si="36"/>
        <v/>
      </c>
      <c r="H832" s="2" t="str">
        <f>IF(A832="","",IF(AND('Offset Inputs'!$B$5&gt;='Mortgage Inputs'!$B$5,'Mortgage Inputs'!$B$5&gt;0),'Offset Inputs'!$B$5-'Mortgage Inputs'!$B$5,D832+'Offset Inputs'!$B$6))</f>
        <v/>
      </c>
    </row>
    <row r="833" spans="1:8" ht="22" customHeight="1">
      <c r="A833" s="1" t="str">
        <f>IF(AND('Mortgage Inputs'!$B$12,827&lt;=IF('Mortgage Inputs'!$B$12,'Mortgage Inputs'!$B$7,0)*12+600,ISNUMBER(G832),G832&gt;0.005),827,"")</f>
        <v/>
      </c>
      <c r="B833" s="4" t="str">
        <f>IF(A833="","",DATE(YEAR('Mortgage Inputs'!$B$8),MONTH('Mortgage Inputs'!$B$8)+A833,DAY('Mortgage Inputs'!$B$8)))</f>
        <v/>
      </c>
      <c r="C833" s="2" t="str">
        <f t="shared" si="37"/>
        <v/>
      </c>
      <c r="D833" s="2" t="str">
        <f t="shared" si="38"/>
        <v/>
      </c>
      <c r="E833" s="2" t="str">
        <f>IF(A833="","",MAX(0,(C833-MIN(D833,C833))*'Mortgage Inputs'!$B$15))</f>
        <v/>
      </c>
      <c r="F833" s="2" t="str">
        <f>IF(A833="","",IF(AND('Offset Inputs'!$B$5&gt;='Mortgage Inputs'!$B$5,'Mortgage Inputs'!$B$5&gt;0),C833,MIN(C833,MAX(0,'Mortgage Inputs'!$B$17-E833))))</f>
        <v/>
      </c>
      <c r="G833" s="2" t="str">
        <f t="shared" si="36"/>
        <v/>
      </c>
      <c r="H833" s="2" t="str">
        <f>IF(A833="","",IF(AND('Offset Inputs'!$B$5&gt;='Mortgage Inputs'!$B$5,'Mortgage Inputs'!$B$5&gt;0),'Offset Inputs'!$B$5-'Mortgage Inputs'!$B$5,D833+'Offset Inputs'!$B$6))</f>
        <v/>
      </c>
    </row>
    <row r="834" spans="1:8" ht="22" customHeight="1">
      <c r="A834" s="1" t="str">
        <f>IF(AND('Mortgage Inputs'!$B$12,828&lt;=IF('Mortgage Inputs'!$B$12,'Mortgage Inputs'!$B$7,0)*12+600,ISNUMBER(G833),G833&gt;0.005),828,"")</f>
        <v/>
      </c>
      <c r="B834" s="4" t="str">
        <f>IF(A834="","",DATE(YEAR('Mortgage Inputs'!$B$8),MONTH('Mortgage Inputs'!$B$8)+A834,DAY('Mortgage Inputs'!$B$8)))</f>
        <v/>
      </c>
      <c r="C834" s="2" t="str">
        <f t="shared" si="37"/>
        <v/>
      </c>
      <c r="D834" s="2" t="str">
        <f t="shared" si="38"/>
        <v/>
      </c>
      <c r="E834" s="2" t="str">
        <f>IF(A834="","",MAX(0,(C834-MIN(D834,C834))*'Mortgage Inputs'!$B$15))</f>
        <v/>
      </c>
      <c r="F834" s="2" t="str">
        <f>IF(A834="","",IF(AND('Offset Inputs'!$B$5&gt;='Mortgage Inputs'!$B$5,'Mortgage Inputs'!$B$5&gt;0),C834,MIN(C834,MAX(0,'Mortgage Inputs'!$B$17-E834))))</f>
        <v/>
      </c>
      <c r="G834" s="2" t="str">
        <f t="shared" si="36"/>
        <v/>
      </c>
      <c r="H834" s="2" t="str">
        <f>IF(A834="","",IF(AND('Offset Inputs'!$B$5&gt;='Mortgage Inputs'!$B$5,'Mortgage Inputs'!$B$5&gt;0),'Offset Inputs'!$B$5-'Mortgage Inputs'!$B$5,D834+'Offset Inputs'!$B$6))</f>
        <v/>
      </c>
    </row>
    <row r="835" spans="1:8" ht="22" customHeight="1">
      <c r="A835" s="1" t="str">
        <f>IF(AND('Mortgage Inputs'!$B$12,829&lt;=IF('Mortgage Inputs'!$B$12,'Mortgage Inputs'!$B$7,0)*12+600,ISNUMBER(G834),G834&gt;0.005),829,"")</f>
        <v/>
      </c>
      <c r="B835" s="4" t="str">
        <f>IF(A835="","",DATE(YEAR('Mortgage Inputs'!$B$8),MONTH('Mortgage Inputs'!$B$8)+A835,DAY('Mortgage Inputs'!$B$8)))</f>
        <v/>
      </c>
      <c r="C835" s="2" t="str">
        <f t="shared" si="37"/>
        <v/>
      </c>
      <c r="D835" s="2" t="str">
        <f t="shared" si="38"/>
        <v/>
      </c>
      <c r="E835" s="2" t="str">
        <f>IF(A835="","",MAX(0,(C835-MIN(D835,C835))*'Mortgage Inputs'!$B$15))</f>
        <v/>
      </c>
      <c r="F835" s="2" t="str">
        <f>IF(A835="","",IF(AND('Offset Inputs'!$B$5&gt;='Mortgage Inputs'!$B$5,'Mortgage Inputs'!$B$5&gt;0),C835,MIN(C835,MAX(0,'Mortgage Inputs'!$B$17-E835))))</f>
        <v/>
      </c>
      <c r="G835" s="2" t="str">
        <f t="shared" si="36"/>
        <v/>
      </c>
      <c r="H835" s="2" t="str">
        <f>IF(A835="","",IF(AND('Offset Inputs'!$B$5&gt;='Mortgage Inputs'!$B$5,'Mortgage Inputs'!$B$5&gt;0),'Offset Inputs'!$B$5-'Mortgage Inputs'!$B$5,D835+'Offset Inputs'!$B$6))</f>
        <v/>
      </c>
    </row>
    <row r="836" spans="1:8" ht="22" customHeight="1">
      <c r="A836" s="1" t="str">
        <f>IF(AND('Mortgage Inputs'!$B$12,830&lt;=IF('Mortgage Inputs'!$B$12,'Mortgage Inputs'!$B$7,0)*12+600,ISNUMBER(G835),G835&gt;0.005),830,"")</f>
        <v/>
      </c>
      <c r="B836" s="4" t="str">
        <f>IF(A836="","",DATE(YEAR('Mortgage Inputs'!$B$8),MONTH('Mortgage Inputs'!$B$8)+A836,DAY('Mortgage Inputs'!$B$8)))</f>
        <v/>
      </c>
      <c r="C836" s="2" t="str">
        <f t="shared" si="37"/>
        <v/>
      </c>
      <c r="D836" s="2" t="str">
        <f t="shared" si="38"/>
        <v/>
      </c>
      <c r="E836" s="2" t="str">
        <f>IF(A836="","",MAX(0,(C836-MIN(D836,C836))*'Mortgage Inputs'!$B$15))</f>
        <v/>
      </c>
      <c r="F836" s="2" t="str">
        <f>IF(A836="","",IF(AND('Offset Inputs'!$B$5&gt;='Mortgage Inputs'!$B$5,'Mortgage Inputs'!$B$5&gt;0),C836,MIN(C836,MAX(0,'Mortgage Inputs'!$B$17-E836))))</f>
        <v/>
      </c>
      <c r="G836" s="2" t="str">
        <f t="shared" si="36"/>
        <v/>
      </c>
      <c r="H836" s="2" t="str">
        <f>IF(A836="","",IF(AND('Offset Inputs'!$B$5&gt;='Mortgage Inputs'!$B$5,'Mortgage Inputs'!$B$5&gt;0),'Offset Inputs'!$B$5-'Mortgage Inputs'!$B$5,D836+'Offset Inputs'!$B$6))</f>
        <v/>
      </c>
    </row>
    <row r="837" spans="1:8" ht="22" customHeight="1">
      <c r="A837" s="1" t="str">
        <f>IF(AND('Mortgage Inputs'!$B$12,831&lt;=IF('Mortgage Inputs'!$B$12,'Mortgage Inputs'!$B$7,0)*12+600,ISNUMBER(G836),G836&gt;0.005),831,"")</f>
        <v/>
      </c>
      <c r="B837" s="4" t="str">
        <f>IF(A837="","",DATE(YEAR('Mortgage Inputs'!$B$8),MONTH('Mortgage Inputs'!$B$8)+A837,DAY('Mortgage Inputs'!$B$8)))</f>
        <v/>
      </c>
      <c r="C837" s="2" t="str">
        <f t="shared" si="37"/>
        <v/>
      </c>
      <c r="D837" s="2" t="str">
        <f t="shared" si="38"/>
        <v/>
      </c>
      <c r="E837" s="2" t="str">
        <f>IF(A837="","",MAX(0,(C837-MIN(D837,C837))*'Mortgage Inputs'!$B$15))</f>
        <v/>
      </c>
      <c r="F837" s="2" t="str">
        <f>IF(A837="","",IF(AND('Offset Inputs'!$B$5&gt;='Mortgage Inputs'!$B$5,'Mortgage Inputs'!$B$5&gt;0),C837,MIN(C837,MAX(0,'Mortgage Inputs'!$B$17-E837))))</f>
        <v/>
      </c>
      <c r="G837" s="2" t="str">
        <f t="shared" si="36"/>
        <v/>
      </c>
      <c r="H837" s="2" t="str">
        <f>IF(A837="","",IF(AND('Offset Inputs'!$B$5&gt;='Mortgage Inputs'!$B$5,'Mortgage Inputs'!$B$5&gt;0),'Offset Inputs'!$B$5-'Mortgage Inputs'!$B$5,D837+'Offset Inputs'!$B$6))</f>
        <v/>
      </c>
    </row>
    <row r="838" spans="1:8" ht="22" customHeight="1">
      <c r="A838" s="1" t="str">
        <f>IF(AND('Mortgage Inputs'!$B$12,832&lt;=IF('Mortgage Inputs'!$B$12,'Mortgage Inputs'!$B$7,0)*12+600,ISNUMBER(G837),G837&gt;0.005),832,"")</f>
        <v/>
      </c>
      <c r="B838" s="4" t="str">
        <f>IF(A838="","",DATE(YEAR('Mortgage Inputs'!$B$8),MONTH('Mortgage Inputs'!$B$8)+A838,DAY('Mortgage Inputs'!$B$8)))</f>
        <v/>
      </c>
      <c r="C838" s="2" t="str">
        <f t="shared" si="37"/>
        <v/>
      </c>
      <c r="D838" s="2" t="str">
        <f t="shared" si="38"/>
        <v/>
      </c>
      <c r="E838" s="2" t="str">
        <f>IF(A838="","",MAX(0,(C838-MIN(D838,C838))*'Mortgage Inputs'!$B$15))</f>
        <v/>
      </c>
      <c r="F838" s="2" t="str">
        <f>IF(A838="","",IF(AND('Offset Inputs'!$B$5&gt;='Mortgage Inputs'!$B$5,'Mortgage Inputs'!$B$5&gt;0),C838,MIN(C838,MAX(0,'Mortgage Inputs'!$B$17-E838))))</f>
        <v/>
      </c>
      <c r="G838" s="2" t="str">
        <f t="shared" si="36"/>
        <v/>
      </c>
      <c r="H838" s="2" t="str">
        <f>IF(A838="","",IF(AND('Offset Inputs'!$B$5&gt;='Mortgage Inputs'!$B$5,'Mortgage Inputs'!$B$5&gt;0),'Offset Inputs'!$B$5-'Mortgage Inputs'!$B$5,D838+'Offset Inputs'!$B$6))</f>
        <v/>
      </c>
    </row>
    <row r="839" spans="1:8" ht="22" customHeight="1">
      <c r="A839" s="1" t="str">
        <f>IF(AND('Mortgage Inputs'!$B$12,833&lt;=IF('Mortgage Inputs'!$B$12,'Mortgage Inputs'!$B$7,0)*12+600,ISNUMBER(G838),G838&gt;0.005),833,"")</f>
        <v/>
      </c>
      <c r="B839" s="4" t="str">
        <f>IF(A839="","",DATE(YEAR('Mortgage Inputs'!$B$8),MONTH('Mortgage Inputs'!$B$8)+A839,DAY('Mortgage Inputs'!$B$8)))</f>
        <v/>
      </c>
      <c r="C839" s="2" t="str">
        <f t="shared" si="37"/>
        <v/>
      </c>
      <c r="D839" s="2" t="str">
        <f t="shared" si="38"/>
        <v/>
      </c>
      <c r="E839" s="2" t="str">
        <f>IF(A839="","",MAX(0,(C839-MIN(D839,C839))*'Mortgage Inputs'!$B$15))</f>
        <v/>
      </c>
      <c r="F839" s="2" t="str">
        <f>IF(A839="","",IF(AND('Offset Inputs'!$B$5&gt;='Mortgage Inputs'!$B$5,'Mortgage Inputs'!$B$5&gt;0),C839,MIN(C839,MAX(0,'Mortgage Inputs'!$B$17-E839))))</f>
        <v/>
      </c>
      <c r="G839" s="2" t="str">
        <f t="shared" ref="G839:G902" si="39">IF(A839="","",MAX(0,C839-F839))</f>
        <v/>
      </c>
      <c r="H839" s="2" t="str">
        <f>IF(A839="","",IF(AND('Offset Inputs'!$B$5&gt;='Mortgage Inputs'!$B$5,'Mortgage Inputs'!$B$5&gt;0),'Offset Inputs'!$B$5-'Mortgage Inputs'!$B$5,D839+'Offset Inputs'!$B$6))</f>
        <v/>
      </c>
    </row>
    <row r="840" spans="1:8" ht="22" customHeight="1">
      <c r="A840" s="1" t="str">
        <f>IF(AND('Mortgage Inputs'!$B$12,834&lt;=IF('Mortgage Inputs'!$B$12,'Mortgage Inputs'!$B$7,0)*12+600,ISNUMBER(G839),G839&gt;0.005),834,"")</f>
        <v/>
      </c>
      <c r="B840" s="4" t="str">
        <f>IF(A840="","",DATE(YEAR('Mortgage Inputs'!$B$8),MONTH('Mortgage Inputs'!$B$8)+A840,DAY('Mortgage Inputs'!$B$8)))</f>
        <v/>
      </c>
      <c r="C840" s="2" t="str">
        <f t="shared" ref="C840:C903" si="40">IF(A840="","",G839)</f>
        <v/>
      </c>
      <c r="D840" s="2" t="str">
        <f t="shared" ref="D840:D903" si="41">IF(A840="","",H839)</f>
        <v/>
      </c>
      <c r="E840" s="2" t="str">
        <f>IF(A840="","",MAX(0,(C840-MIN(D840,C840))*'Mortgage Inputs'!$B$15))</f>
        <v/>
      </c>
      <c r="F840" s="2" t="str">
        <f>IF(A840="","",IF(AND('Offset Inputs'!$B$5&gt;='Mortgage Inputs'!$B$5,'Mortgage Inputs'!$B$5&gt;0),C840,MIN(C840,MAX(0,'Mortgage Inputs'!$B$17-E840))))</f>
        <v/>
      </c>
      <c r="G840" s="2" t="str">
        <f t="shared" si="39"/>
        <v/>
      </c>
      <c r="H840" s="2" t="str">
        <f>IF(A840="","",IF(AND('Offset Inputs'!$B$5&gt;='Mortgage Inputs'!$B$5,'Mortgage Inputs'!$B$5&gt;0),'Offset Inputs'!$B$5-'Mortgage Inputs'!$B$5,D840+'Offset Inputs'!$B$6))</f>
        <v/>
      </c>
    </row>
    <row r="841" spans="1:8" ht="22" customHeight="1">
      <c r="A841" s="1" t="str">
        <f>IF(AND('Mortgage Inputs'!$B$12,835&lt;=IF('Mortgage Inputs'!$B$12,'Mortgage Inputs'!$B$7,0)*12+600,ISNUMBER(G840),G840&gt;0.005),835,"")</f>
        <v/>
      </c>
      <c r="B841" s="4" t="str">
        <f>IF(A841="","",DATE(YEAR('Mortgage Inputs'!$B$8),MONTH('Mortgage Inputs'!$B$8)+A841,DAY('Mortgage Inputs'!$B$8)))</f>
        <v/>
      </c>
      <c r="C841" s="2" t="str">
        <f t="shared" si="40"/>
        <v/>
      </c>
      <c r="D841" s="2" t="str">
        <f t="shared" si="41"/>
        <v/>
      </c>
      <c r="E841" s="2" t="str">
        <f>IF(A841="","",MAX(0,(C841-MIN(D841,C841))*'Mortgage Inputs'!$B$15))</f>
        <v/>
      </c>
      <c r="F841" s="2" t="str">
        <f>IF(A841="","",IF(AND('Offset Inputs'!$B$5&gt;='Mortgage Inputs'!$B$5,'Mortgage Inputs'!$B$5&gt;0),C841,MIN(C841,MAX(0,'Mortgage Inputs'!$B$17-E841))))</f>
        <v/>
      </c>
      <c r="G841" s="2" t="str">
        <f t="shared" si="39"/>
        <v/>
      </c>
      <c r="H841" s="2" t="str">
        <f>IF(A841="","",IF(AND('Offset Inputs'!$B$5&gt;='Mortgage Inputs'!$B$5,'Mortgage Inputs'!$B$5&gt;0),'Offset Inputs'!$B$5-'Mortgage Inputs'!$B$5,D841+'Offset Inputs'!$B$6))</f>
        <v/>
      </c>
    </row>
    <row r="842" spans="1:8" ht="22" customHeight="1">
      <c r="A842" s="1" t="str">
        <f>IF(AND('Mortgage Inputs'!$B$12,836&lt;=IF('Mortgage Inputs'!$B$12,'Mortgage Inputs'!$B$7,0)*12+600,ISNUMBER(G841),G841&gt;0.005),836,"")</f>
        <v/>
      </c>
      <c r="B842" s="4" t="str">
        <f>IF(A842="","",DATE(YEAR('Mortgage Inputs'!$B$8),MONTH('Mortgage Inputs'!$B$8)+A842,DAY('Mortgage Inputs'!$B$8)))</f>
        <v/>
      </c>
      <c r="C842" s="2" t="str">
        <f t="shared" si="40"/>
        <v/>
      </c>
      <c r="D842" s="2" t="str">
        <f t="shared" si="41"/>
        <v/>
      </c>
      <c r="E842" s="2" t="str">
        <f>IF(A842="","",MAX(0,(C842-MIN(D842,C842))*'Mortgage Inputs'!$B$15))</f>
        <v/>
      </c>
      <c r="F842" s="2" t="str">
        <f>IF(A842="","",IF(AND('Offset Inputs'!$B$5&gt;='Mortgage Inputs'!$B$5,'Mortgage Inputs'!$B$5&gt;0),C842,MIN(C842,MAX(0,'Mortgage Inputs'!$B$17-E842))))</f>
        <v/>
      </c>
      <c r="G842" s="2" t="str">
        <f t="shared" si="39"/>
        <v/>
      </c>
      <c r="H842" s="2" t="str">
        <f>IF(A842="","",IF(AND('Offset Inputs'!$B$5&gt;='Mortgage Inputs'!$B$5,'Mortgage Inputs'!$B$5&gt;0),'Offset Inputs'!$B$5-'Mortgage Inputs'!$B$5,D842+'Offset Inputs'!$B$6))</f>
        <v/>
      </c>
    </row>
    <row r="843" spans="1:8" ht="22" customHeight="1">
      <c r="A843" s="1" t="str">
        <f>IF(AND('Mortgage Inputs'!$B$12,837&lt;=IF('Mortgage Inputs'!$B$12,'Mortgage Inputs'!$B$7,0)*12+600,ISNUMBER(G842),G842&gt;0.005),837,"")</f>
        <v/>
      </c>
      <c r="B843" s="4" t="str">
        <f>IF(A843="","",DATE(YEAR('Mortgage Inputs'!$B$8),MONTH('Mortgage Inputs'!$B$8)+A843,DAY('Mortgage Inputs'!$B$8)))</f>
        <v/>
      </c>
      <c r="C843" s="2" t="str">
        <f t="shared" si="40"/>
        <v/>
      </c>
      <c r="D843" s="2" t="str">
        <f t="shared" si="41"/>
        <v/>
      </c>
      <c r="E843" s="2" t="str">
        <f>IF(A843="","",MAX(0,(C843-MIN(D843,C843))*'Mortgage Inputs'!$B$15))</f>
        <v/>
      </c>
      <c r="F843" s="2" t="str">
        <f>IF(A843="","",IF(AND('Offset Inputs'!$B$5&gt;='Mortgage Inputs'!$B$5,'Mortgage Inputs'!$B$5&gt;0),C843,MIN(C843,MAX(0,'Mortgage Inputs'!$B$17-E843))))</f>
        <v/>
      </c>
      <c r="G843" s="2" t="str">
        <f t="shared" si="39"/>
        <v/>
      </c>
      <c r="H843" s="2" t="str">
        <f>IF(A843="","",IF(AND('Offset Inputs'!$B$5&gt;='Mortgage Inputs'!$B$5,'Mortgage Inputs'!$B$5&gt;0),'Offset Inputs'!$B$5-'Mortgage Inputs'!$B$5,D843+'Offset Inputs'!$B$6))</f>
        <v/>
      </c>
    </row>
    <row r="844" spans="1:8" ht="22" customHeight="1">
      <c r="A844" s="1" t="str">
        <f>IF(AND('Mortgage Inputs'!$B$12,838&lt;=IF('Mortgage Inputs'!$B$12,'Mortgage Inputs'!$B$7,0)*12+600,ISNUMBER(G843),G843&gt;0.005),838,"")</f>
        <v/>
      </c>
      <c r="B844" s="4" t="str">
        <f>IF(A844="","",DATE(YEAR('Mortgage Inputs'!$B$8),MONTH('Mortgage Inputs'!$B$8)+A844,DAY('Mortgage Inputs'!$B$8)))</f>
        <v/>
      </c>
      <c r="C844" s="2" t="str">
        <f t="shared" si="40"/>
        <v/>
      </c>
      <c r="D844" s="2" t="str">
        <f t="shared" si="41"/>
        <v/>
      </c>
      <c r="E844" s="2" t="str">
        <f>IF(A844="","",MAX(0,(C844-MIN(D844,C844))*'Mortgage Inputs'!$B$15))</f>
        <v/>
      </c>
      <c r="F844" s="2" t="str">
        <f>IF(A844="","",IF(AND('Offset Inputs'!$B$5&gt;='Mortgage Inputs'!$B$5,'Mortgage Inputs'!$B$5&gt;0),C844,MIN(C844,MAX(0,'Mortgage Inputs'!$B$17-E844))))</f>
        <v/>
      </c>
      <c r="G844" s="2" t="str">
        <f t="shared" si="39"/>
        <v/>
      </c>
      <c r="H844" s="2" t="str">
        <f>IF(A844="","",IF(AND('Offset Inputs'!$B$5&gt;='Mortgage Inputs'!$B$5,'Mortgage Inputs'!$B$5&gt;0),'Offset Inputs'!$B$5-'Mortgage Inputs'!$B$5,D844+'Offset Inputs'!$B$6))</f>
        <v/>
      </c>
    </row>
    <row r="845" spans="1:8" ht="22" customHeight="1">
      <c r="A845" s="1" t="str">
        <f>IF(AND('Mortgage Inputs'!$B$12,839&lt;=IF('Mortgage Inputs'!$B$12,'Mortgage Inputs'!$B$7,0)*12+600,ISNUMBER(G844),G844&gt;0.005),839,"")</f>
        <v/>
      </c>
      <c r="B845" s="4" t="str">
        <f>IF(A845="","",DATE(YEAR('Mortgage Inputs'!$B$8),MONTH('Mortgage Inputs'!$B$8)+A845,DAY('Mortgage Inputs'!$B$8)))</f>
        <v/>
      </c>
      <c r="C845" s="2" t="str">
        <f t="shared" si="40"/>
        <v/>
      </c>
      <c r="D845" s="2" t="str">
        <f t="shared" si="41"/>
        <v/>
      </c>
      <c r="E845" s="2" t="str">
        <f>IF(A845="","",MAX(0,(C845-MIN(D845,C845))*'Mortgage Inputs'!$B$15))</f>
        <v/>
      </c>
      <c r="F845" s="2" t="str">
        <f>IF(A845="","",IF(AND('Offset Inputs'!$B$5&gt;='Mortgage Inputs'!$B$5,'Mortgage Inputs'!$B$5&gt;0),C845,MIN(C845,MAX(0,'Mortgage Inputs'!$B$17-E845))))</f>
        <v/>
      </c>
      <c r="G845" s="2" t="str">
        <f t="shared" si="39"/>
        <v/>
      </c>
      <c r="H845" s="2" t="str">
        <f>IF(A845="","",IF(AND('Offset Inputs'!$B$5&gt;='Mortgage Inputs'!$B$5,'Mortgage Inputs'!$B$5&gt;0),'Offset Inputs'!$B$5-'Mortgage Inputs'!$B$5,D845+'Offset Inputs'!$B$6))</f>
        <v/>
      </c>
    </row>
    <row r="846" spans="1:8" ht="22" customHeight="1">
      <c r="A846" s="1" t="str">
        <f>IF(AND('Mortgage Inputs'!$B$12,840&lt;=IF('Mortgage Inputs'!$B$12,'Mortgage Inputs'!$B$7,0)*12+600,ISNUMBER(G845),G845&gt;0.005),840,"")</f>
        <v/>
      </c>
      <c r="B846" s="4" t="str">
        <f>IF(A846="","",DATE(YEAR('Mortgage Inputs'!$B$8),MONTH('Mortgage Inputs'!$B$8)+A846,DAY('Mortgage Inputs'!$B$8)))</f>
        <v/>
      </c>
      <c r="C846" s="2" t="str">
        <f t="shared" si="40"/>
        <v/>
      </c>
      <c r="D846" s="2" t="str">
        <f t="shared" si="41"/>
        <v/>
      </c>
      <c r="E846" s="2" t="str">
        <f>IF(A846="","",MAX(0,(C846-MIN(D846,C846))*'Mortgage Inputs'!$B$15))</f>
        <v/>
      </c>
      <c r="F846" s="2" t="str">
        <f>IF(A846="","",IF(AND('Offset Inputs'!$B$5&gt;='Mortgage Inputs'!$B$5,'Mortgage Inputs'!$B$5&gt;0),C846,MIN(C846,MAX(0,'Mortgage Inputs'!$B$17-E846))))</f>
        <v/>
      </c>
      <c r="G846" s="2" t="str">
        <f t="shared" si="39"/>
        <v/>
      </c>
      <c r="H846" s="2" t="str">
        <f>IF(A846="","",IF(AND('Offset Inputs'!$B$5&gt;='Mortgage Inputs'!$B$5,'Mortgage Inputs'!$B$5&gt;0),'Offset Inputs'!$B$5-'Mortgage Inputs'!$B$5,D846+'Offset Inputs'!$B$6))</f>
        <v/>
      </c>
    </row>
    <row r="847" spans="1:8" ht="22" customHeight="1">
      <c r="A847" s="1" t="str">
        <f>IF(AND('Mortgage Inputs'!$B$12,841&lt;=IF('Mortgage Inputs'!$B$12,'Mortgage Inputs'!$B$7,0)*12+600,ISNUMBER(G846),G846&gt;0.005),841,"")</f>
        <v/>
      </c>
      <c r="B847" s="4" t="str">
        <f>IF(A847="","",DATE(YEAR('Mortgage Inputs'!$B$8),MONTH('Mortgage Inputs'!$B$8)+A847,DAY('Mortgage Inputs'!$B$8)))</f>
        <v/>
      </c>
      <c r="C847" s="2" t="str">
        <f t="shared" si="40"/>
        <v/>
      </c>
      <c r="D847" s="2" t="str">
        <f t="shared" si="41"/>
        <v/>
      </c>
      <c r="E847" s="2" t="str">
        <f>IF(A847="","",MAX(0,(C847-MIN(D847,C847))*'Mortgage Inputs'!$B$15))</f>
        <v/>
      </c>
      <c r="F847" s="2" t="str">
        <f>IF(A847="","",IF(AND('Offset Inputs'!$B$5&gt;='Mortgage Inputs'!$B$5,'Mortgage Inputs'!$B$5&gt;0),C847,MIN(C847,MAX(0,'Mortgage Inputs'!$B$17-E847))))</f>
        <v/>
      </c>
      <c r="G847" s="2" t="str">
        <f t="shared" si="39"/>
        <v/>
      </c>
      <c r="H847" s="2" t="str">
        <f>IF(A847="","",IF(AND('Offset Inputs'!$B$5&gt;='Mortgage Inputs'!$B$5,'Mortgage Inputs'!$B$5&gt;0),'Offset Inputs'!$B$5-'Mortgage Inputs'!$B$5,D847+'Offset Inputs'!$B$6))</f>
        <v/>
      </c>
    </row>
    <row r="848" spans="1:8" ht="22" customHeight="1">
      <c r="A848" s="1" t="str">
        <f>IF(AND('Mortgage Inputs'!$B$12,842&lt;=IF('Mortgage Inputs'!$B$12,'Mortgage Inputs'!$B$7,0)*12+600,ISNUMBER(G847),G847&gt;0.005),842,"")</f>
        <v/>
      </c>
      <c r="B848" s="4" t="str">
        <f>IF(A848="","",DATE(YEAR('Mortgage Inputs'!$B$8),MONTH('Mortgage Inputs'!$B$8)+A848,DAY('Mortgage Inputs'!$B$8)))</f>
        <v/>
      </c>
      <c r="C848" s="2" t="str">
        <f t="shared" si="40"/>
        <v/>
      </c>
      <c r="D848" s="2" t="str">
        <f t="shared" si="41"/>
        <v/>
      </c>
      <c r="E848" s="2" t="str">
        <f>IF(A848="","",MAX(0,(C848-MIN(D848,C848))*'Mortgage Inputs'!$B$15))</f>
        <v/>
      </c>
      <c r="F848" s="2" t="str">
        <f>IF(A848="","",IF(AND('Offset Inputs'!$B$5&gt;='Mortgage Inputs'!$B$5,'Mortgage Inputs'!$B$5&gt;0),C848,MIN(C848,MAX(0,'Mortgage Inputs'!$B$17-E848))))</f>
        <v/>
      </c>
      <c r="G848" s="2" t="str">
        <f t="shared" si="39"/>
        <v/>
      </c>
      <c r="H848" s="2" t="str">
        <f>IF(A848="","",IF(AND('Offset Inputs'!$B$5&gt;='Mortgage Inputs'!$B$5,'Mortgage Inputs'!$B$5&gt;0),'Offset Inputs'!$B$5-'Mortgage Inputs'!$B$5,D848+'Offset Inputs'!$B$6))</f>
        <v/>
      </c>
    </row>
    <row r="849" spans="1:8" ht="22" customHeight="1">
      <c r="A849" s="1" t="str">
        <f>IF(AND('Mortgage Inputs'!$B$12,843&lt;=IF('Mortgage Inputs'!$B$12,'Mortgage Inputs'!$B$7,0)*12+600,ISNUMBER(G848),G848&gt;0.005),843,"")</f>
        <v/>
      </c>
      <c r="B849" s="4" t="str">
        <f>IF(A849="","",DATE(YEAR('Mortgage Inputs'!$B$8),MONTH('Mortgage Inputs'!$B$8)+A849,DAY('Mortgage Inputs'!$B$8)))</f>
        <v/>
      </c>
      <c r="C849" s="2" t="str">
        <f t="shared" si="40"/>
        <v/>
      </c>
      <c r="D849" s="2" t="str">
        <f t="shared" si="41"/>
        <v/>
      </c>
      <c r="E849" s="2" t="str">
        <f>IF(A849="","",MAX(0,(C849-MIN(D849,C849))*'Mortgage Inputs'!$B$15))</f>
        <v/>
      </c>
      <c r="F849" s="2" t="str">
        <f>IF(A849="","",IF(AND('Offset Inputs'!$B$5&gt;='Mortgage Inputs'!$B$5,'Mortgage Inputs'!$B$5&gt;0),C849,MIN(C849,MAX(0,'Mortgage Inputs'!$B$17-E849))))</f>
        <v/>
      </c>
      <c r="G849" s="2" t="str">
        <f t="shared" si="39"/>
        <v/>
      </c>
      <c r="H849" s="2" t="str">
        <f>IF(A849="","",IF(AND('Offset Inputs'!$B$5&gt;='Mortgage Inputs'!$B$5,'Mortgage Inputs'!$B$5&gt;0),'Offset Inputs'!$B$5-'Mortgage Inputs'!$B$5,D849+'Offset Inputs'!$B$6))</f>
        <v/>
      </c>
    </row>
    <row r="850" spans="1:8" ht="22" customHeight="1">
      <c r="A850" s="1" t="str">
        <f>IF(AND('Mortgage Inputs'!$B$12,844&lt;=IF('Mortgage Inputs'!$B$12,'Mortgage Inputs'!$B$7,0)*12+600,ISNUMBER(G849),G849&gt;0.005),844,"")</f>
        <v/>
      </c>
      <c r="B850" s="4" t="str">
        <f>IF(A850="","",DATE(YEAR('Mortgage Inputs'!$B$8),MONTH('Mortgage Inputs'!$B$8)+A850,DAY('Mortgage Inputs'!$B$8)))</f>
        <v/>
      </c>
      <c r="C850" s="2" t="str">
        <f t="shared" si="40"/>
        <v/>
      </c>
      <c r="D850" s="2" t="str">
        <f t="shared" si="41"/>
        <v/>
      </c>
      <c r="E850" s="2" t="str">
        <f>IF(A850="","",MAX(0,(C850-MIN(D850,C850))*'Mortgage Inputs'!$B$15))</f>
        <v/>
      </c>
      <c r="F850" s="2" t="str">
        <f>IF(A850="","",IF(AND('Offset Inputs'!$B$5&gt;='Mortgage Inputs'!$B$5,'Mortgage Inputs'!$B$5&gt;0),C850,MIN(C850,MAX(0,'Mortgage Inputs'!$B$17-E850))))</f>
        <v/>
      </c>
      <c r="G850" s="2" t="str">
        <f t="shared" si="39"/>
        <v/>
      </c>
      <c r="H850" s="2" t="str">
        <f>IF(A850="","",IF(AND('Offset Inputs'!$B$5&gt;='Mortgage Inputs'!$B$5,'Mortgage Inputs'!$B$5&gt;0),'Offset Inputs'!$B$5-'Mortgage Inputs'!$B$5,D850+'Offset Inputs'!$B$6))</f>
        <v/>
      </c>
    </row>
    <row r="851" spans="1:8" ht="22" customHeight="1">
      <c r="A851" s="1" t="str">
        <f>IF(AND('Mortgage Inputs'!$B$12,845&lt;=IF('Mortgage Inputs'!$B$12,'Mortgage Inputs'!$B$7,0)*12+600,ISNUMBER(G850),G850&gt;0.005),845,"")</f>
        <v/>
      </c>
      <c r="B851" s="4" t="str">
        <f>IF(A851="","",DATE(YEAR('Mortgage Inputs'!$B$8),MONTH('Mortgage Inputs'!$B$8)+A851,DAY('Mortgage Inputs'!$B$8)))</f>
        <v/>
      </c>
      <c r="C851" s="2" t="str">
        <f t="shared" si="40"/>
        <v/>
      </c>
      <c r="D851" s="2" t="str">
        <f t="shared" si="41"/>
        <v/>
      </c>
      <c r="E851" s="2" t="str">
        <f>IF(A851="","",MAX(0,(C851-MIN(D851,C851))*'Mortgage Inputs'!$B$15))</f>
        <v/>
      </c>
      <c r="F851" s="2" t="str">
        <f>IF(A851="","",IF(AND('Offset Inputs'!$B$5&gt;='Mortgage Inputs'!$B$5,'Mortgage Inputs'!$B$5&gt;0),C851,MIN(C851,MAX(0,'Mortgage Inputs'!$B$17-E851))))</f>
        <v/>
      </c>
      <c r="G851" s="2" t="str">
        <f t="shared" si="39"/>
        <v/>
      </c>
      <c r="H851" s="2" t="str">
        <f>IF(A851="","",IF(AND('Offset Inputs'!$B$5&gt;='Mortgage Inputs'!$B$5,'Mortgage Inputs'!$B$5&gt;0),'Offset Inputs'!$B$5-'Mortgage Inputs'!$B$5,D851+'Offset Inputs'!$B$6))</f>
        <v/>
      </c>
    </row>
    <row r="852" spans="1:8" ht="22" customHeight="1">
      <c r="A852" s="1" t="str">
        <f>IF(AND('Mortgage Inputs'!$B$12,846&lt;=IF('Mortgage Inputs'!$B$12,'Mortgage Inputs'!$B$7,0)*12+600,ISNUMBER(G851),G851&gt;0.005),846,"")</f>
        <v/>
      </c>
      <c r="B852" s="4" t="str">
        <f>IF(A852="","",DATE(YEAR('Mortgage Inputs'!$B$8),MONTH('Mortgage Inputs'!$B$8)+A852,DAY('Mortgage Inputs'!$B$8)))</f>
        <v/>
      </c>
      <c r="C852" s="2" t="str">
        <f t="shared" si="40"/>
        <v/>
      </c>
      <c r="D852" s="2" t="str">
        <f t="shared" si="41"/>
        <v/>
      </c>
      <c r="E852" s="2" t="str">
        <f>IF(A852="","",MAX(0,(C852-MIN(D852,C852))*'Mortgage Inputs'!$B$15))</f>
        <v/>
      </c>
      <c r="F852" s="2" t="str">
        <f>IF(A852="","",IF(AND('Offset Inputs'!$B$5&gt;='Mortgage Inputs'!$B$5,'Mortgage Inputs'!$B$5&gt;0),C852,MIN(C852,MAX(0,'Mortgage Inputs'!$B$17-E852))))</f>
        <v/>
      </c>
      <c r="G852" s="2" t="str">
        <f t="shared" si="39"/>
        <v/>
      </c>
      <c r="H852" s="2" t="str">
        <f>IF(A852="","",IF(AND('Offset Inputs'!$B$5&gt;='Mortgage Inputs'!$B$5,'Mortgage Inputs'!$B$5&gt;0),'Offset Inputs'!$B$5-'Mortgage Inputs'!$B$5,D852+'Offset Inputs'!$B$6))</f>
        <v/>
      </c>
    </row>
    <row r="853" spans="1:8" ht="22" customHeight="1">
      <c r="A853" s="1" t="str">
        <f>IF(AND('Mortgage Inputs'!$B$12,847&lt;=IF('Mortgage Inputs'!$B$12,'Mortgage Inputs'!$B$7,0)*12+600,ISNUMBER(G852),G852&gt;0.005),847,"")</f>
        <v/>
      </c>
      <c r="B853" s="4" t="str">
        <f>IF(A853="","",DATE(YEAR('Mortgage Inputs'!$B$8),MONTH('Mortgage Inputs'!$B$8)+A853,DAY('Mortgage Inputs'!$B$8)))</f>
        <v/>
      </c>
      <c r="C853" s="2" t="str">
        <f t="shared" si="40"/>
        <v/>
      </c>
      <c r="D853" s="2" t="str">
        <f t="shared" si="41"/>
        <v/>
      </c>
      <c r="E853" s="2" t="str">
        <f>IF(A853="","",MAX(0,(C853-MIN(D853,C853))*'Mortgage Inputs'!$B$15))</f>
        <v/>
      </c>
      <c r="F853" s="2" t="str">
        <f>IF(A853="","",IF(AND('Offset Inputs'!$B$5&gt;='Mortgage Inputs'!$B$5,'Mortgage Inputs'!$B$5&gt;0),C853,MIN(C853,MAX(0,'Mortgage Inputs'!$B$17-E853))))</f>
        <v/>
      </c>
      <c r="G853" s="2" t="str">
        <f t="shared" si="39"/>
        <v/>
      </c>
      <c r="H853" s="2" t="str">
        <f>IF(A853="","",IF(AND('Offset Inputs'!$B$5&gt;='Mortgage Inputs'!$B$5,'Mortgage Inputs'!$B$5&gt;0),'Offset Inputs'!$B$5-'Mortgage Inputs'!$B$5,D853+'Offset Inputs'!$B$6))</f>
        <v/>
      </c>
    </row>
    <row r="854" spans="1:8" ht="22" customHeight="1">
      <c r="A854" s="1" t="str">
        <f>IF(AND('Mortgage Inputs'!$B$12,848&lt;=IF('Mortgage Inputs'!$B$12,'Mortgage Inputs'!$B$7,0)*12+600,ISNUMBER(G853),G853&gt;0.005),848,"")</f>
        <v/>
      </c>
      <c r="B854" s="4" t="str">
        <f>IF(A854="","",DATE(YEAR('Mortgage Inputs'!$B$8),MONTH('Mortgage Inputs'!$B$8)+A854,DAY('Mortgage Inputs'!$B$8)))</f>
        <v/>
      </c>
      <c r="C854" s="2" t="str">
        <f t="shared" si="40"/>
        <v/>
      </c>
      <c r="D854" s="2" t="str">
        <f t="shared" si="41"/>
        <v/>
      </c>
      <c r="E854" s="2" t="str">
        <f>IF(A854="","",MAX(0,(C854-MIN(D854,C854))*'Mortgage Inputs'!$B$15))</f>
        <v/>
      </c>
      <c r="F854" s="2" t="str">
        <f>IF(A854="","",IF(AND('Offset Inputs'!$B$5&gt;='Mortgage Inputs'!$B$5,'Mortgage Inputs'!$B$5&gt;0),C854,MIN(C854,MAX(0,'Mortgage Inputs'!$B$17-E854))))</f>
        <v/>
      </c>
      <c r="G854" s="2" t="str">
        <f t="shared" si="39"/>
        <v/>
      </c>
      <c r="H854" s="2" t="str">
        <f>IF(A854="","",IF(AND('Offset Inputs'!$B$5&gt;='Mortgage Inputs'!$B$5,'Mortgage Inputs'!$B$5&gt;0),'Offset Inputs'!$B$5-'Mortgage Inputs'!$B$5,D854+'Offset Inputs'!$B$6))</f>
        <v/>
      </c>
    </row>
    <row r="855" spans="1:8" ht="22" customHeight="1">
      <c r="A855" s="1" t="str">
        <f>IF(AND('Mortgage Inputs'!$B$12,849&lt;=IF('Mortgage Inputs'!$B$12,'Mortgage Inputs'!$B$7,0)*12+600,ISNUMBER(G854),G854&gt;0.005),849,"")</f>
        <v/>
      </c>
      <c r="B855" s="4" t="str">
        <f>IF(A855="","",DATE(YEAR('Mortgage Inputs'!$B$8),MONTH('Mortgage Inputs'!$B$8)+A855,DAY('Mortgage Inputs'!$B$8)))</f>
        <v/>
      </c>
      <c r="C855" s="2" t="str">
        <f t="shared" si="40"/>
        <v/>
      </c>
      <c r="D855" s="2" t="str">
        <f t="shared" si="41"/>
        <v/>
      </c>
      <c r="E855" s="2" t="str">
        <f>IF(A855="","",MAX(0,(C855-MIN(D855,C855))*'Mortgage Inputs'!$B$15))</f>
        <v/>
      </c>
      <c r="F855" s="2" t="str">
        <f>IF(A855="","",IF(AND('Offset Inputs'!$B$5&gt;='Mortgage Inputs'!$B$5,'Mortgage Inputs'!$B$5&gt;0),C855,MIN(C855,MAX(0,'Mortgage Inputs'!$B$17-E855))))</f>
        <v/>
      </c>
      <c r="G855" s="2" t="str">
        <f t="shared" si="39"/>
        <v/>
      </c>
      <c r="H855" s="2" t="str">
        <f>IF(A855="","",IF(AND('Offset Inputs'!$B$5&gt;='Mortgage Inputs'!$B$5,'Mortgage Inputs'!$B$5&gt;0),'Offset Inputs'!$B$5-'Mortgage Inputs'!$B$5,D855+'Offset Inputs'!$B$6))</f>
        <v/>
      </c>
    </row>
    <row r="856" spans="1:8" ht="22" customHeight="1">
      <c r="A856" s="1" t="str">
        <f>IF(AND('Mortgage Inputs'!$B$12,850&lt;=IF('Mortgage Inputs'!$B$12,'Mortgage Inputs'!$B$7,0)*12+600,ISNUMBER(G855),G855&gt;0.005),850,"")</f>
        <v/>
      </c>
      <c r="B856" s="4" t="str">
        <f>IF(A856="","",DATE(YEAR('Mortgage Inputs'!$B$8),MONTH('Mortgage Inputs'!$B$8)+A856,DAY('Mortgage Inputs'!$B$8)))</f>
        <v/>
      </c>
      <c r="C856" s="2" t="str">
        <f t="shared" si="40"/>
        <v/>
      </c>
      <c r="D856" s="2" t="str">
        <f t="shared" si="41"/>
        <v/>
      </c>
      <c r="E856" s="2" t="str">
        <f>IF(A856="","",MAX(0,(C856-MIN(D856,C856))*'Mortgage Inputs'!$B$15))</f>
        <v/>
      </c>
      <c r="F856" s="2" t="str">
        <f>IF(A856="","",IF(AND('Offset Inputs'!$B$5&gt;='Mortgage Inputs'!$B$5,'Mortgage Inputs'!$B$5&gt;0),C856,MIN(C856,MAX(0,'Mortgage Inputs'!$B$17-E856))))</f>
        <v/>
      </c>
      <c r="G856" s="2" t="str">
        <f t="shared" si="39"/>
        <v/>
      </c>
      <c r="H856" s="2" t="str">
        <f>IF(A856="","",IF(AND('Offset Inputs'!$B$5&gt;='Mortgage Inputs'!$B$5,'Mortgage Inputs'!$B$5&gt;0),'Offset Inputs'!$B$5-'Mortgage Inputs'!$B$5,D856+'Offset Inputs'!$B$6))</f>
        <v/>
      </c>
    </row>
    <row r="857" spans="1:8" ht="22" customHeight="1">
      <c r="A857" s="1" t="str">
        <f>IF(AND('Mortgage Inputs'!$B$12,851&lt;=IF('Mortgage Inputs'!$B$12,'Mortgage Inputs'!$B$7,0)*12+600,ISNUMBER(G856),G856&gt;0.005),851,"")</f>
        <v/>
      </c>
      <c r="B857" s="4" t="str">
        <f>IF(A857="","",DATE(YEAR('Mortgage Inputs'!$B$8),MONTH('Mortgage Inputs'!$B$8)+A857,DAY('Mortgage Inputs'!$B$8)))</f>
        <v/>
      </c>
      <c r="C857" s="2" t="str">
        <f t="shared" si="40"/>
        <v/>
      </c>
      <c r="D857" s="2" t="str">
        <f t="shared" si="41"/>
        <v/>
      </c>
      <c r="E857" s="2" t="str">
        <f>IF(A857="","",MAX(0,(C857-MIN(D857,C857))*'Mortgage Inputs'!$B$15))</f>
        <v/>
      </c>
      <c r="F857" s="2" t="str">
        <f>IF(A857="","",IF(AND('Offset Inputs'!$B$5&gt;='Mortgage Inputs'!$B$5,'Mortgage Inputs'!$B$5&gt;0),C857,MIN(C857,MAX(0,'Mortgage Inputs'!$B$17-E857))))</f>
        <v/>
      </c>
      <c r="G857" s="2" t="str">
        <f t="shared" si="39"/>
        <v/>
      </c>
      <c r="H857" s="2" t="str">
        <f>IF(A857="","",IF(AND('Offset Inputs'!$B$5&gt;='Mortgage Inputs'!$B$5,'Mortgage Inputs'!$B$5&gt;0),'Offset Inputs'!$B$5-'Mortgage Inputs'!$B$5,D857+'Offset Inputs'!$B$6))</f>
        <v/>
      </c>
    </row>
    <row r="858" spans="1:8" ht="22" customHeight="1">
      <c r="A858" s="1" t="str">
        <f>IF(AND('Mortgage Inputs'!$B$12,852&lt;=IF('Mortgage Inputs'!$B$12,'Mortgage Inputs'!$B$7,0)*12+600,ISNUMBER(G857),G857&gt;0.005),852,"")</f>
        <v/>
      </c>
      <c r="B858" s="4" t="str">
        <f>IF(A858="","",DATE(YEAR('Mortgage Inputs'!$B$8),MONTH('Mortgage Inputs'!$B$8)+A858,DAY('Mortgage Inputs'!$B$8)))</f>
        <v/>
      </c>
      <c r="C858" s="2" t="str">
        <f t="shared" si="40"/>
        <v/>
      </c>
      <c r="D858" s="2" t="str">
        <f t="shared" si="41"/>
        <v/>
      </c>
      <c r="E858" s="2" t="str">
        <f>IF(A858="","",MAX(0,(C858-MIN(D858,C858))*'Mortgage Inputs'!$B$15))</f>
        <v/>
      </c>
      <c r="F858" s="2" t="str">
        <f>IF(A858="","",IF(AND('Offset Inputs'!$B$5&gt;='Mortgage Inputs'!$B$5,'Mortgage Inputs'!$B$5&gt;0),C858,MIN(C858,MAX(0,'Mortgage Inputs'!$B$17-E858))))</f>
        <v/>
      </c>
      <c r="G858" s="2" t="str">
        <f t="shared" si="39"/>
        <v/>
      </c>
      <c r="H858" s="2" t="str">
        <f>IF(A858="","",IF(AND('Offset Inputs'!$B$5&gt;='Mortgage Inputs'!$B$5,'Mortgage Inputs'!$B$5&gt;0),'Offset Inputs'!$B$5-'Mortgage Inputs'!$B$5,D858+'Offset Inputs'!$B$6))</f>
        <v/>
      </c>
    </row>
    <row r="859" spans="1:8" ht="22" customHeight="1">
      <c r="A859" s="1" t="str">
        <f>IF(AND('Mortgage Inputs'!$B$12,853&lt;=IF('Mortgage Inputs'!$B$12,'Mortgage Inputs'!$B$7,0)*12+600,ISNUMBER(G858),G858&gt;0.005),853,"")</f>
        <v/>
      </c>
      <c r="B859" s="4" t="str">
        <f>IF(A859="","",DATE(YEAR('Mortgage Inputs'!$B$8),MONTH('Mortgage Inputs'!$B$8)+A859,DAY('Mortgage Inputs'!$B$8)))</f>
        <v/>
      </c>
      <c r="C859" s="2" t="str">
        <f t="shared" si="40"/>
        <v/>
      </c>
      <c r="D859" s="2" t="str">
        <f t="shared" si="41"/>
        <v/>
      </c>
      <c r="E859" s="2" t="str">
        <f>IF(A859="","",MAX(0,(C859-MIN(D859,C859))*'Mortgage Inputs'!$B$15))</f>
        <v/>
      </c>
      <c r="F859" s="2" t="str">
        <f>IF(A859="","",IF(AND('Offset Inputs'!$B$5&gt;='Mortgage Inputs'!$B$5,'Mortgage Inputs'!$B$5&gt;0),C859,MIN(C859,MAX(0,'Mortgage Inputs'!$B$17-E859))))</f>
        <v/>
      </c>
      <c r="G859" s="2" t="str">
        <f t="shared" si="39"/>
        <v/>
      </c>
      <c r="H859" s="2" t="str">
        <f>IF(A859="","",IF(AND('Offset Inputs'!$B$5&gt;='Mortgage Inputs'!$B$5,'Mortgage Inputs'!$B$5&gt;0),'Offset Inputs'!$B$5-'Mortgage Inputs'!$B$5,D859+'Offset Inputs'!$B$6))</f>
        <v/>
      </c>
    </row>
    <row r="860" spans="1:8" ht="22" customHeight="1">
      <c r="A860" s="1" t="str">
        <f>IF(AND('Mortgage Inputs'!$B$12,854&lt;=IF('Mortgage Inputs'!$B$12,'Mortgage Inputs'!$B$7,0)*12+600,ISNUMBER(G859),G859&gt;0.005),854,"")</f>
        <v/>
      </c>
      <c r="B860" s="4" t="str">
        <f>IF(A860="","",DATE(YEAR('Mortgage Inputs'!$B$8),MONTH('Mortgage Inputs'!$B$8)+A860,DAY('Mortgage Inputs'!$B$8)))</f>
        <v/>
      </c>
      <c r="C860" s="2" t="str">
        <f t="shared" si="40"/>
        <v/>
      </c>
      <c r="D860" s="2" t="str">
        <f t="shared" si="41"/>
        <v/>
      </c>
      <c r="E860" s="2" t="str">
        <f>IF(A860="","",MAX(0,(C860-MIN(D860,C860))*'Mortgage Inputs'!$B$15))</f>
        <v/>
      </c>
      <c r="F860" s="2" t="str">
        <f>IF(A860="","",IF(AND('Offset Inputs'!$B$5&gt;='Mortgage Inputs'!$B$5,'Mortgage Inputs'!$B$5&gt;0),C860,MIN(C860,MAX(0,'Mortgage Inputs'!$B$17-E860))))</f>
        <v/>
      </c>
      <c r="G860" s="2" t="str">
        <f t="shared" si="39"/>
        <v/>
      </c>
      <c r="H860" s="2" t="str">
        <f>IF(A860="","",IF(AND('Offset Inputs'!$B$5&gt;='Mortgage Inputs'!$B$5,'Mortgage Inputs'!$B$5&gt;0),'Offset Inputs'!$B$5-'Mortgage Inputs'!$B$5,D860+'Offset Inputs'!$B$6))</f>
        <v/>
      </c>
    </row>
    <row r="861" spans="1:8" ht="22" customHeight="1">
      <c r="A861" s="1" t="str">
        <f>IF(AND('Mortgage Inputs'!$B$12,855&lt;=IF('Mortgage Inputs'!$B$12,'Mortgage Inputs'!$B$7,0)*12+600,ISNUMBER(G860),G860&gt;0.005),855,"")</f>
        <v/>
      </c>
      <c r="B861" s="4" t="str">
        <f>IF(A861="","",DATE(YEAR('Mortgage Inputs'!$B$8),MONTH('Mortgage Inputs'!$B$8)+A861,DAY('Mortgage Inputs'!$B$8)))</f>
        <v/>
      </c>
      <c r="C861" s="2" t="str">
        <f t="shared" si="40"/>
        <v/>
      </c>
      <c r="D861" s="2" t="str">
        <f t="shared" si="41"/>
        <v/>
      </c>
      <c r="E861" s="2" t="str">
        <f>IF(A861="","",MAX(0,(C861-MIN(D861,C861))*'Mortgage Inputs'!$B$15))</f>
        <v/>
      </c>
      <c r="F861" s="2" t="str">
        <f>IF(A861="","",IF(AND('Offset Inputs'!$B$5&gt;='Mortgage Inputs'!$B$5,'Mortgage Inputs'!$B$5&gt;0),C861,MIN(C861,MAX(0,'Mortgage Inputs'!$B$17-E861))))</f>
        <v/>
      </c>
      <c r="G861" s="2" t="str">
        <f t="shared" si="39"/>
        <v/>
      </c>
      <c r="H861" s="2" t="str">
        <f>IF(A861="","",IF(AND('Offset Inputs'!$B$5&gt;='Mortgage Inputs'!$B$5,'Mortgage Inputs'!$B$5&gt;0),'Offset Inputs'!$B$5-'Mortgage Inputs'!$B$5,D861+'Offset Inputs'!$B$6))</f>
        <v/>
      </c>
    </row>
    <row r="862" spans="1:8" ht="22" customHeight="1">
      <c r="A862" s="1" t="str">
        <f>IF(AND('Mortgage Inputs'!$B$12,856&lt;=IF('Mortgage Inputs'!$B$12,'Mortgage Inputs'!$B$7,0)*12+600,ISNUMBER(G861),G861&gt;0.005),856,"")</f>
        <v/>
      </c>
      <c r="B862" s="4" t="str">
        <f>IF(A862="","",DATE(YEAR('Mortgage Inputs'!$B$8),MONTH('Mortgage Inputs'!$B$8)+A862,DAY('Mortgage Inputs'!$B$8)))</f>
        <v/>
      </c>
      <c r="C862" s="2" t="str">
        <f t="shared" si="40"/>
        <v/>
      </c>
      <c r="D862" s="2" t="str">
        <f t="shared" si="41"/>
        <v/>
      </c>
      <c r="E862" s="2" t="str">
        <f>IF(A862="","",MAX(0,(C862-MIN(D862,C862))*'Mortgage Inputs'!$B$15))</f>
        <v/>
      </c>
      <c r="F862" s="2" t="str">
        <f>IF(A862="","",IF(AND('Offset Inputs'!$B$5&gt;='Mortgage Inputs'!$B$5,'Mortgage Inputs'!$B$5&gt;0),C862,MIN(C862,MAX(0,'Mortgage Inputs'!$B$17-E862))))</f>
        <v/>
      </c>
      <c r="G862" s="2" t="str">
        <f t="shared" si="39"/>
        <v/>
      </c>
      <c r="H862" s="2" t="str">
        <f>IF(A862="","",IF(AND('Offset Inputs'!$B$5&gt;='Mortgage Inputs'!$B$5,'Mortgage Inputs'!$B$5&gt;0),'Offset Inputs'!$B$5-'Mortgage Inputs'!$B$5,D862+'Offset Inputs'!$B$6))</f>
        <v/>
      </c>
    </row>
    <row r="863" spans="1:8" ht="22" customHeight="1">
      <c r="A863" s="1" t="str">
        <f>IF(AND('Mortgage Inputs'!$B$12,857&lt;=IF('Mortgage Inputs'!$B$12,'Mortgage Inputs'!$B$7,0)*12+600,ISNUMBER(G862),G862&gt;0.005),857,"")</f>
        <v/>
      </c>
      <c r="B863" s="4" t="str">
        <f>IF(A863="","",DATE(YEAR('Mortgage Inputs'!$B$8),MONTH('Mortgage Inputs'!$B$8)+A863,DAY('Mortgage Inputs'!$B$8)))</f>
        <v/>
      </c>
      <c r="C863" s="2" t="str">
        <f t="shared" si="40"/>
        <v/>
      </c>
      <c r="D863" s="2" t="str">
        <f t="shared" si="41"/>
        <v/>
      </c>
      <c r="E863" s="2" t="str">
        <f>IF(A863="","",MAX(0,(C863-MIN(D863,C863))*'Mortgage Inputs'!$B$15))</f>
        <v/>
      </c>
      <c r="F863" s="2" t="str">
        <f>IF(A863="","",IF(AND('Offset Inputs'!$B$5&gt;='Mortgage Inputs'!$B$5,'Mortgage Inputs'!$B$5&gt;0),C863,MIN(C863,MAX(0,'Mortgage Inputs'!$B$17-E863))))</f>
        <v/>
      </c>
      <c r="G863" s="2" t="str">
        <f t="shared" si="39"/>
        <v/>
      </c>
      <c r="H863" s="2" t="str">
        <f>IF(A863="","",IF(AND('Offset Inputs'!$B$5&gt;='Mortgage Inputs'!$B$5,'Mortgage Inputs'!$B$5&gt;0),'Offset Inputs'!$B$5-'Mortgage Inputs'!$B$5,D863+'Offset Inputs'!$B$6))</f>
        <v/>
      </c>
    </row>
    <row r="864" spans="1:8" ht="22" customHeight="1">
      <c r="A864" s="1" t="str">
        <f>IF(AND('Mortgage Inputs'!$B$12,858&lt;=IF('Mortgage Inputs'!$B$12,'Mortgage Inputs'!$B$7,0)*12+600,ISNUMBER(G863),G863&gt;0.005),858,"")</f>
        <v/>
      </c>
      <c r="B864" s="4" t="str">
        <f>IF(A864="","",DATE(YEAR('Mortgage Inputs'!$B$8),MONTH('Mortgage Inputs'!$B$8)+A864,DAY('Mortgage Inputs'!$B$8)))</f>
        <v/>
      </c>
      <c r="C864" s="2" t="str">
        <f t="shared" si="40"/>
        <v/>
      </c>
      <c r="D864" s="2" t="str">
        <f t="shared" si="41"/>
        <v/>
      </c>
      <c r="E864" s="2" t="str">
        <f>IF(A864="","",MAX(0,(C864-MIN(D864,C864))*'Mortgage Inputs'!$B$15))</f>
        <v/>
      </c>
      <c r="F864" s="2" t="str">
        <f>IF(A864="","",IF(AND('Offset Inputs'!$B$5&gt;='Mortgage Inputs'!$B$5,'Mortgage Inputs'!$B$5&gt;0),C864,MIN(C864,MAX(0,'Mortgage Inputs'!$B$17-E864))))</f>
        <v/>
      </c>
      <c r="G864" s="2" t="str">
        <f t="shared" si="39"/>
        <v/>
      </c>
      <c r="H864" s="2" t="str">
        <f>IF(A864="","",IF(AND('Offset Inputs'!$B$5&gt;='Mortgage Inputs'!$B$5,'Mortgage Inputs'!$B$5&gt;0),'Offset Inputs'!$B$5-'Mortgage Inputs'!$B$5,D864+'Offset Inputs'!$B$6))</f>
        <v/>
      </c>
    </row>
    <row r="865" spans="1:8" ht="22" customHeight="1">
      <c r="A865" s="1" t="str">
        <f>IF(AND('Mortgage Inputs'!$B$12,859&lt;=IF('Mortgage Inputs'!$B$12,'Mortgage Inputs'!$B$7,0)*12+600,ISNUMBER(G864),G864&gt;0.005),859,"")</f>
        <v/>
      </c>
      <c r="B865" s="4" t="str">
        <f>IF(A865="","",DATE(YEAR('Mortgage Inputs'!$B$8),MONTH('Mortgage Inputs'!$B$8)+A865,DAY('Mortgage Inputs'!$B$8)))</f>
        <v/>
      </c>
      <c r="C865" s="2" t="str">
        <f t="shared" si="40"/>
        <v/>
      </c>
      <c r="D865" s="2" t="str">
        <f t="shared" si="41"/>
        <v/>
      </c>
      <c r="E865" s="2" t="str">
        <f>IF(A865="","",MAX(0,(C865-MIN(D865,C865))*'Mortgage Inputs'!$B$15))</f>
        <v/>
      </c>
      <c r="F865" s="2" t="str">
        <f>IF(A865="","",IF(AND('Offset Inputs'!$B$5&gt;='Mortgage Inputs'!$B$5,'Mortgage Inputs'!$B$5&gt;0),C865,MIN(C865,MAX(0,'Mortgage Inputs'!$B$17-E865))))</f>
        <v/>
      </c>
      <c r="G865" s="2" t="str">
        <f t="shared" si="39"/>
        <v/>
      </c>
      <c r="H865" s="2" t="str">
        <f>IF(A865="","",IF(AND('Offset Inputs'!$B$5&gt;='Mortgage Inputs'!$B$5,'Mortgage Inputs'!$B$5&gt;0),'Offset Inputs'!$B$5-'Mortgage Inputs'!$B$5,D865+'Offset Inputs'!$B$6))</f>
        <v/>
      </c>
    </row>
    <row r="866" spans="1:8" ht="22" customHeight="1">
      <c r="A866" s="1" t="str">
        <f>IF(AND('Mortgage Inputs'!$B$12,860&lt;=IF('Mortgage Inputs'!$B$12,'Mortgage Inputs'!$B$7,0)*12+600,ISNUMBER(G865),G865&gt;0.005),860,"")</f>
        <v/>
      </c>
      <c r="B866" s="4" t="str">
        <f>IF(A866="","",DATE(YEAR('Mortgage Inputs'!$B$8),MONTH('Mortgage Inputs'!$B$8)+A866,DAY('Mortgage Inputs'!$B$8)))</f>
        <v/>
      </c>
      <c r="C866" s="2" t="str">
        <f t="shared" si="40"/>
        <v/>
      </c>
      <c r="D866" s="2" t="str">
        <f t="shared" si="41"/>
        <v/>
      </c>
      <c r="E866" s="2" t="str">
        <f>IF(A866="","",MAX(0,(C866-MIN(D866,C866))*'Mortgage Inputs'!$B$15))</f>
        <v/>
      </c>
      <c r="F866" s="2" t="str">
        <f>IF(A866="","",IF(AND('Offset Inputs'!$B$5&gt;='Mortgage Inputs'!$B$5,'Mortgage Inputs'!$B$5&gt;0),C866,MIN(C866,MAX(0,'Mortgage Inputs'!$B$17-E866))))</f>
        <v/>
      </c>
      <c r="G866" s="2" t="str">
        <f t="shared" si="39"/>
        <v/>
      </c>
      <c r="H866" s="2" t="str">
        <f>IF(A866="","",IF(AND('Offset Inputs'!$B$5&gt;='Mortgage Inputs'!$B$5,'Mortgage Inputs'!$B$5&gt;0),'Offset Inputs'!$B$5-'Mortgage Inputs'!$B$5,D866+'Offset Inputs'!$B$6))</f>
        <v/>
      </c>
    </row>
    <row r="867" spans="1:8" ht="22" customHeight="1">
      <c r="A867" s="1" t="str">
        <f>IF(AND('Mortgage Inputs'!$B$12,861&lt;=IF('Mortgage Inputs'!$B$12,'Mortgage Inputs'!$B$7,0)*12+600,ISNUMBER(G866),G866&gt;0.005),861,"")</f>
        <v/>
      </c>
      <c r="B867" s="4" t="str">
        <f>IF(A867="","",DATE(YEAR('Mortgage Inputs'!$B$8),MONTH('Mortgage Inputs'!$B$8)+A867,DAY('Mortgage Inputs'!$B$8)))</f>
        <v/>
      </c>
      <c r="C867" s="2" t="str">
        <f t="shared" si="40"/>
        <v/>
      </c>
      <c r="D867" s="2" t="str">
        <f t="shared" si="41"/>
        <v/>
      </c>
      <c r="E867" s="2" t="str">
        <f>IF(A867="","",MAX(0,(C867-MIN(D867,C867))*'Mortgage Inputs'!$B$15))</f>
        <v/>
      </c>
      <c r="F867" s="2" t="str">
        <f>IF(A867="","",IF(AND('Offset Inputs'!$B$5&gt;='Mortgage Inputs'!$B$5,'Mortgage Inputs'!$B$5&gt;0),C867,MIN(C867,MAX(0,'Mortgage Inputs'!$B$17-E867))))</f>
        <v/>
      </c>
      <c r="G867" s="2" t="str">
        <f t="shared" si="39"/>
        <v/>
      </c>
      <c r="H867" s="2" t="str">
        <f>IF(A867="","",IF(AND('Offset Inputs'!$B$5&gt;='Mortgage Inputs'!$B$5,'Mortgage Inputs'!$B$5&gt;0),'Offset Inputs'!$B$5-'Mortgage Inputs'!$B$5,D867+'Offset Inputs'!$B$6))</f>
        <v/>
      </c>
    </row>
    <row r="868" spans="1:8" ht="22" customHeight="1">
      <c r="A868" s="1" t="str">
        <f>IF(AND('Mortgage Inputs'!$B$12,862&lt;=IF('Mortgage Inputs'!$B$12,'Mortgage Inputs'!$B$7,0)*12+600,ISNUMBER(G867),G867&gt;0.005),862,"")</f>
        <v/>
      </c>
      <c r="B868" s="4" t="str">
        <f>IF(A868="","",DATE(YEAR('Mortgage Inputs'!$B$8),MONTH('Mortgage Inputs'!$B$8)+A868,DAY('Mortgage Inputs'!$B$8)))</f>
        <v/>
      </c>
      <c r="C868" s="2" t="str">
        <f t="shared" si="40"/>
        <v/>
      </c>
      <c r="D868" s="2" t="str">
        <f t="shared" si="41"/>
        <v/>
      </c>
      <c r="E868" s="2" t="str">
        <f>IF(A868="","",MAX(0,(C868-MIN(D868,C868))*'Mortgage Inputs'!$B$15))</f>
        <v/>
      </c>
      <c r="F868" s="2" t="str">
        <f>IF(A868="","",IF(AND('Offset Inputs'!$B$5&gt;='Mortgage Inputs'!$B$5,'Mortgage Inputs'!$B$5&gt;0),C868,MIN(C868,MAX(0,'Mortgage Inputs'!$B$17-E868))))</f>
        <v/>
      </c>
      <c r="G868" s="2" t="str">
        <f t="shared" si="39"/>
        <v/>
      </c>
      <c r="H868" s="2" t="str">
        <f>IF(A868="","",IF(AND('Offset Inputs'!$B$5&gt;='Mortgage Inputs'!$B$5,'Mortgage Inputs'!$B$5&gt;0),'Offset Inputs'!$B$5-'Mortgage Inputs'!$B$5,D868+'Offset Inputs'!$B$6))</f>
        <v/>
      </c>
    </row>
    <row r="869" spans="1:8" ht="22" customHeight="1">
      <c r="A869" s="1" t="str">
        <f>IF(AND('Mortgage Inputs'!$B$12,863&lt;=IF('Mortgage Inputs'!$B$12,'Mortgage Inputs'!$B$7,0)*12+600,ISNUMBER(G868),G868&gt;0.005),863,"")</f>
        <v/>
      </c>
      <c r="B869" s="4" t="str">
        <f>IF(A869="","",DATE(YEAR('Mortgage Inputs'!$B$8),MONTH('Mortgage Inputs'!$B$8)+A869,DAY('Mortgage Inputs'!$B$8)))</f>
        <v/>
      </c>
      <c r="C869" s="2" t="str">
        <f t="shared" si="40"/>
        <v/>
      </c>
      <c r="D869" s="2" t="str">
        <f t="shared" si="41"/>
        <v/>
      </c>
      <c r="E869" s="2" t="str">
        <f>IF(A869="","",MAX(0,(C869-MIN(D869,C869))*'Mortgage Inputs'!$B$15))</f>
        <v/>
      </c>
      <c r="F869" s="2" t="str">
        <f>IF(A869="","",IF(AND('Offset Inputs'!$B$5&gt;='Mortgage Inputs'!$B$5,'Mortgage Inputs'!$B$5&gt;0),C869,MIN(C869,MAX(0,'Mortgage Inputs'!$B$17-E869))))</f>
        <v/>
      </c>
      <c r="G869" s="2" t="str">
        <f t="shared" si="39"/>
        <v/>
      </c>
      <c r="H869" s="2" t="str">
        <f>IF(A869="","",IF(AND('Offset Inputs'!$B$5&gt;='Mortgage Inputs'!$B$5,'Mortgage Inputs'!$B$5&gt;0),'Offset Inputs'!$B$5-'Mortgage Inputs'!$B$5,D869+'Offset Inputs'!$B$6))</f>
        <v/>
      </c>
    </row>
    <row r="870" spans="1:8" ht="22" customHeight="1">
      <c r="A870" s="1" t="str">
        <f>IF(AND('Mortgage Inputs'!$B$12,864&lt;=IF('Mortgage Inputs'!$B$12,'Mortgage Inputs'!$B$7,0)*12+600,ISNUMBER(G869),G869&gt;0.005),864,"")</f>
        <v/>
      </c>
      <c r="B870" s="4" t="str">
        <f>IF(A870="","",DATE(YEAR('Mortgage Inputs'!$B$8),MONTH('Mortgage Inputs'!$B$8)+A870,DAY('Mortgage Inputs'!$B$8)))</f>
        <v/>
      </c>
      <c r="C870" s="2" t="str">
        <f t="shared" si="40"/>
        <v/>
      </c>
      <c r="D870" s="2" t="str">
        <f t="shared" si="41"/>
        <v/>
      </c>
      <c r="E870" s="2" t="str">
        <f>IF(A870="","",MAX(0,(C870-MIN(D870,C870))*'Mortgage Inputs'!$B$15))</f>
        <v/>
      </c>
      <c r="F870" s="2" t="str">
        <f>IF(A870="","",IF(AND('Offset Inputs'!$B$5&gt;='Mortgage Inputs'!$B$5,'Mortgage Inputs'!$B$5&gt;0),C870,MIN(C870,MAX(0,'Mortgage Inputs'!$B$17-E870))))</f>
        <v/>
      </c>
      <c r="G870" s="2" t="str">
        <f t="shared" si="39"/>
        <v/>
      </c>
      <c r="H870" s="2" t="str">
        <f>IF(A870="","",IF(AND('Offset Inputs'!$B$5&gt;='Mortgage Inputs'!$B$5,'Mortgage Inputs'!$B$5&gt;0),'Offset Inputs'!$B$5-'Mortgage Inputs'!$B$5,D870+'Offset Inputs'!$B$6))</f>
        <v/>
      </c>
    </row>
    <row r="871" spans="1:8" ht="22" customHeight="1">
      <c r="A871" s="1" t="str">
        <f>IF(AND('Mortgage Inputs'!$B$12,865&lt;=IF('Mortgage Inputs'!$B$12,'Mortgage Inputs'!$B$7,0)*12+600,ISNUMBER(G870),G870&gt;0.005),865,"")</f>
        <v/>
      </c>
      <c r="B871" s="4" t="str">
        <f>IF(A871="","",DATE(YEAR('Mortgage Inputs'!$B$8),MONTH('Mortgage Inputs'!$B$8)+A871,DAY('Mortgage Inputs'!$B$8)))</f>
        <v/>
      </c>
      <c r="C871" s="2" t="str">
        <f t="shared" si="40"/>
        <v/>
      </c>
      <c r="D871" s="2" t="str">
        <f t="shared" si="41"/>
        <v/>
      </c>
      <c r="E871" s="2" t="str">
        <f>IF(A871="","",MAX(0,(C871-MIN(D871,C871))*'Mortgage Inputs'!$B$15))</f>
        <v/>
      </c>
      <c r="F871" s="2" t="str">
        <f>IF(A871="","",IF(AND('Offset Inputs'!$B$5&gt;='Mortgage Inputs'!$B$5,'Mortgage Inputs'!$B$5&gt;0),C871,MIN(C871,MAX(0,'Mortgage Inputs'!$B$17-E871))))</f>
        <v/>
      </c>
      <c r="G871" s="2" t="str">
        <f t="shared" si="39"/>
        <v/>
      </c>
      <c r="H871" s="2" t="str">
        <f>IF(A871="","",IF(AND('Offset Inputs'!$B$5&gt;='Mortgage Inputs'!$B$5,'Mortgage Inputs'!$B$5&gt;0),'Offset Inputs'!$B$5-'Mortgage Inputs'!$B$5,D871+'Offset Inputs'!$B$6))</f>
        <v/>
      </c>
    </row>
    <row r="872" spans="1:8" ht="22" customHeight="1">
      <c r="A872" s="1" t="str">
        <f>IF(AND('Mortgage Inputs'!$B$12,866&lt;=IF('Mortgage Inputs'!$B$12,'Mortgage Inputs'!$B$7,0)*12+600,ISNUMBER(G871),G871&gt;0.005),866,"")</f>
        <v/>
      </c>
      <c r="B872" s="4" t="str">
        <f>IF(A872="","",DATE(YEAR('Mortgage Inputs'!$B$8),MONTH('Mortgage Inputs'!$B$8)+A872,DAY('Mortgage Inputs'!$B$8)))</f>
        <v/>
      </c>
      <c r="C872" s="2" t="str">
        <f t="shared" si="40"/>
        <v/>
      </c>
      <c r="D872" s="2" t="str">
        <f t="shared" si="41"/>
        <v/>
      </c>
      <c r="E872" s="2" t="str">
        <f>IF(A872="","",MAX(0,(C872-MIN(D872,C872))*'Mortgage Inputs'!$B$15))</f>
        <v/>
      </c>
      <c r="F872" s="2" t="str">
        <f>IF(A872="","",IF(AND('Offset Inputs'!$B$5&gt;='Mortgage Inputs'!$B$5,'Mortgage Inputs'!$B$5&gt;0),C872,MIN(C872,MAX(0,'Mortgage Inputs'!$B$17-E872))))</f>
        <v/>
      </c>
      <c r="G872" s="2" t="str">
        <f t="shared" si="39"/>
        <v/>
      </c>
      <c r="H872" s="2" t="str">
        <f>IF(A872="","",IF(AND('Offset Inputs'!$B$5&gt;='Mortgage Inputs'!$B$5,'Mortgage Inputs'!$B$5&gt;0),'Offset Inputs'!$B$5-'Mortgage Inputs'!$B$5,D872+'Offset Inputs'!$B$6))</f>
        <v/>
      </c>
    </row>
    <row r="873" spans="1:8" ht="22" customHeight="1">
      <c r="A873" s="1" t="str">
        <f>IF(AND('Mortgage Inputs'!$B$12,867&lt;=IF('Mortgage Inputs'!$B$12,'Mortgage Inputs'!$B$7,0)*12+600,ISNUMBER(G872),G872&gt;0.005),867,"")</f>
        <v/>
      </c>
      <c r="B873" s="4" t="str">
        <f>IF(A873="","",DATE(YEAR('Mortgage Inputs'!$B$8),MONTH('Mortgage Inputs'!$B$8)+A873,DAY('Mortgage Inputs'!$B$8)))</f>
        <v/>
      </c>
      <c r="C873" s="2" t="str">
        <f t="shared" si="40"/>
        <v/>
      </c>
      <c r="D873" s="2" t="str">
        <f t="shared" si="41"/>
        <v/>
      </c>
      <c r="E873" s="2" t="str">
        <f>IF(A873="","",MAX(0,(C873-MIN(D873,C873))*'Mortgage Inputs'!$B$15))</f>
        <v/>
      </c>
      <c r="F873" s="2" t="str">
        <f>IF(A873="","",IF(AND('Offset Inputs'!$B$5&gt;='Mortgage Inputs'!$B$5,'Mortgage Inputs'!$B$5&gt;0),C873,MIN(C873,MAX(0,'Mortgage Inputs'!$B$17-E873))))</f>
        <v/>
      </c>
      <c r="G873" s="2" t="str">
        <f t="shared" si="39"/>
        <v/>
      </c>
      <c r="H873" s="2" t="str">
        <f>IF(A873="","",IF(AND('Offset Inputs'!$B$5&gt;='Mortgage Inputs'!$B$5,'Mortgage Inputs'!$B$5&gt;0),'Offset Inputs'!$B$5-'Mortgage Inputs'!$B$5,D873+'Offset Inputs'!$B$6))</f>
        <v/>
      </c>
    </row>
    <row r="874" spans="1:8" ht="22" customHeight="1">
      <c r="A874" s="1" t="str">
        <f>IF(AND('Mortgage Inputs'!$B$12,868&lt;=IF('Mortgage Inputs'!$B$12,'Mortgage Inputs'!$B$7,0)*12+600,ISNUMBER(G873),G873&gt;0.005),868,"")</f>
        <v/>
      </c>
      <c r="B874" s="4" t="str">
        <f>IF(A874="","",DATE(YEAR('Mortgage Inputs'!$B$8),MONTH('Mortgage Inputs'!$B$8)+A874,DAY('Mortgage Inputs'!$B$8)))</f>
        <v/>
      </c>
      <c r="C874" s="2" t="str">
        <f t="shared" si="40"/>
        <v/>
      </c>
      <c r="D874" s="2" t="str">
        <f t="shared" si="41"/>
        <v/>
      </c>
      <c r="E874" s="2" t="str">
        <f>IF(A874="","",MAX(0,(C874-MIN(D874,C874))*'Mortgage Inputs'!$B$15))</f>
        <v/>
      </c>
      <c r="F874" s="2" t="str">
        <f>IF(A874="","",IF(AND('Offset Inputs'!$B$5&gt;='Mortgage Inputs'!$B$5,'Mortgage Inputs'!$B$5&gt;0),C874,MIN(C874,MAX(0,'Mortgage Inputs'!$B$17-E874))))</f>
        <v/>
      </c>
      <c r="G874" s="2" t="str">
        <f t="shared" si="39"/>
        <v/>
      </c>
      <c r="H874" s="2" t="str">
        <f>IF(A874="","",IF(AND('Offset Inputs'!$B$5&gt;='Mortgage Inputs'!$B$5,'Mortgage Inputs'!$B$5&gt;0),'Offset Inputs'!$B$5-'Mortgage Inputs'!$B$5,D874+'Offset Inputs'!$B$6))</f>
        <v/>
      </c>
    </row>
    <row r="875" spans="1:8" ht="22" customHeight="1">
      <c r="A875" s="1" t="str">
        <f>IF(AND('Mortgage Inputs'!$B$12,869&lt;=IF('Mortgage Inputs'!$B$12,'Mortgage Inputs'!$B$7,0)*12+600,ISNUMBER(G874),G874&gt;0.005),869,"")</f>
        <v/>
      </c>
      <c r="B875" s="4" t="str">
        <f>IF(A875="","",DATE(YEAR('Mortgage Inputs'!$B$8),MONTH('Mortgage Inputs'!$B$8)+A875,DAY('Mortgage Inputs'!$B$8)))</f>
        <v/>
      </c>
      <c r="C875" s="2" t="str">
        <f t="shared" si="40"/>
        <v/>
      </c>
      <c r="D875" s="2" t="str">
        <f t="shared" si="41"/>
        <v/>
      </c>
      <c r="E875" s="2" t="str">
        <f>IF(A875="","",MAX(0,(C875-MIN(D875,C875))*'Mortgage Inputs'!$B$15))</f>
        <v/>
      </c>
      <c r="F875" s="2" t="str">
        <f>IF(A875="","",IF(AND('Offset Inputs'!$B$5&gt;='Mortgage Inputs'!$B$5,'Mortgage Inputs'!$B$5&gt;0),C875,MIN(C875,MAX(0,'Mortgage Inputs'!$B$17-E875))))</f>
        <v/>
      </c>
      <c r="G875" s="2" t="str">
        <f t="shared" si="39"/>
        <v/>
      </c>
      <c r="H875" s="2" t="str">
        <f>IF(A875="","",IF(AND('Offset Inputs'!$B$5&gt;='Mortgage Inputs'!$B$5,'Mortgage Inputs'!$B$5&gt;0),'Offset Inputs'!$B$5-'Mortgage Inputs'!$B$5,D875+'Offset Inputs'!$B$6))</f>
        <v/>
      </c>
    </row>
    <row r="876" spans="1:8" ht="22" customHeight="1">
      <c r="A876" s="1" t="str">
        <f>IF(AND('Mortgage Inputs'!$B$12,870&lt;=IF('Mortgage Inputs'!$B$12,'Mortgage Inputs'!$B$7,0)*12+600,ISNUMBER(G875),G875&gt;0.005),870,"")</f>
        <v/>
      </c>
      <c r="B876" s="4" t="str">
        <f>IF(A876="","",DATE(YEAR('Mortgage Inputs'!$B$8),MONTH('Mortgage Inputs'!$B$8)+A876,DAY('Mortgage Inputs'!$B$8)))</f>
        <v/>
      </c>
      <c r="C876" s="2" t="str">
        <f t="shared" si="40"/>
        <v/>
      </c>
      <c r="D876" s="2" t="str">
        <f t="shared" si="41"/>
        <v/>
      </c>
      <c r="E876" s="2" t="str">
        <f>IF(A876="","",MAX(0,(C876-MIN(D876,C876))*'Mortgage Inputs'!$B$15))</f>
        <v/>
      </c>
      <c r="F876" s="2" t="str">
        <f>IF(A876="","",IF(AND('Offset Inputs'!$B$5&gt;='Mortgage Inputs'!$B$5,'Mortgage Inputs'!$B$5&gt;0),C876,MIN(C876,MAX(0,'Mortgage Inputs'!$B$17-E876))))</f>
        <v/>
      </c>
      <c r="G876" s="2" t="str">
        <f t="shared" si="39"/>
        <v/>
      </c>
      <c r="H876" s="2" t="str">
        <f>IF(A876="","",IF(AND('Offset Inputs'!$B$5&gt;='Mortgage Inputs'!$B$5,'Mortgage Inputs'!$B$5&gt;0),'Offset Inputs'!$B$5-'Mortgage Inputs'!$B$5,D876+'Offset Inputs'!$B$6))</f>
        <v/>
      </c>
    </row>
    <row r="877" spans="1:8" ht="22" customHeight="1">
      <c r="A877" s="1" t="str">
        <f>IF(AND('Mortgage Inputs'!$B$12,871&lt;=IF('Mortgage Inputs'!$B$12,'Mortgage Inputs'!$B$7,0)*12+600,ISNUMBER(G876),G876&gt;0.005),871,"")</f>
        <v/>
      </c>
      <c r="B877" s="4" t="str">
        <f>IF(A877="","",DATE(YEAR('Mortgage Inputs'!$B$8),MONTH('Mortgage Inputs'!$B$8)+A877,DAY('Mortgage Inputs'!$B$8)))</f>
        <v/>
      </c>
      <c r="C877" s="2" t="str">
        <f t="shared" si="40"/>
        <v/>
      </c>
      <c r="D877" s="2" t="str">
        <f t="shared" si="41"/>
        <v/>
      </c>
      <c r="E877" s="2" t="str">
        <f>IF(A877="","",MAX(0,(C877-MIN(D877,C877))*'Mortgage Inputs'!$B$15))</f>
        <v/>
      </c>
      <c r="F877" s="2" t="str">
        <f>IF(A877="","",IF(AND('Offset Inputs'!$B$5&gt;='Mortgage Inputs'!$B$5,'Mortgage Inputs'!$B$5&gt;0),C877,MIN(C877,MAX(0,'Mortgage Inputs'!$B$17-E877))))</f>
        <v/>
      </c>
      <c r="G877" s="2" t="str">
        <f t="shared" si="39"/>
        <v/>
      </c>
      <c r="H877" s="2" t="str">
        <f>IF(A877="","",IF(AND('Offset Inputs'!$B$5&gt;='Mortgage Inputs'!$B$5,'Mortgage Inputs'!$B$5&gt;0),'Offset Inputs'!$B$5-'Mortgage Inputs'!$B$5,D877+'Offset Inputs'!$B$6))</f>
        <v/>
      </c>
    </row>
    <row r="878" spans="1:8" ht="22" customHeight="1">
      <c r="A878" s="1" t="str">
        <f>IF(AND('Mortgage Inputs'!$B$12,872&lt;=IF('Mortgage Inputs'!$B$12,'Mortgage Inputs'!$B$7,0)*12+600,ISNUMBER(G877),G877&gt;0.005),872,"")</f>
        <v/>
      </c>
      <c r="B878" s="4" t="str">
        <f>IF(A878="","",DATE(YEAR('Mortgage Inputs'!$B$8),MONTH('Mortgage Inputs'!$B$8)+A878,DAY('Mortgage Inputs'!$B$8)))</f>
        <v/>
      </c>
      <c r="C878" s="2" t="str">
        <f t="shared" si="40"/>
        <v/>
      </c>
      <c r="D878" s="2" t="str">
        <f t="shared" si="41"/>
        <v/>
      </c>
      <c r="E878" s="2" t="str">
        <f>IF(A878="","",MAX(0,(C878-MIN(D878,C878))*'Mortgage Inputs'!$B$15))</f>
        <v/>
      </c>
      <c r="F878" s="2" t="str">
        <f>IF(A878="","",IF(AND('Offset Inputs'!$B$5&gt;='Mortgage Inputs'!$B$5,'Mortgage Inputs'!$B$5&gt;0),C878,MIN(C878,MAX(0,'Mortgage Inputs'!$B$17-E878))))</f>
        <v/>
      </c>
      <c r="G878" s="2" t="str">
        <f t="shared" si="39"/>
        <v/>
      </c>
      <c r="H878" s="2" t="str">
        <f>IF(A878="","",IF(AND('Offset Inputs'!$B$5&gt;='Mortgage Inputs'!$B$5,'Mortgage Inputs'!$B$5&gt;0),'Offset Inputs'!$B$5-'Mortgage Inputs'!$B$5,D878+'Offset Inputs'!$B$6))</f>
        <v/>
      </c>
    </row>
    <row r="879" spans="1:8" ht="22" customHeight="1">
      <c r="A879" s="1" t="str">
        <f>IF(AND('Mortgage Inputs'!$B$12,873&lt;=IF('Mortgage Inputs'!$B$12,'Mortgage Inputs'!$B$7,0)*12+600,ISNUMBER(G878),G878&gt;0.005),873,"")</f>
        <v/>
      </c>
      <c r="B879" s="4" t="str">
        <f>IF(A879="","",DATE(YEAR('Mortgage Inputs'!$B$8),MONTH('Mortgage Inputs'!$B$8)+A879,DAY('Mortgage Inputs'!$B$8)))</f>
        <v/>
      </c>
      <c r="C879" s="2" t="str">
        <f t="shared" si="40"/>
        <v/>
      </c>
      <c r="D879" s="2" t="str">
        <f t="shared" si="41"/>
        <v/>
      </c>
      <c r="E879" s="2" t="str">
        <f>IF(A879="","",MAX(0,(C879-MIN(D879,C879))*'Mortgage Inputs'!$B$15))</f>
        <v/>
      </c>
      <c r="F879" s="2" t="str">
        <f>IF(A879="","",IF(AND('Offset Inputs'!$B$5&gt;='Mortgage Inputs'!$B$5,'Mortgage Inputs'!$B$5&gt;0),C879,MIN(C879,MAX(0,'Mortgage Inputs'!$B$17-E879))))</f>
        <v/>
      </c>
      <c r="G879" s="2" t="str">
        <f t="shared" si="39"/>
        <v/>
      </c>
      <c r="H879" s="2" t="str">
        <f>IF(A879="","",IF(AND('Offset Inputs'!$B$5&gt;='Mortgage Inputs'!$B$5,'Mortgage Inputs'!$B$5&gt;0),'Offset Inputs'!$B$5-'Mortgage Inputs'!$B$5,D879+'Offset Inputs'!$B$6))</f>
        <v/>
      </c>
    </row>
    <row r="880" spans="1:8" ht="22" customHeight="1">
      <c r="A880" s="1" t="str">
        <f>IF(AND('Mortgage Inputs'!$B$12,874&lt;=IF('Mortgage Inputs'!$B$12,'Mortgage Inputs'!$B$7,0)*12+600,ISNUMBER(G879),G879&gt;0.005),874,"")</f>
        <v/>
      </c>
      <c r="B880" s="4" t="str">
        <f>IF(A880="","",DATE(YEAR('Mortgage Inputs'!$B$8),MONTH('Mortgage Inputs'!$B$8)+A880,DAY('Mortgage Inputs'!$B$8)))</f>
        <v/>
      </c>
      <c r="C880" s="2" t="str">
        <f t="shared" si="40"/>
        <v/>
      </c>
      <c r="D880" s="2" t="str">
        <f t="shared" si="41"/>
        <v/>
      </c>
      <c r="E880" s="2" t="str">
        <f>IF(A880="","",MAX(0,(C880-MIN(D880,C880))*'Mortgage Inputs'!$B$15))</f>
        <v/>
      </c>
      <c r="F880" s="2" t="str">
        <f>IF(A880="","",IF(AND('Offset Inputs'!$B$5&gt;='Mortgage Inputs'!$B$5,'Mortgage Inputs'!$B$5&gt;0),C880,MIN(C880,MAX(0,'Mortgage Inputs'!$B$17-E880))))</f>
        <v/>
      </c>
      <c r="G880" s="2" t="str">
        <f t="shared" si="39"/>
        <v/>
      </c>
      <c r="H880" s="2" t="str">
        <f>IF(A880="","",IF(AND('Offset Inputs'!$B$5&gt;='Mortgage Inputs'!$B$5,'Mortgage Inputs'!$B$5&gt;0),'Offset Inputs'!$B$5-'Mortgage Inputs'!$B$5,D880+'Offset Inputs'!$B$6))</f>
        <v/>
      </c>
    </row>
    <row r="881" spans="1:8" ht="22" customHeight="1">
      <c r="A881" s="1" t="str">
        <f>IF(AND('Mortgage Inputs'!$B$12,875&lt;=IF('Mortgage Inputs'!$B$12,'Mortgage Inputs'!$B$7,0)*12+600,ISNUMBER(G880),G880&gt;0.005),875,"")</f>
        <v/>
      </c>
      <c r="B881" s="4" t="str">
        <f>IF(A881="","",DATE(YEAR('Mortgage Inputs'!$B$8),MONTH('Mortgage Inputs'!$B$8)+A881,DAY('Mortgage Inputs'!$B$8)))</f>
        <v/>
      </c>
      <c r="C881" s="2" t="str">
        <f t="shared" si="40"/>
        <v/>
      </c>
      <c r="D881" s="2" t="str">
        <f t="shared" si="41"/>
        <v/>
      </c>
      <c r="E881" s="2" t="str">
        <f>IF(A881="","",MAX(0,(C881-MIN(D881,C881))*'Mortgage Inputs'!$B$15))</f>
        <v/>
      </c>
      <c r="F881" s="2" t="str">
        <f>IF(A881="","",IF(AND('Offset Inputs'!$B$5&gt;='Mortgage Inputs'!$B$5,'Mortgage Inputs'!$B$5&gt;0),C881,MIN(C881,MAX(0,'Mortgage Inputs'!$B$17-E881))))</f>
        <v/>
      </c>
      <c r="G881" s="2" t="str">
        <f t="shared" si="39"/>
        <v/>
      </c>
      <c r="H881" s="2" t="str">
        <f>IF(A881="","",IF(AND('Offset Inputs'!$B$5&gt;='Mortgage Inputs'!$B$5,'Mortgage Inputs'!$B$5&gt;0),'Offset Inputs'!$B$5-'Mortgage Inputs'!$B$5,D881+'Offset Inputs'!$B$6))</f>
        <v/>
      </c>
    </row>
    <row r="882" spans="1:8" ht="22" customHeight="1">
      <c r="A882" s="1" t="str">
        <f>IF(AND('Mortgage Inputs'!$B$12,876&lt;=IF('Mortgage Inputs'!$B$12,'Mortgage Inputs'!$B$7,0)*12+600,ISNUMBER(G881),G881&gt;0.005),876,"")</f>
        <v/>
      </c>
      <c r="B882" s="4" t="str">
        <f>IF(A882="","",DATE(YEAR('Mortgage Inputs'!$B$8),MONTH('Mortgage Inputs'!$B$8)+A882,DAY('Mortgage Inputs'!$B$8)))</f>
        <v/>
      </c>
      <c r="C882" s="2" t="str">
        <f t="shared" si="40"/>
        <v/>
      </c>
      <c r="D882" s="2" t="str">
        <f t="shared" si="41"/>
        <v/>
      </c>
      <c r="E882" s="2" t="str">
        <f>IF(A882="","",MAX(0,(C882-MIN(D882,C882))*'Mortgage Inputs'!$B$15))</f>
        <v/>
      </c>
      <c r="F882" s="2" t="str">
        <f>IF(A882="","",IF(AND('Offset Inputs'!$B$5&gt;='Mortgage Inputs'!$B$5,'Mortgage Inputs'!$B$5&gt;0),C882,MIN(C882,MAX(0,'Mortgage Inputs'!$B$17-E882))))</f>
        <v/>
      </c>
      <c r="G882" s="2" t="str">
        <f t="shared" si="39"/>
        <v/>
      </c>
      <c r="H882" s="2" t="str">
        <f>IF(A882="","",IF(AND('Offset Inputs'!$B$5&gt;='Mortgage Inputs'!$B$5,'Mortgage Inputs'!$B$5&gt;0),'Offset Inputs'!$B$5-'Mortgage Inputs'!$B$5,D882+'Offset Inputs'!$B$6))</f>
        <v/>
      </c>
    </row>
    <row r="883" spans="1:8" ht="22" customHeight="1">
      <c r="A883" s="1" t="str">
        <f>IF(AND('Mortgage Inputs'!$B$12,877&lt;=IF('Mortgage Inputs'!$B$12,'Mortgage Inputs'!$B$7,0)*12+600,ISNUMBER(G882),G882&gt;0.005),877,"")</f>
        <v/>
      </c>
      <c r="B883" s="4" t="str">
        <f>IF(A883="","",DATE(YEAR('Mortgage Inputs'!$B$8),MONTH('Mortgage Inputs'!$B$8)+A883,DAY('Mortgage Inputs'!$B$8)))</f>
        <v/>
      </c>
      <c r="C883" s="2" t="str">
        <f t="shared" si="40"/>
        <v/>
      </c>
      <c r="D883" s="2" t="str">
        <f t="shared" si="41"/>
        <v/>
      </c>
      <c r="E883" s="2" t="str">
        <f>IF(A883="","",MAX(0,(C883-MIN(D883,C883))*'Mortgage Inputs'!$B$15))</f>
        <v/>
      </c>
      <c r="F883" s="2" t="str">
        <f>IF(A883="","",IF(AND('Offset Inputs'!$B$5&gt;='Mortgage Inputs'!$B$5,'Mortgage Inputs'!$B$5&gt;0),C883,MIN(C883,MAX(0,'Mortgage Inputs'!$B$17-E883))))</f>
        <v/>
      </c>
      <c r="G883" s="2" t="str">
        <f t="shared" si="39"/>
        <v/>
      </c>
      <c r="H883" s="2" t="str">
        <f>IF(A883="","",IF(AND('Offset Inputs'!$B$5&gt;='Mortgage Inputs'!$B$5,'Mortgage Inputs'!$B$5&gt;0),'Offset Inputs'!$B$5-'Mortgage Inputs'!$B$5,D883+'Offset Inputs'!$B$6))</f>
        <v/>
      </c>
    </row>
    <row r="884" spans="1:8" ht="22" customHeight="1">
      <c r="A884" s="1" t="str">
        <f>IF(AND('Mortgage Inputs'!$B$12,878&lt;=IF('Mortgage Inputs'!$B$12,'Mortgage Inputs'!$B$7,0)*12+600,ISNUMBER(G883),G883&gt;0.005),878,"")</f>
        <v/>
      </c>
      <c r="B884" s="4" t="str">
        <f>IF(A884="","",DATE(YEAR('Mortgage Inputs'!$B$8),MONTH('Mortgage Inputs'!$B$8)+A884,DAY('Mortgage Inputs'!$B$8)))</f>
        <v/>
      </c>
      <c r="C884" s="2" t="str">
        <f t="shared" si="40"/>
        <v/>
      </c>
      <c r="D884" s="2" t="str">
        <f t="shared" si="41"/>
        <v/>
      </c>
      <c r="E884" s="2" t="str">
        <f>IF(A884="","",MAX(0,(C884-MIN(D884,C884))*'Mortgage Inputs'!$B$15))</f>
        <v/>
      </c>
      <c r="F884" s="2" t="str">
        <f>IF(A884="","",IF(AND('Offset Inputs'!$B$5&gt;='Mortgage Inputs'!$B$5,'Mortgage Inputs'!$B$5&gt;0),C884,MIN(C884,MAX(0,'Mortgage Inputs'!$B$17-E884))))</f>
        <v/>
      </c>
      <c r="G884" s="2" t="str">
        <f t="shared" si="39"/>
        <v/>
      </c>
      <c r="H884" s="2" t="str">
        <f>IF(A884="","",IF(AND('Offset Inputs'!$B$5&gt;='Mortgage Inputs'!$B$5,'Mortgage Inputs'!$B$5&gt;0),'Offset Inputs'!$B$5-'Mortgage Inputs'!$B$5,D884+'Offset Inputs'!$B$6))</f>
        <v/>
      </c>
    </row>
    <row r="885" spans="1:8" ht="22" customHeight="1">
      <c r="A885" s="1" t="str">
        <f>IF(AND('Mortgage Inputs'!$B$12,879&lt;=IF('Mortgage Inputs'!$B$12,'Mortgage Inputs'!$B$7,0)*12+600,ISNUMBER(G884),G884&gt;0.005),879,"")</f>
        <v/>
      </c>
      <c r="B885" s="4" t="str">
        <f>IF(A885="","",DATE(YEAR('Mortgage Inputs'!$B$8),MONTH('Mortgage Inputs'!$B$8)+A885,DAY('Mortgage Inputs'!$B$8)))</f>
        <v/>
      </c>
      <c r="C885" s="2" t="str">
        <f t="shared" si="40"/>
        <v/>
      </c>
      <c r="D885" s="2" t="str">
        <f t="shared" si="41"/>
        <v/>
      </c>
      <c r="E885" s="2" t="str">
        <f>IF(A885="","",MAX(0,(C885-MIN(D885,C885))*'Mortgage Inputs'!$B$15))</f>
        <v/>
      </c>
      <c r="F885" s="2" t="str">
        <f>IF(A885="","",IF(AND('Offset Inputs'!$B$5&gt;='Mortgage Inputs'!$B$5,'Mortgage Inputs'!$B$5&gt;0),C885,MIN(C885,MAX(0,'Mortgage Inputs'!$B$17-E885))))</f>
        <v/>
      </c>
      <c r="G885" s="2" t="str">
        <f t="shared" si="39"/>
        <v/>
      </c>
      <c r="H885" s="2" t="str">
        <f>IF(A885="","",IF(AND('Offset Inputs'!$B$5&gt;='Mortgage Inputs'!$B$5,'Mortgage Inputs'!$B$5&gt;0),'Offset Inputs'!$B$5-'Mortgage Inputs'!$B$5,D885+'Offset Inputs'!$B$6))</f>
        <v/>
      </c>
    </row>
    <row r="886" spans="1:8" ht="22" customHeight="1">
      <c r="A886" s="1" t="str">
        <f>IF(AND('Mortgage Inputs'!$B$12,880&lt;=IF('Mortgage Inputs'!$B$12,'Mortgage Inputs'!$B$7,0)*12+600,ISNUMBER(G885),G885&gt;0.005),880,"")</f>
        <v/>
      </c>
      <c r="B886" s="4" t="str">
        <f>IF(A886="","",DATE(YEAR('Mortgage Inputs'!$B$8),MONTH('Mortgage Inputs'!$B$8)+A886,DAY('Mortgage Inputs'!$B$8)))</f>
        <v/>
      </c>
      <c r="C886" s="2" t="str">
        <f t="shared" si="40"/>
        <v/>
      </c>
      <c r="D886" s="2" t="str">
        <f t="shared" si="41"/>
        <v/>
      </c>
      <c r="E886" s="2" t="str">
        <f>IF(A886="","",MAX(0,(C886-MIN(D886,C886))*'Mortgage Inputs'!$B$15))</f>
        <v/>
      </c>
      <c r="F886" s="2" t="str">
        <f>IF(A886="","",IF(AND('Offset Inputs'!$B$5&gt;='Mortgage Inputs'!$B$5,'Mortgage Inputs'!$B$5&gt;0),C886,MIN(C886,MAX(0,'Mortgage Inputs'!$B$17-E886))))</f>
        <v/>
      </c>
      <c r="G886" s="2" t="str">
        <f t="shared" si="39"/>
        <v/>
      </c>
      <c r="H886" s="2" t="str">
        <f>IF(A886="","",IF(AND('Offset Inputs'!$B$5&gt;='Mortgage Inputs'!$B$5,'Mortgage Inputs'!$B$5&gt;0),'Offset Inputs'!$B$5-'Mortgage Inputs'!$B$5,D886+'Offset Inputs'!$B$6))</f>
        <v/>
      </c>
    </row>
    <row r="887" spans="1:8" ht="22" customHeight="1">
      <c r="A887" s="1" t="str">
        <f>IF(AND('Mortgage Inputs'!$B$12,881&lt;=IF('Mortgage Inputs'!$B$12,'Mortgage Inputs'!$B$7,0)*12+600,ISNUMBER(G886),G886&gt;0.005),881,"")</f>
        <v/>
      </c>
      <c r="B887" s="4" t="str">
        <f>IF(A887="","",DATE(YEAR('Mortgage Inputs'!$B$8),MONTH('Mortgage Inputs'!$B$8)+A887,DAY('Mortgage Inputs'!$B$8)))</f>
        <v/>
      </c>
      <c r="C887" s="2" t="str">
        <f t="shared" si="40"/>
        <v/>
      </c>
      <c r="D887" s="2" t="str">
        <f t="shared" si="41"/>
        <v/>
      </c>
      <c r="E887" s="2" t="str">
        <f>IF(A887="","",MAX(0,(C887-MIN(D887,C887))*'Mortgage Inputs'!$B$15))</f>
        <v/>
      </c>
      <c r="F887" s="2" t="str">
        <f>IF(A887="","",IF(AND('Offset Inputs'!$B$5&gt;='Mortgage Inputs'!$B$5,'Mortgage Inputs'!$B$5&gt;0),C887,MIN(C887,MAX(0,'Mortgage Inputs'!$B$17-E887))))</f>
        <v/>
      </c>
      <c r="G887" s="2" t="str">
        <f t="shared" si="39"/>
        <v/>
      </c>
      <c r="H887" s="2" t="str">
        <f>IF(A887="","",IF(AND('Offset Inputs'!$B$5&gt;='Mortgage Inputs'!$B$5,'Mortgage Inputs'!$B$5&gt;0),'Offset Inputs'!$B$5-'Mortgage Inputs'!$B$5,D887+'Offset Inputs'!$B$6))</f>
        <v/>
      </c>
    </row>
    <row r="888" spans="1:8" ht="22" customHeight="1">
      <c r="A888" s="1" t="str">
        <f>IF(AND('Mortgage Inputs'!$B$12,882&lt;=IF('Mortgage Inputs'!$B$12,'Mortgage Inputs'!$B$7,0)*12+600,ISNUMBER(G887),G887&gt;0.005),882,"")</f>
        <v/>
      </c>
      <c r="B888" s="4" t="str">
        <f>IF(A888="","",DATE(YEAR('Mortgage Inputs'!$B$8),MONTH('Mortgage Inputs'!$B$8)+A888,DAY('Mortgage Inputs'!$B$8)))</f>
        <v/>
      </c>
      <c r="C888" s="2" t="str">
        <f t="shared" si="40"/>
        <v/>
      </c>
      <c r="D888" s="2" t="str">
        <f t="shared" si="41"/>
        <v/>
      </c>
      <c r="E888" s="2" t="str">
        <f>IF(A888="","",MAX(0,(C888-MIN(D888,C888))*'Mortgage Inputs'!$B$15))</f>
        <v/>
      </c>
      <c r="F888" s="2" t="str">
        <f>IF(A888="","",IF(AND('Offset Inputs'!$B$5&gt;='Mortgage Inputs'!$B$5,'Mortgage Inputs'!$B$5&gt;0),C888,MIN(C888,MAX(0,'Mortgage Inputs'!$B$17-E888))))</f>
        <v/>
      </c>
      <c r="G888" s="2" t="str">
        <f t="shared" si="39"/>
        <v/>
      </c>
      <c r="H888" s="2" t="str">
        <f>IF(A888="","",IF(AND('Offset Inputs'!$B$5&gt;='Mortgage Inputs'!$B$5,'Mortgage Inputs'!$B$5&gt;0),'Offset Inputs'!$B$5-'Mortgage Inputs'!$B$5,D888+'Offset Inputs'!$B$6))</f>
        <v/>
      </c>
    </row>
    <row r="889" spans="1:8" ht="22" customHeight="1">
      <c r="A889" s="1" t="str">
        <f>IF(AND('Mortgage Inputs'!$B$12,883&lt;=IF('Mortgage Inputs'!$B$12,'Mortgage Inputs'!$B$7,0)*12+600,ISNUMBER(G888),G888&gt;0.005),883,"")</f>
        <v/>
      </c>
      <c r="B889" s="4" t="str">
        <f>IF(A889="","",DATE(YEAR('Mortgage Inputs'!$B$8),MONTH('Mortgage Inputs'!$B$8)+A889,DAY('Mortgage Inputs'!$B$8)))</f>
        <v/>
      </c>
      <c r="C889" s="2" t="str">
        <f t="shared" si="40"/>
        <v/>
      </c>
      <c r="D889" s="2" t="str">
        <f t="shared" si="41"/>
        <v/>
      </c>
      <c r="E889" s="2" t="str">
        <f>IF(A889="","",MAX(0,(C889-MIN(D889,C889))*'Mortgage Inputs'!$B$15))</f>
        <v/>
      </c>
      <c r="F889" s="2" t="str">
        <f>IF(A889="","",IF(AND('Offset Inputs'!$B$5&gt;='Mortgage Inputs'!$B$5,'Mortgage Inputs'!$B$5&gt;0),C889,MIN(C889,MAX(0,'Mortgage Inputs'!$B$17-E889))))</f>
        <v/>
      </c>
      <c r="G889" s="2" t="str">
        <f t="shared" si="39"/>
        <v/>
      </c>
      <c r="H889" s="2" t="str">
        <f>IF(A889="","",IF(AND('Offset Inputs'!$B$5&gt;='Mortgage Inputs'!$B$5,'Mortgage Inputs'!$B$5&gt;0),'Offset Inputs'!$B$5-'Mortgage Inputs'!$B$5,D889+'Offset Inputs'!$B$6))</f>
        <v/>
      </c>
    </row>
    <row r="890" spans="1:8" ht="22" customHeight="1">
      <c r="A890" s="1" t="str">
        <f>IF(AND('Mortgage Inputs'!$B$12,884&lt;=IF('Mortgage Inputs'!$B$12,'Mortgage Inputs'!$B$7,0)*12+600,ISNUMBER(G889),G889&gt;0.005),884,"")</f>
        <v/>
      </c>
      <c r="B890" s="4" t="str">
        <f>IF(A890="","",DATE(YEAR('Mortgage Inputs'!$B$8),MONTH('Mortgage Inputs'!$B$8)+A890,DAY('Mortgage Inputs'!$B$8)))</f>
        <v/>
      </c>
      <c r="C890" s="2" t="str">
        <f t="shared" si="40"/>
        <v/>
      </c>
      <c r="D890" s="2" t="str">
        <f t="shared" si="41"/>
        <v/>
      </c>
      <c r="E890" s="2" t="str">
        <f>IF(A890="","",MAX(0,(C890-MIN(D890,C890))*'Mortgage Inputs'!$B$15))</f>
        <v/>
      </c>
      <c r="F890" s="2" t="str">
        <f>IF(A890="","",IF(AND('Offset Inputs'!$B$5&gt;='Mortgage Inputs'!$B$5,'Mortgage Inputs'!$B$5&gt;0),C890,MIN(C890,MAX(0,'Mortgage Inputs'!$B$17-E890))))</f>
        <v/>
      </c>
      <c r="G890" s="2" t="str">
        <f t="shared" si="39"/>
        <v/>
      </c>
      <c r="H890" s="2" t="str">
        <f>IF(A890="","",IF(AND('Offset Inputs'!$B$5&gt;='Mortgage Inputs'!$B$5,'Mortgage Inputs'!$B$5&gt;0),'Offset Inputs'!$B$5-'Mortgage Inputs'!$B$5,D890+'Offset Inputs'!$B$6))</f>
        <v/>
      </c>
    </row>
    <row r="891" spans="1:8" ht="22" customHeight="1">
      <c r="A891" s="1" t="str">
        <f>IF(AND('Mortgage Inputs'!$B$12,885&lt;=IF('Mortgage Inputs'!$B$12,'Mortgage Inputs'!$B$7,0)*12+600,ISNUMBER(G890),G890&gt;0.005),885,"")</f>
        <v/>
      </c>
      <c r="B891" s="4" t="str">
        <f>IF(A891="","",DATE(YEAR('Mortgage Inputs'!$B$8),MONTH('Mortgage Inputs'!$B$8)+A891,DAY('Mortgage Inputs'!$B$8)))</f>
        <v/>
      </c>
      <c r="C891" s="2" t="str">
        <f t="shared" si="40"/>
        <v/>
      </c>
      <c r="D891" s="2" t="str">
        <f t="shared" si="41"/>
        <v/>
      </c>
      <c r="E891" s="2" t="str">
        <f>IF(A891="","",MAX(0,(C891-MIN(D891,C891))*'Mortgage Inputs'!$B$15))</f>
        <v/>
      </c>
      <c r="F891" s="2" t="str">
        <f>IF(A891="","",IF(AND('Offset Inputs'!$B$5&gt;='Mortgage Inputs'!$B$5,'Mortgage Inputs'!$B$5&gt;0),C891,MIN(C891,MAX(0,'Mortgage Inputs'!$B$17-E891))))</f>
        <v/>
      </c>
      <c r="G891" s="2" t="str">
        <f t="shared" si="39"/>
        <v/>
      </c>
      <c r="H891" s="2" t="str">
        <f>IF(A891="","",IF(AND('Offset Inputs'!$B$5&gt;='Mortgage Inputs'!$B$5,'Mortgage Inputs'!$B$5&gt;0),'Offset Inputs'!$B$5-'Mortgage Inputs'!$B$5,D891+'Offset Inputs'!$B$6))</f>
        <v/>
      </c>
    </row>
    <row r="892" spans="1:8" ht="22" customHeight="1">
      <c r="A892" s="1" t="str">
        <f>IF(AND('Mortgage Inputs'!$B$12,886&lt;=IF('Mortgage Inputs'!$B$12,'Mortgage Inputs'!$B$7,0)*12+600,ISNUMBER(G891),G891&gt;0.005),886,"")</f>
        <v/>
      </c>
      <c r="B892" s="4" t="str">
        <f>IF(A892="","",DATE(YEAR('Mortgage Inputs'!$B$8),MONTH('Mortgage Inputs'!$B$8)+A892,DAY('Mortgage Inputs'!$B$8)))</f>
        <v/>
      </c>
      <c r="C892" s="2" t="str">
        <f t="shared" si="40"/>
        <v/>
      </c>
      <c r="D892" s="2" t="str">
        <f t="shared" si="41"/>
        <v/>
      </c>
      <c r="E892" s="2" t="str">
        <f>IF(A892="","",MAX(0,(C892-MIN(D892,C892))*'Mortgage Inputs'!$B$15))</f>
        <v/>
      </c>
      <c r="F892" s="2" t="str">
        <f>IF(A892="","",IF(AND('Offset Inputs'!$B$5&gt;='Mortgage Inputs'!$B$5,'Mortgage Inputs'!$B$5&gt;0),C892,MIN(C892,MAX(0,'Mortgage Inputs'!$B$17-E892))))</f>
        <v/>
      </c>
      <c r="G892" s="2" t="str">
        <f t="shared" si="39"/>
        <v/>
      </c>
      <c r="H892" s="2" t="str">
        <f>IF(A892="","",IF(AND('Offset Inputs'!$B$5&gt;='Mortgage Inputs'!$B$5,'Mortgage Inputs'!$B$5&gt;0),'Offset Inputs'!$B$5-'Mortgage Inputs'!$B$5,D892+'Offset Inputs'!$B$6))</f>
        <v/>
      </c>
    </row>
    <row r="893" spans="1:8" ht="22" customHeight="1">
      <c r="A893" s="1" t="str">
        <f>IF(AND('Mortgage Inputs'!$B$12,887&lt;=IF('Mortgage Inputs'!$B$12,'Mortgage Inputs'!$B$7,0)*12+600,ISNUMBER(G892),G892&gt;0.005),887,"")</f>
        <v/>
      </c>
      <c r="B893" s="4" t="str">
        <f>IF(A893="","",DATE(YEAR('Mortgage Inputs'!$B$8),MONTH('Mortgage Inputs'!$B$8)+A893,DAY('Mortgage Inputs'!$B$8)))</f>
        <v/>
      </c>
      <c r="C893" s="2" t="str">
        <f t="shared" si="40"/>
        <v/>
      </c>
      <c r="D893" s="2" t="str">
        <f t="shared" si="41"/>
        <v/>
      </c>
      <c r="E893" s="2" t="str">
        <f>IF(A893="","",MAX(0,(C893-MIN(D893,C893))*'Mortgage Inputs'!$B$15))</f>
        <v/>
      </c>
      <c r="F893" s="2" t="str">
        <f>IF(A893="","",IF(AND('Offset Inputs'!$B$5&gt;='Mortgage Inputs'!$B$5,'Mortgage Inputs'!$B$5&gt;0),C893,MIN(C893,MAX(0,'Mortgage Inputs'!$B$17-E893))))</f>
        <v/>
      </c>
      <c r="G893" s="2" t="str">
        <f t="shared" si="39"/>
        <v/>
      </c>
      <c r="H893" s="2" t="str">
        <f>IF(A893="","",IF(AND('Offset Inputs'!$B$5&gt;='Mortgage Inputs'!$B$5,'Mortgage Inputs'!$B$5&gt;0),'Offset Inputs'!$B$5-'Mortgage Inputs'!$B$5,D893+'Offset Inputs'!$B$6))</f>
        <v/>
      </c>
    </row>
    <row r="894" spans="1:8" ht="22" customHeight="1">
      <c r="A894" s="1" t="str">
        <f>IF(AND('Mortgage Inputs'!$B$12,888&lt;=IF('Mortgage Inputs'!$B$12,'Mortgage Inputs'!$B$7,0)*12+600,ISNUMBER(G893),G893&gt;0.005),888,"")</f>
        <v/>
      </c>
      <c r="B894" s="4" t="str">
        <f>IF(A894="","",DATE(YEAR('Mortgage Inputs'!$B$8),MONTH('Mortgage Inputs'!$B$8)+A894,DAY('Mortgage Inputs'!$B$8)))</f>
        <v/>
      </c>
      <c r="C894" s="2" t="str">
        <f t="shared" si="40"/>
        <v/>
      </c>
      <c r="D894" s="2" t="str">
        <f t="shared" si="41"/>
        <v/>
      </c>
      <c r="E894" s="2" t="str">
        <f>IF(A894="","",MAX(0,(C894-MIN(D894,C894))*'Mortgage Inputs'!$B$15))</f>
        <v/>
      </c>
      <c r="F894" s="2" t="str">
        <f>IF(A894="","",IF(AND('Offset Inputs'!$B$5&gt;='Mortgage Inputs'!$B$5,'Mortgage Inputs'!$B$5&gt;0),C894,MIN(C894,MAX(0,'Mortgage Inputs'!$B$17-E894))))</f>
        <v/>
      </c>
      <c r="G894" s="2" t="str">
        <f t="shared" si="39"/>
        <v/>
      </c>
      <c r="H894" s="2" t="str">
        <f>IF(A894="","",IF(AND('Offset Inputs'!$B$5&gt;='Mortgage Inputs'!$B$5,'Mortgage Inputs'!$B$5&gt;0),'Offset Inputs'!$B$5-'Mortgage Inputs'!$B$5,D894+'Offset Inputs'!$B$6))</f>
        <v/>
      </c>
    </row>
    <row r="895" spans="1:8" ht="22" customHeight="1">
      <c r="A895" s="1" t="str">
        <f>IF(AND('Mortgage Inputs'!$B$12,889&lt;=IF('Mortgage Inputs'!$B$12,'Mortgage Inputs'!$B$7,0)*12+600,ISNUMBER(G894),G894&gt;0.005),889,"")</f>
        <v/>
      </c>
      <c r="B895" s="4" t="str">
        <f>IF(A895="","",DATE(YEAR('Mortgage Inputs'!$B$8),MONTH('Mortgage Inputs'!$B$8)+A895,DAY('Mortgage Inputs'!$B$8)))</f>
        <v/>
      </c>
      <c r="C895" s="2" t="str">
        <f t="shared" si="40"/>
        <v/>
      </c>
      <c r="D895" s="2" t="str">
        <f t="shared" si="41"/>
        <v/>
      </c>
      <c r="E895" s="2" t="str">
        <f>IF(A895="","",MAX(0,(C895-MIN(D895,C895))*'Mortgage Inputs'!$B$15))</f>
        <v/>
      </c>
      <c r="F895" s="2" t="str">
        <f>IF(A895="","",IF(AND('Offset Inputs'!$B$5&gt;='Mortgage Inputs'!$B$5,'Mortgage Inputs'!$B$5&gt;0),C895,MIN(C895,MAX(0,'Mortgage Inputs'!$B$17-E895))))</f>
        <v/>
      </c>
      <c r="G895" s="2" t="str">
        <f t="shared" si="39"/>
        <v/>
      </c>
      <c r="H895" s="2" t="str">
        <f>IF(A895="","",IF(AND('Offset Inputs'!$B$5&gt;='Mortgage Inputs'!$B$5,'Mortgage Inputs'!$B$5&gt;0),'Offset Inputs'!$B$5-'Mortgage Inputs'!$B$5,D895+'Offset Inputs'!$B$6))</f>
        <v/>
      </c>
    </row>
    <row r="896" spans="1:8" ht="22" customHeight="1">
      <c r="A896" s="1" t="str">
        <f>IF(AND('Mortgage Inputs'!$B$12,890&lt;=IF('Mortgage Inputs'!$B$12,'Mortgage Inputs'!$B$7,0)*12+600,ISNUMBER(G895),G895&gt;0.005),890,"")</f>
        <v/>
      </c>
      <c r="B896" s="4" t="str">
        <f>IF(A896="","",DATE(YEAR('Mortgage Inputs'!$B$8),MONTH('Mortgage Inputs'!$B$8)+A896,DAY('Mortgage Inputs'!$B$8)))</f>
        <v/>
      </c>
      <c r="C896" s="2" t="str">
        <f t="shared" si="40"/>
        <v/>
      </c>
      <c r="D896" s="2" t="str">
        <f t="shared" si="41"/>
        <v/>
      </c>
      <c r="E896" s="2" t="str">
        <f>IF(A896="","",MAX(0,(C896-MIN(D896,C896))*'Mortgage Inputs'!$B$15))</f>
        <v/>
      </c>
      <c r="F896" s="2" t="str">
        <f>IF(A896="","",IF(AND('Offset Inputs'!$B$5&gt;='Mortgage Inputs'!$B$5,'Mortgage Inputs'!$B$5&gt;0),C896,MIN(C896,MAX(0,'Mortgage Inputs'!$B$17-E896))))</f>
        <v/>
      </c>
      <c r="G896" s="2" t="str">
        <f t="shared" si="39"/>
        <v/>
      </c>
      <c r="H896" s="2" t="str">
        <f>IF(A896="","",IF(AND('Offset Inputs'!$B$5&gt;='Mortgage Inputs'!$B$5,'Mortgage Inputs'!$B$5&gt;0),'Offset Inputs'!$B$5-'Mortgage Inputs'!$B$5,D896+'Offset Inputs'!$B$6))</f>
        <v/>
      </c>
    </row>
    <row r="897" spans="1:8" ht="22" customHeight="1">
      <c r="A897" s="1" t="str">
        <f>IF(AND('Mortgage Inputs'!$B$12,891&lt;=IF('Mortgage Inputs'!$B$12,'Mortgage Inputs'!$B$7,0)*12+600,ISNUMBER(G896),G896&gt;0.005),891,"")</f>
        <v/>
      </c>
      <c r="B897" s="4" t="str">
        <f>IF(A897="","",DATE(YEAR('Mortgage Inputs'!$B$8),MONTH('Mortgage Inputs'!$B$8)+A897,DAY('Mortgage Inputs'!$B$8)))</f>
        <v/>
      </c>
      <c r="C897" s="2" t="str">
        <f t="shared" si="40"/>
        <v/>
      </c>
      <c r="D897" s="2" t="str">
        <f t="shared" si="41"/>
        <v/>
      </c>
      <c r="E897" s="2" t="str">
        <f>IF(A897="","",MAX(0,(C897-MIN(D897,C897))*'Mortgage Inputs'!$B$15))</f>
        <v/>
      </c>
      <c r="F897" s="2" t="str">
        <f>IF(A897="","",IF(AND('Offset Inputs'!$B$5&gt;='Mortgage Inputs'!$B$5,'Mortgage Inputs'!$B$5&gt;0),C897,MIN(C897,MAX(0,'Mortgage Inputs'!$B$17-E897))))</f>
        <v/>
      </c>
      <c r="G897" s="2" t="str">
        <f t="shared" si="39"/>
        <v/>
      </c>
      <c r="H897" s="2" t="str">
        <f>IF(A897="","",IF(AND('Offset Inputs'!$B$5&gt;='Mortgage Inputs'!$B$5,'Mortgage Inputs'!$B$5&gt;0),'Offset Inputs'!$B$5-'Mortgage Inputs'!$B$5,D897+'Offset Inputs'!$B$6))</f>
        <v/>
      </c>
    </row>
    <row r="898" spans="1:8" ht="22" customHeight="1">
      <c r="A898" s="1" t="str">
        <f>IF(AND('Mortgage Inputs'!$B$12,892&lt;=IF('Mortgage Inputs'!$B$12,'Mortgage Inputs'!$B$7,0)*12+600,ISNUMBER(G897),G897&gt;0.005),892,"")</f>
        <v/>
      </c>
      <c r="B898" s="4" t="str">
        <f>IF(A898="","",DATE(YEAR('Mortgage Inputs'!$B$8),MONTH('Mortgage Inputs'!$B$8)+A898,DAY('Mortgage Inputs'!$B$8)))</f>
        <v/>
      </c>
      <c r="C898" s="2" t="str">
        <f t="shared" si="40"/>
        <v/>
      </c>
      <c r="D898" s="2" t="str">
        <f t="shared" si="41"/>
        <v/>
      </c>
      <c r="E898" s="2" t="str">
        <f>IF(A898="","",MAX(0,(C898-MIN(D898,C898))*'Mortgage Inputs'!$B$15))</f>
        <v/>
      </c>
      <c r="F898" s="2" t="str">
        <f>IF(A898="","",IF(AND('Offset Inputs'!$B$5&gt;='Mortgage Inputs'!$B$5,'Mortgage Inputs'!$B$5&gt;0),C898,MIN(C898,MAX(0,'Mortgage Inputs'!$B$17-E898))))</f>
        <v/>
      </c>
      <c r="G898" s="2" t="str">
        <f t="shared" si="39"/>
        <v/>
      </c>
      <c r="H898" s="2" t="str">
        <f>IF(A898="","",IF(AND('Offset Inputs'!$B$5&gt;='Mortgage Inputs'!$B$5,'Mortgage Inputs'!$B$5&gt;0),'Offset Inputs'!$B$5-'Mortgage Inputs'!$B$5,D898+'Offset Inputs'!$B$6))</f>
        <v/>
      </c>
    </row>
    <row r="899" spans="1:8" ht="22" customHeight="1">
      <c r="A899" s="1" t="str">
        <f>IF(AND('Mortgage Inputs'!$B$12,893&lt;=IF('Mortgage Inputs'!$B$12,'Mortgage Inputs'!$B$7,0)*12+600,ISNUMBER(G898),G898&gt;0.005),893,"")</f>
        <v/>
      </c>
      <c r="B899" s="4" t="str">
        <f>IF(A899="","",DATE(YEAR('Mortgage Inputs'!$B$8),MONTH('Mortgage Inputs'!$B$8)+A899,DAY('Mortgage Inputs'!$B$8)))</f>
        <v/>
      </c>
      <c r="C899" s="2" t="str">
        <f t="shared" si="40"/>
        <v/>
      </c>
      <c r="D899" s="2" t="str">
        <f t="shared" si="41"/>
        <v/>
      </c>
      <c r="E899" s="2" t="str">
        <f>IF(A899="","",MAX(0,(C899-MIN(D899,C899))*'Mortgage Inputs'!$B$15))</f>
        <v/>
      </c>
      <c r="F899" s="2" t="str">
        <f>IF(A899="","",IF(AND('Offset Inputs'!$B$5&gt;='Mortgage Inputs'!$B$5,'Mortgage Inputs'!$B$5&gt;0),C899,MIN(C899,MAX(0,'Mortgage Inputs'!$B$17-E899))))</f>
        <v/>
      </c>
      <c r="G899" s="2" t="str">
        <f t="shared" si="39"/>
        <v/>
      </c>
      <c r="H899" s="2" t="str">
        <f>IF(A899="","",IF(AND('Offset Inputs'!$B$5&gt;='Mortgage Inputs'!$B$5,'Mortgage Inputs'!$B$5&gt;0),'Offset Inputs'!$B$5-'Mortgage Inputs'!$B$5,D899+'Offset Inputs'!$B$6))</f>
        <v/>
      </c>
    </row>
    <row r="900" spans="1:8" ht="22" customHeight="1">
      <c r="A900" s="1" t="str">
        <f>IF(AND('Mortgage Inputs'!$B$12,894&lt;=IF('Mortgage Inputs'!$B$12,'Mortgage Inputs'!$B$7,0)*12+600,ISNUMBER(G899),G899&gt;0.005),894,"")</f>
        <v/>
      </c>
      <c r="B900" s="4" t="str">
        <f>IF(A900="","",DATE(YEAR('Mortgage Inputs'!$B$8),MONTH('Mortgage Inputs'!$B$8)+A900,DAY('Mortgage Inputs'!$B$8)))</f>
        <v/>
      </c>
      <c r="C900" s="2" t="str">
        <f t="shared" si="40"/>
        <v/>
      </c>
      <c r="D900" s="2" t="str">
        <f t="shared" si="41"/>
        <v/>
      </c>
      <c r="E900" s="2" t="str">
        <f>IF(A900="","",MAX(0,(C900-MIN(D900,C900))*'Mortgage Inputs'!$B$15))</f>
        <v/>
      </c>
      <c r="F900" s="2" t="str">
        <f>IF(A900="","",IF(AND('Offset Inputs'!$B$5&gt;='Mortgage Inputs'!$B$5,'Mortgage Inputs'!$B$5&gt;0),C900,MIN(C900,MAX(0,'Mortgage Inputs'!$B$17-E900))))</f>
        <v/>
      </c>
      <c r="G900" s="2" t="str">
        <f t="shared" si="39"/>
        <v/>
      </c>
      <c r="H900" s="2" t="str">
        <f>IF(A900="","",IF(AND('Offset Inputs'!$B$5&gt;='Mortgage Inputs'!$B$5,'Mortgage Inputs'!$B$5&gt;0),'Offset Inputs'!$B$5-'Mortgage Inputs'!$B$5,D900+'Offset Inputs'!$B$6))</f>
        <v/>
      </c>
    </row>
    <row r="901" spans="1:8" ht="22" customHeight="1">
      <c r="A901" s="1" t="str">
        <f>IF(AND('Mortgage Inputs'!$B$12,895&lt;=IF('Mortgage Inputs'!$B$12,'Mortgage Inputs'!$B$7,0)*12+600,ISNUMBER(G900),G900&gt;0.005),895,"")</f>
        <v/>
      </c>
      <c r="B901" s="4" t="str">
        <f>IF(A901="","",DATE(YEAR('Mortgage Inputs'!$B$8),MONTH('Mortgage Inputs'!$B$8)+A901,DAY('Mortgage Inputs'!$B$8)))</f>
        <v/>
      </c>
      <c r="C901" s="2" t="str">
        <f t="shared" si="40"/>
        <v/>
      </c>
      <c r="D901" s="2" t="str">
        <f t="shared" si="41"/>
        <v/>
      </c>
      <c r="E901" s="2" t="str">
        <f>IF(A901="","",MAX(0,(C901-MIN(D901,C901))*'Mortgage Inputs'!$B$15))</f>
        <v/>
      </c>
      <c r="F901" s="2" t="str">
        <f>IF(A901="","",IF(AND('Offset Inputs'!$B$5&gt;='Mortgage Inputs'!$B$5,'Mortgage Inputs'!$B$5&gt;0),C901,MIN(C901,MAX(0,'Mortgage Inputs'!$B$17-E901))))</f>
        <v/>
      </c>
      <c r="G901" s="2" t="str">
        <f t="shared" si="39"/>
        <v/>
      </c>
      <c r="H901" s="2" t="str">
        <f>IF(A901="","",IF(AND('Offset Inputs'!$B$5&gt;='Mortgage Inputs'!$B$5,'Mortgage Inputs'!$B$5&gt;0),'Offset Inputs'!$B$5-'Mortgage Inputs'!$B$5,D901+'Offset Inputs'!$B$6))</f>
        <v/>
      </c>
    </row>
    <row r="902" spans="1:8" ht="22" customHeight="1">
      <c r="A902" s="1" t="str">
        <f>IF(AND('Mortgage Inputs'!$B$12,896&lt;=IF('Mortgage Inputs'!$B$12,'Mortgage Inputs'!$B$7,0)*12+600,ISNUMBER(G901),G901&gt;0.005),896,"")</f>
        <v/>
      </c>
      <c r="B902" s="4" t="str">
        <f>IF(A902="","",DATE(YEAR('Mortgage Inputs'!$B$8),MONTH('Mortgage Inputs'!$B$8)+A902,DAY('Mortgage Inputs'!$B$8)))</f>
        <v/>
      </c>
      <c r="C902" s="2" t="str">
        <f t="shared" si="40"/>
        <v/>
      </c>
      <c r="D902" s="2" t="str">
        <f t="shared" si="41"/>
        <v/>
      </c>
      <c r="E902" s="2" t="str">
        <f>IF(A902="","",MAX(0,(C902-MIN(D902,C902))*'Mortgage Inputs'!$B$15))</f>
        <v/>
      </c>
      <c r="F902" s="2" t="str">
        <f>IF(A902="","",IF(AND('Offset Inputs'!$B$5&gt;='Mortgage Inputs'!$B$5,'Mortgage Inputs'!$B$5&gt;0),C902,MIN(C902,MAX(0,'Mortgage Inputs'!$B$17-E902))))</f>
        <v/>
      </c>
      <c r="G902" s="2" t="str">
        <f t="shared" si="39"/>
        <v/>
      </c>
      <c r="H902" s="2" t="str">
        <f>IF(A902="","",IF(AND('Offset Inputs'!$B$5&gt;='Mortgage Inputs'!$B$5,'Mortgage Inputs'!$B$5&gt;0),'Offset Inputs'!$B$5-'Mortgage Inputs'!$B$5,D902+'Offset Inputs'!$B$6))</f>
        <v/>
      </c>
    </row>
    <row r="903" spans="1:8" ht="22" customHeight="1">
      <c r="A903" s="1" t="str">
        <f>IF(AND('Mortgage Inputs'!$B$12,897&lt;=IF('Mortgage Inputs'!$B$12,'Mortgage Inputs'!$B$7,0)*12+600,ISNUMBER(G902),G902&gt;0.005),897,"")</f>
        <v/>
      </c>
      <c r="B903" s="4" t="str">
        <f>IF(A903="","",DATE(YEAR('Mortgage Inputs'!$B$8),MONTH('Mortgage Inputs'!$B$8)+A903,DAY('Mortgage Inputs'!$B$8)))</f>
        <v/>
      </c>
      <c r="C903" s="2" t="str">
        <f t="shared" si="40"/>
        <v/>
      </c>
      <c r="D903" s="2" t="str">
        <f t="shared" si="41"/>
        <v/>
      </c>
      <c r="E903" s="2" t="str">
        <f>IF(A903="","",MAX(0,(C903-MIN(D903,C903))*'Mortgage Inputs'!$B$15))</f>
        <v/>
      </c>
      <c r="F903" s="2" t="str">
        <f>IF(A903="","",IF(AND('Offset Inputs'!$B$5&gt;='Mortgage Inputs'!$B$5,'Mortgage Inputs'!$B$5&gt;0),C903,MIN(C903,MAX(0,'Mortgage Inputs'!$B$17-E903))))</f>
        <v/>
      </c>
      <c r="G903" s="2" t="str">
        <f t="shared" ref="G903:G966" si="42">IF(A903="","",MAX(0,C903-F903))</f>
        <v/>
      </c>
      <c r="H903" s="2" t="str">
        <f>IF(A903="","",IF(AND('Offset Inputs'!$B$5&gt;='Mortgage Inputs'!$B$5,'Mortgage Inputs'!$B$5&gt;0),'Offset Inputs'!$B$5-'Mortgage Inputs'!$B$5,D903+'Offset Inputs'!$B$6))</f>
        <v/>
      </c>
    </row>
    <row r="904" spans="1:8" ht="22" customHeight="1">
      <c r="A904" s="1" t="str">
        <f>IF(AND('Mortgage Inputs'!$B$12,898&lt;=IF('Mortgage Inputs'!$B$12,'Mortgage Inputs'!$B$7,0)*12+600,ISNUMBER(G903),G903&gt;0.005),898,"")</f>
        <v/>
      </c>
      <c r="B904" s="4" t="str">
        <f>IF(A904="","",DATE(YEAR('Mortgage Inputs'!$B$8),MONTH('Mortgage Inputs'!$B$8)+A904,DAY('Mortgage Inputs'!$B$8)))</f>
        <v/>
      </c>
      <c r="C904" s="2" t="str">
        <f t="shared" ref="C904:C967" si="43">IF(A904="","",G903)</f>
        <v/>
      </c>
      <c r="D904" s="2" t="str">
        <f t="shared" ref="D904:D967" si="44">IF(A904="","",H903)</f>
        <v/>
      </c>
      <c r="E904" s="2" t="str">
        <f>IF(A904="","",MAX(0,(C904-MIN(D904,C904))*'Mortgage Inputs'!$B$15))</f>
        <v/>
      </c>
      <c r="F904" s="2" t="str">
        <f>IF(A904="","",IF(AND('Offset Inputs'!$B$5&gt;='Mortgage Inputs'!$B$5,'Mortgage Inputs'!$B$5&gt;0),C904,MIN(C904,MAX(0,'Mortgage Inputs'!$B$17-E904))))</f>
        <v/>
      </c>
      <c r="G904" s="2" t="str">
        <f t="shared" si="42"/>
        <v/>
      </c>
      <c r="H904" s="2" t="str">
        <f>IF(A904="","",IF(AND('Offset Inputs'!$B$5&gt;='Mortgage Inputs'!$B$5,'Mortgage Inputs'!$B$5&gt;0),'Offset Inputs'!$B$5-'Mortgage Inputs'!$B$5,D904+'Offset Inputs'!$B$6))</f>
        <v/>
      </c>
    </row>
    <row r="905" spans="1:8" ht="22" customHeight="1">
      <c r="A905" s="1" t="str">
        <f>IF(AND('Mortgage Inputs'!$B$12,899&lt;=IF('Mortgage Inputs'!$B$12,'Mortgage Inputs'!$B$7,0)*12+600,ISNUMBER(G904),G904&gt;0.005),899,"")</f>
        <v/>
      </c>
      <c r="B905" s="4" t="str">
        <f>IF(A905="","",DATE(YEAR('Mortgage Inputs'!$B$8),MONTH('Mortgage Inputs'!$B$8)+A905,DAY('Mortgage Inputs'!$B$8)))</f>
        <v/>
      </c>
      <c r="C905" s="2" t="str">
        <f t="shared" si="43"/>
        <v/>
      </c>
      <c r="D905" s="2" t="str">
        <f t="shared" si="44"/>
        <v/>
      </c>
      <c r="E905" s="2" t="str">
        <f>IF(A905="","",MAX(0,(C905-MIN(D905,C905))*'Mortgage Inputs'!$B$15))</f>
        <v/>
      </c>
      <c r="F905" s="2" t="str">
        <f>IF(A905="","",IF(AND('Offset Inputs'!$B$5&gt;='Mortgage Inputs'!$B$5,'Mortgage Inputs'!$B$5&gt;0),C905,MIN(C905,MAX(0,'Mortgage Inputs'!$B$17-E905))))</f>
        <v/>
      </c>
      <c r="G905" s="2" t="str">
        <f t="shared" si="42"/>
        <v/>
      </c>
      <c r="H905" s="2" t="str">
        <f>IF(A905="","",IF(AND('Offset Inputs'!$B$5&gt;='Mortgage Inputs'!$B$5,'Mortgage Inputs'!$B$5&gt;0),'Offset Inputs'!$B$5-'Mortgage Inputs'!$B$5,D905+'Offset Inputs'!$B$6))</f>
        <v/>
      </c>
    </row>
    <row r="906" spans="1:8" ht="22" customHeight="1">
      <c r="A906" s="1" t="str">
        <f>IF(AND('Mortgage Inputs'!$B$12,900&lt;=IF('Mortgage Inputs'!$B$12,'Mortgage Inputs'!$B$7,0)*12+600,ISNUMBER(G905),G905&gt;0.005),900,"")</f>
        <v/>
      </c>
      <c r="B906" s="4" t="str">
        <f>IF(A906="","",DATE(YEAR('Mortgage Inputs'!$B$8),MONTH('Mortgage Inputs'!$B$8)+A906,DAY('Mortgage Inputs'!$B$8)))</f>
        <v/>
      </c>
      <c r="C906" s="2" t="str">
        <f t="shared" si="43"/>
        <v/>
      </c>
      <c r="D906" s="2" t="str">
        <f t="shared" si="44"/>
        <v/>
      </c>
      <c r="E906" s="2" t="str">
        <f>IF(A906="","",MAX(0,(C906-MIN(D906,C906))*'Mortgage Inputs'!$B$15))</f>
        <v/>
      </c>
      <c r="F906" s="2" t="str">
        <f>IF(A906="","",IF(AND('Offset Inputs'!$B$5&gt;='Mortgage Inputs'!$B$5,'Mortgage Inputs'!$B$5&gt;0),C906,MIN(C906,MAX(0,'Mortgage Inputs'!$B$17-E906))))</f>
        <v/>
      </c>
      <c r="G906" s="2" t="str">
        <f t="shared" si="42"/>
        <v/>
      </c>
      <c r="H906" s="2" t="str">
        <f>IF(A906="","",IF(AND('Offset Inputs'!$B$5&gt;='Mortgage Inputs'!$B$5,'Mortgage Inputs'!$B$5&gt;0),'Offset Inputs'!$B$5-'Mortgage Inputs'!$B$5,D906+'Offset Inputs'!$B$6))</f>
        <v/>
      </c>
    </row>
    <row r="907" spans="1:8" ht="22" customHeight="1">
      <c r="A907" s="1" t="str">
        <f>IF(AND('Mortgage Inputs'!$B$12,901&lt;=IF('Mortgage Inputs'!$B$12,'Mortgage Inputs'!$B$7,0)*12+600,ISNUMBER(G906),G906&gt;0.005),901,"")</f>
        <v/>
      </c>
      <c r="B907" s="4" t="str">
        <f>IF(A907="","",DATE(YEAR('Mortgage Inputs'!$B$8),MONTH('Mortgage Inputs'!$B$8)+A907,DAY('Mortgage Inputs'!$B$8)))</f>
        <v/>
      </c>
      <c r="C907" s="2" t="str">
        <f t="shared" si="43"/>
        <v/>
      </c>
      <c r="D907" s="2" t="str">
        <f t="shared" si="44"/>
        <v/>
      </c>
      <c r="E907" s="2" t="str">
        <f>IF(A907="","",MAX(0,(C907-MIN(D907,C907))*'Mortgage Inputs'!$B$15))</f>
        <v/>
      </c>
      <c r="F907" s="2" t="str">
        <f>IF(A907="","",IF(AND('Offset Inputs'!$B$5&gt;='Mortgage Inputs'!$B$5,'Mortgage Inputs'!$B$5&gt;0),C907,MIN(C907,MAX(0,'Mortgage Inputs'!$B$17-E907))))</f>
        <v/>
      </c>
      <c r="G907" s="2" t="str">
        <f t="shared" si="42"/>
        <v/>
      </c>
      <c r="H907" s="2" t="str">
        <f>IF(A907="","",IF(AND('Offset Inputs'!$B$5&gt;='Mortgage Inputs'!$B$5,'Mortgage Inputs'!$B$5&gt;0),'Offset Inputs'!$B$5-'Mortgage Inputs'!$B$5,D907+'Offset Inputs'!$B$6))</f>
        <v/>
      </c>
    </row>
    <row r="908" spans="1:8" ht="22" customHeight="1">
      <c r="A908" s="1" t="str">
        <f>IF(AND('Mortgage Inputs'!$B$12,902&lt;=IF('Mortgage Inputs'!$B$12,'Mortgage Inputs'!$B$7,0)*12+600,ISNUMBER(G907),G907&gt;0.005),902,"")</f>
        <v/>
      </c>
      <c r="B908" s="4" t="str">
        <f>IF(A908="","",DATE(YEAR('Mortgage Inputs'!$B$8),MONTH('Mortgage Inputs'!$B$8)+A908,DAY('Mortgage Inputs'!$B$8)))</f>
        <v/>
      </c>
      <c r="C908" s="2" t="str">
        <f t="shared" si="43"/>
        <v/>
      </c>
      <c r="D908" s="2" t="str">
        <f t="shared" si="44"/>
        <v/>
      </c>
      <c r="E908" s="2" t="str">
        <f>IF(A908="","",MAX(0,(C908-MIN(D908,C908))*'Mortgage Inputs'!$B$15))</f>
        <v/>
      </c>
      <c r="F908" s="2" t="str">
        <f>IF(A908="","",IF(AND('Offset Inputs'!$B$5&gt;='Mortgage Inputs'!$B$5,'Mortgage Inputs'!$B$5&gt;0),C908,MIN(C908,MAX(0,'Mortgage Inputs'!$B$17-E908))))</f>
        <v/>
      </c>
      <c r="G908" s="2" t="str">
        <f t="shared" si="42"/>
        <v/>
      </c>
      <c r="H908" s="2" t="str">
        <f>IF(A908="","",IF(AND('Offset Inputs'!$B$5&gt;='Mortgage Inputs'!$B$5,'Mortgage Inputs'!$B$5&gt;0),'Offset Inputs'!$B$5-'Mortgage Inputs'!$B$5,D908+'Offset Inputs'!$B$6))</f>
        <v/>
      </c>
    </row>
    <row r="909" spans="1:8" ht="22" customHeight="1">
      <c r="A909" s="1" t="str">
        <f>IF(AND('Mortgage Inputs'!$B$12,903&lt;=IF('Mortgage Inputs'!$B$12,'Mortgage Inputs'!$B$7,0)*12+600,ISNUMBER(G908),G908&gt;0.005),903,"")</f>
        <v/>
      </c>
      <c r="B909" s="4" t="str">
        <f>IF(A909="","",DATE(YEAR('Mortgage Inputs'!$B$8),MONTH('Mortgage Inputs'!$B$8)+A909,DAY('Mortgage Inputs'!$B$8)))</f>
        <v/>
      </c>
      <c r="C909" s="2" t="str">
        <f t="shared" si="43"/>
        <v/>
      </c>
      <c r="D909" s="2" t="str">
        <f t="shared" si="44"/>
        <v/>
      </c>
      <c r="E909" s="2" t="str">
        <f>IF(A909="","",MAX(0,(C909-MIN(D909,C909))*'Mortgage Inputs'!$B$15))</f>
        <v/>
      </c>
      <c r="F909" s="2" t="str">
        <f>IF(A909="","",IF(AND('Offset Inputs'!$B$5&gt;='Mortgage Inputs'!$B$5,'Mortgage Inputs'!$B$5&gt;0),C909,MIN(C909,MAX(0,'Mortgage Inputs'!$B$17-E909))))</f>
        <v/>
      </c>
      <c r="G909" s="2" t="str">
        <f t="shared" si="42"/>
        <v/>
      </c>
      <c r="H909" s="2" t="str">
        <f>IF(A909="","",IF(AND('Offset Inputs'!$B$5&gt;='Mortgage Inputs'!$B$5,'Mortgage Inputs'!$B$5&gt;0),'Offset Inputs'!$B$5-'Mortgage Inputs'!$B$5,D909+'Offset Inputs'!$B$6))</f>
        <v/>
      </c>
    </row>
    <row r="910" spans="1:8" ht="22" customHeight="1">
      <c r="A910" s="1" t="str">
        <f>IF(AND('Mortgage Inputs'!$B$12,904&lt;=IF('Mortgage Inputs'!$B$12,'Mortgage Inputs'!$B$7,0)*12+600,ISNUMBER(G909),G909&gt;0.005),904,"")</f>
        <v/>
      </c>
      <c r="B910" s="4" t="str">
        <f>IF(A910="","",DATE(YEAR('Mortgage Inputs'!$B$8),MONTH('Mortgage Inputs'!$B$8)+A910,DAY('Mortgage Inputs'!$B$8)))</f>
        <v/>
      </c>
      <c r="C910" s="2" t="str">
        <f t="shared" si="43"/>
        <v/>
      </c>
      <c r="D910" s="2" t="str">
        <f t="shared" si="44"/>
        <v/>
      </c>
      <c r="E910" s="2" t="str">
        <f>IF(A910="","",MAX(0,(C910-MIN(D910,C910))*'Mortgage Inputs'!$B$15))</f>
        <v/>
      </c>
      <c r="F910" s="2" t="str">
        <f>IF(A910="","",IF(AND('Offset Inputs'!$B$5&gt;='Mortgage Inputs'!$B$5,'Mortgage Inputs'!$B$5&gt;0),C910,MIN(C910,MAX(0,'Mortgage Inputs'!$B$17-E910))))</f>
        <v/>
      </c>
      <c r="G910" s="2" t="str">
        <f t="shared" si="42"/>
        <v/>
      </c>
      <c r="H910" s="2" t="str">
        <f>IF(A910="","",IF(AND('Offset Inputs'!$B$5&gt;='Mortgage Inputs'!$B$5,'Mortgage Inputs'!$B$5&gt;0),'Offset Inputs'!$B$5-'Mortgage Inputs'!$B$5,D910+'Offset Inputs'!$B$6))</f>
        <v/>
      </c>
    </row>
    <row r="911" spans="1:8" ht="22" customHeight="1">
      <c r="A911" s="1" t="str">
        <f>IF(AND('Mortgage Inputs'!$B$12,905&lt;=IF('Mortgage Inputs'!$B$12,'Mortgage Inputs'!$B$7,0)*12+600,ISNUMBER(G910),G910&gt;0.005),905,"")</f>
        <v/>
      </c>
      <c r="B911" s="4" t="str">
        <f>IF(A911="","",DATE(YEAR('Mortgage Inputs'!$B$8),MONTH('Mortgage Inputs'!$B$8)+A911,DAY('Mortgage Inputs'!$B$8)))</f>
        <v/>
      </c>
      <c r="C911" s="2" t="str">
        <f t="shared" si="43"/>
        <v/>
      </c>
      <c r="D911" s="2" t="str">
        <f t="shared" si="44"/>
        <v/>
      </c>
      <c r="E911" s="2" t="str">
        <f>IF(A911="","",MAX(0,(C911-MIN(D911,C911))*'Mortgage Inputs'!$B$15))</f>
        <v/>
      </c>
      <c r="F911" s="2" t="str">
        <f>IF(A911="","",IF(AND('Offset Inputs'!$B$5&gt;='Mortgage Inputs'!$B$5,'Mortgage Inputs'!$B$5&gt;0),C911,MIN(C911,MAX(0,'Mortgage Inputs'!$B$17-E911))))</f>
        <v/>
      </c>
      <c r="G911" s="2" t="str">
        <f t="shared" si="42"/>
        <v/>
      </c>
      <c r="H911" s="2" t="str">
        <f>IF(A911="","",IF(AND('Offset Inputs'!$B$5&gt;='Mortgage Inputs'!$B$5,'Mortgage Inputs'!$B$5&gt;0),'Offset Inputs'!$B$5-'Mortgage Inputs'!$B$5,D911+'Offset Inputs'!$B$6))</f>
        <v/>
      </c>
    </row>
    <row r="912" spans="1:8" ht="22" customHeight="1">
      <c r="A912" s="1" t="str">
        <f>IF(AND('Mortgage Inputs'!$B$12,906&lt;=IF('Mortgage Inputs'!$B$12,'Mortgage Inputs'!$B$7,0)*12+600,ISNUMBER(G911),G911&gt;0.005),906,"")</f>
        <v/>
      </c>
      <c r="B912" s="4" t="str">
        <f>IF(A912="","",DATE(YEAR('Mortgage Inputs'!$B$8),MONTH('Mortgage Inputs'!$B$8)+A912,DAY('Mortgage Inputs'!$B$8)))</f>
        <v/>
      </c>
      <c r="C912" s="2" t="str">
        <f t="shared" si="43"/>
        <v/>
      </c>
      <c r="D912" s="2" t="str">
        <f t="shared" si="44"/>
        <v/>
      </c>
      <c r="E912" s="2" t="str">
        <f>IF(A912="","",MAX(0,(C912-MIN(D912,C912))*'Mortgage Inputs'!$B$15))</f>
        <v/>
      </c>
      <c r="F912" s="2" t="str">
        <f>IF(A912="","",IF(AND('Offset Inputs'!$B$5&gt;='Mortgage Inputs'!$B$5,'Mortgage Inputs'!$B$5&gt;0),C912,MIN(C912,MAX(0,'Mortgage Inputs'!$B$17-E912))))</f>
        <v/>
      </c>
      <c r="G912" s="2" t="str">
        <f t="shared" si="42"/>
        <v/>
      </c>
      <c r="H912" s="2" t="str">
        <f>IF(A912="","",IF(AND('Offset Inputs'!$B$5&gt;='Mortgage Inputs'!$B$5,'Mortgage Inputs'!$B$5&gt;0),'Offset Inputs'!$B$5-'Mortgage Inputs'!$B$5,D912+'Offset Inputs'!$B$6))</f>
        <v/>
      </c>
    </row>
    <row r="913" spans="1:8" ht="22" customHeight="1">
      <c r="A913" s="1" t="str">
        <f>IF(AND('Mortgage Inputs'!$B$12,907&lt;=IF('Mortgage Inputs'!$B$12,'Mortgage Inputs'!$B$7,0)*12+600,ISNUMBER(G912),G912&gt;0.005),907,"")</f>
        <v/>
      </c>
      <c r="B913" s="4" t="str">
        <f>IF(A913="","",DATE(YEAR('Mortgage Inputs'!$B$8),MONTH('Mortgage Inputs'!$B$8)+A913,DAY('Mortgage Inputs'!$B$8)))</f>
        <v/>
      </c>
      <c r="C913" s="2" t="str">
        <f t="shared" si="43"/>
        <v/>
      </c>
      <c r="D913" s="2" t="str">
        <f t="shared" si="44"/>
        <v/>
      </c>
      <c r="E913" s="2" t="str">
        <f>IF(A913="","",MAX(0,(C913-MIN(D913,C913))*'Mortgage Inputs'!$B$15))</f>
        <v/>
      </c>
      <c r="F913" s="2" t="str">
        <f>IF(A913="","",IF(AND('Offset Inputs'!$B$5&gt;='Mortgage Inputs'!$B$5,'Mortgage Inputs'!$B$5&gt;0),C913,MIN(C913,MAX(0,'Mortgage Inputs'!$B$17-E913))))</f>
        <v/>
      </c>
      <c r="G913" s="2" t="str">
        <f t="shared" si="42"/>
        <v/>
      </c>
      <c r="H913" s="2" t="str">
        <f>IF(A913="","",IF(AND('Offset Inputs'!$B$5&gt;='Mortgage Inputs'!$B$5,'Mortgage Inputs'!$B$5&gt;0),'Offset Inputs'!$B$5-'Mortgage Inputs'!$B$5,D913+'Offset Inputs'!$B$6))</f>
        <v/>
      </c>
    </row>
    <row r="914" spans="1:8" ht="22" customHeight="1">
      <c r="A914" s="1" t="str">
        <f>IF(AND('Mortgage Inputs'!$B$12,908&lt;=IF('Mortgage Inputs'!$B$12,'Mortgage Inputs'!$B$7,0)*12+600,ISNUMBER(G913),G913&gt;0.005),908,"")</f>
        <v/>
      </c>
      <c r="B914" s="4" t="str">
        <f>IF(A914="","",DATE(YEAR('Mortgage Inputs'!$B$8),MONTH('Mortgage Inputs'!$B$8)+A914,DAY('Mortgage Inputs'!$B$8)))</f>
        <v/>
      </c>
      <c r="C914" s="2" t="str">
        <f t="shared" si="43"/>
        <v/>
      </c>
      <c r="D914" s="2" t="str">
        <f t="shared" si="44"/>
        <v/>
      </c>
      <c r="E914" s="2" t="str">
        <f>IF(A914="","",MAX(0,(C914-MIN(D914,C914))*'Mortgage Inputs'!$B$15))</f>
        <v/>
      </c>
      <c r="F914" s="2" t="str">
        <f>IF(A914="","",IF(AND('Offset Inputs'!$B$5&gt;='Mortgage Inputs'!$B$5,'Mortgage Inputs'!$B$5&gt;0),C914,MIN(C914,MAX(0,'Mortgage Inputs'!$B$17-E914))))</f>
        <v/>
      </c>
      <c r="G914" s="2" t="str">
        <f t="shared" si="42"/>
        <v/>
      </c>
      <c r="H914" s="2" t="str">
        <f>IF(A914="","",IF(AND('Offset Inputs'!$B$5&gt;='Mortgage Inputs'!$B$5,'Mortgage Inputs'!$B$5&gt;0),'Offset Inputs'!$B$5-'Mortgage Inputs'!$B$5,D914+'Offset Inputs'!$B$6))</f>
        <v/>
      </c>
    </row>
    <row r="915" spans="1:8" ht="22" customHeight="1">
      <c r="A915" s="1" t="str">
        <f>IF(AND('Mortgage Inputs'!$B$12,909&lt;=IF('Mortgage Inputs'!$B$12,'Mortgage Inputs'!$B$7,0)*12+600,ISNUMBER(G914),G914&gt;0.005),909,"")</f>
        <v/>
      </c>
      <c r="B915" s="4" t="str">
        <f>IF(A915="","",DATE(YEAR('Mortgage Inputs'!$B$8),MONTH('Mortgage Inputs'!$B$8)+A915,DAY('Mortgage Inputs'!$B$8)))</f>
        <v/>
      </c>
      <c r="C915" s="2" t="str">
        <f t="shared" si="43"/>
        <v/>
      </c>
      <c r="D915" s="2" t="str">
        <f t="shared" si="44"/>
        <v/>
      </c>
      <c r="E915" s="2" t="str">
        <f>IF(A915="","",MAX(0,(C915-MIN(D915,C915))*'Mortgage Inputs'!$B$15))</f>
        <v/>
      </c>
      <c r="F915" s="2" t="str">
        <f>IF(A915="","",IF(AND('Offset Inputs'!$B$5&gt;='Mortgage Inputs'!$B$5,'Mortgage Inputs'!$B$5&gt;0),C915,MIN(C915,MAX(0,'Mortgage Inputs'!$B$17-E915))))</f>
        <v/>
      </c>
      <c r="G915" s="2" t="str">
        <f t="shared" si="42"/>
        <v/>
      </c>
      <c r="H915" s="2" t="str">
        <f>IF(A915="","",IF(AND('Offset Inputs'!$B$5&gt;='Mortgage Inputs'!$B$5,'Mortgage Inputs'!$B$5&gt;0),'Offset Inputs'!$B$5-'Mortgage Inputs'!$B$5,D915+'Offset Inputs'!$B$6))</f>
        <v/>
      </c>
    </row>
    <row r="916" spans="1:8" ht="22" customHeight="1">
      <c r="A916" s="1" t="str">
        <f>IF(AND('Mortgage Inputs'!$B$12,910&lt;=IF('Mortgage Inputs'!$B$12,'Mortgage Inputs'!$B$7,0)*12+600,ISNUMBER(G915),G915&gt;0.005),910,"")</f>
        <v/>
      </c>
      <c r="B916" s="4" t="str">
        <f>IF(A916="","",DATE(YEAR('Mortgage Inputs'!$B$8),MONTH('Mortgage Inputs'!$B$8)+A916,DAY('Mortgage Inputs'!$B$8)))</f>
        <v/>
      </c>
      <c r="C916" s="2" t="str">
        <f t="shared" si="43"/>
        <v/>
      </c>
      <c r="D916" s="2" t="str">
        <f t="shared" si="44"/>
        <v/>
      </c>
      <c r="E916" s="2" t="str">
        <f>IF(A916="","",MAX(0,(C916-MIN(D916,C916))*'Mortgage Inputs'!$B$15))</f>
        <v/>
      </c>
      <c r="F916" s="2" t="str">
        <f>IF(A916="","",IF(AND('Offset Inputs'!$B$5&gt;='Mortgage Inputs'!$B$5,'Mortgage Inputs'!$B$5&gt;0),C916,MIN(C916,MAX(0,'Mortgage Inputs'!$B$17-E916))))</f>
        <v/>
      </c>
      <c r="G916" s="2" t="str">
        <f t="shared" si="42"/>
        <v/>
      </c>
      <c r="H916" s="2" t="str">
        <f>IF(A916="","",IF(AND('Offset Inputs'!$B$5&gt;='Mortgage Inputs'!$B$5,'Mortgage Inputs'!$B$5&gt;0),'Offset Inputs'!$B$5-'Mortgage Inputs'!$B$5,D916+'Offset Inputs'!$B$6))</f>
        <v/>
      </c>
    </row>
    <row r="917" spans="1:8" ht="22" customHeight="1">
      <c r="A917" s="1" t="str">
        <f>IF(AND('Mortgage Inputs'!$B$12,911&lt;=IF('Mortgage Inputs'!$B$12,'Mortgage Inputs'!$B$7,0)*12+600,ISNUMBER(G916),G916&gt;0.005),911,"")</f>
        <v/>
      </c>
      <c r="B917" s="4" t="str">
        <f>IF(A917="","",DATE(YEAR('Mortgage Inputs'!$B$8),MONTH('Mortgage Inputs'!$B$8)+A917,DAY('Mortgage Inputs'!$B$8)))</f>
        <v/>
      </c>
      <c r="C917" s="2" t="str">
        <f t="shared" si="43"/>
        <v/>
      </c>
      <c r="D917" s="2" t="str">
        <f t="shared" si="44"/>
        <v/>
      </c>
      <c r="E917" s="2" t="str">
        <f>IF(A917="","",MAX(0,(C917-MIN(D917,C917))*'Mortgage Inputs'!$B$15))</f>
        <v/>
      </c>
      <c r="F917" s="2" t="str">
        <f>IF(A917="","",IF(AND('Offset Inputs'!$B$5&gt;='Mortgage Inputs'!$B$5,'Mortgage Inputs'!$B$5&gt;0),C917,MIN(C917,MAX(0,'Mortgage Inputs'!$B$17-E917))))</f>
        <v/>
      </c>
      <c r="G917" s="2" t="str">
        <f t="shared" si="42"/>
        <v/>
      </c>
      <c r="H917" s="2" t="str">
        <f>IF(A917="","",IF(AND('Offset Inputs'!$B$5&gt;='Mortgage Inputs'!$B$5,'Mortgage Inputs'!$B$5&gt;0),'Offset Inputs'!$B$5-'Mortgage Inputs'!$B$5,D917+'Offset Inputs'!$B$6))</f>
        <v/>
      </c>
    </row>
    <row r="918" spans="1:8" ht="22" customHeight="1">
      <c r="A918" s="1" t="str">
        <f>IF(AND('Mortgage Inputs'!$B$12,912&lt;=IF('Mortgage Inputs'!$B$12,'Mortgage Inputs'!$B$7,0)*12+600,ISNUMBER(G917),G917&gt;0.005),912,"")</f>
        <v/>
      </c>
      <c r="B918" s="4" t="str">
        <f>IF(A918="","",DATE(YEAR('Mortgage Inputs'!$B$8),MONTH('Mortgage Inputs'!$B$8)+A918,DAY('Mortgage Inputs'!$B$8)))</f>
        <v/>
      </c>
      <c r="C918" s="2" t="str">
        <f t="shared" si="43"/>
        <v/>
      </c>
      <c r="D918" s="2" t="str">
        <f t="shared" si="44"/>
        <v/>
      </c>
      <c r="E918" s="2" t="str">
        <f>IF(A918="","",MAX(0,(C918-MIN(D918,C918))*'Mortgage Inputs'!$B$15))</f>
        <v/>
      </c>
      <c r="F918" s="2" t="str">
        <f>IF(A918="","",IF(AND('Offset Inputs'!$B$5&gt;='Mortgage Inputs'!$B$5,'Mortgage Inputs'!$B$5&gt;0),C918,MIN(C918,MAX(0,'Mortgage Inputs'!$B$17-E918))))</f>
        <v/>
      </c>
      <c r="G918" s="2" t="str">
        <f t="shared" si="42"/>
        <v/>
      </c>
      <c r="H918" s="2" t="str">
        <f>IF(A918="","",IF(AND('Offset Inputs'!$B$5&gt;='Mortgage Inputs'!$B$5,'Mortgage Inputs'!$B$5&gt;0),'Offset Inputs'!$B$5-'Mortgage Inputs'!$B$5,D918+'Offset Inputs'!$B$6))</f>
        <v/>
      </c>
    </row>
    <row r="919" spans="1:8" ht="22" customHeight="1">
      <c r="A919" s="1" t="str">
        <f>IF(AND('Mortgage Inputs'!$B$12,913&lt;=IF('Mortgage Inputs'!$B$12,'Mortgage Inputs'!$B$7,0)*12+600,ISNUMBER(G918),G918&gt;0.005),913,"")</f>
        <v/>
      </c>
      <c r="B919" s="4" t="str">
        <f>IF(A919="","",DATE(YEAR('Mortgage Inputs'!$B$8),MONTH('Mortgage Inputs'!$B$8)+A919,DAY('Mortgage Inputs'!$B$8)))</f>
        <v/>
      </c>
      <c r="C919" s="2" t="str">
        <f t="shared" si="43"/>
        <v/>
      </c>
      <c r="D919" s="2" t="str">
        <f t="shared" si="44"/>
        <v/>
      </c>
      <c r="E919" s="2" t="str">
        <f>IF(A919="","",MAX(0,(C919-MIN(D919,C919))*'Mortgage Inputs'!$B$15))</f>
        <v/>
      </c>
      <c r="F919" s="2" t="str">
        <f>IF(A919="","",IF(AND('Offset Inputs'!$B$5&gt;='Mortgage Inputs'!$B$5,'Mortgage Inputs'!$B$5&gt;0),C919,MIN(C919,MAX(0,'Mortgage Inputs'!$B$17-E919))))</f>
        <v/>
      </c>
      <c r="G919" s="2" t="str">
        <f t="shared" si="42"/>
        <v/>
      </c>
      <c r="H919" s="2" t="str">
        <f>IF(A919="","",IF(AND('Offset Inputs'!$B$5&gt;='Mortgage Inputs'!$B$5,'Mortgage Inputs'!$B$5&gt;0),'Offset Inputs'!$B$5-'Mortgage Inputs'!$B$5,D919+'Offset Inputs'!$B$6))</f>
        <v/>
      </c>
    </row>
    <row r="920" spans="1:8" ht="22" customHeight="1">
      <c r="A920" s="1" t="str">
        <f>IF(AND('Mortgage Inputs'!$B$12,914&lt;=IF('Mortgage Inputs'!$B$12,'Mortgage Inputs'!$B$7,0)*12+600,ISNUMBER(G919),G919&gt;0.005),914,"")</f>
        <v/>
      </c>
      <c r="B920" s="4" t="str">
        <f>IF(A920="","",DATE(YEAR('Mortgage Inputs'!$B$8),MONTH('Mortgage Inputs'!$B$8)+A920,DAY('Mortgage Inputs'!$B$8)))</f>
        <v/>
      </c>
      <c r="C920" s="2" t="str">
        <f t="shared" si="43"/>
        <v/>
      </c>
      <c r="D920" s="2" t="str">
        <f t="shared" si="44"/>
        <v/>
      </c>
      <c r="E920" s="2" t="str">
        <f>IF(A920="","",MAX(0,(C920-MIN(D920,C920))*'Mortgage Inputs'!$B$15))</f>
        <v/>
      </c>
      <c r="F920" s="2" t="str">
        <f>IF(A920="","",IF(AND('Offset Inputs'!$B$5&gt;='Mortgage Inputs'!$B$5,'Mortgage Inputs'!$B$5&gt;0),C920,MIN(C920,MAX(0,'Mortgage Inputs'!$B$17-E920))))</f>
        <v/>
      </c>
      <c r="G920" s="2" t="str">
        <f t="shared" si="42"/>
        <v/>
      </c>
      <c r="H920" s="2" t="str">
        <f>IF(A920="","",IF(AND('Offset Inputs'!$B$5&gt;='Mortgage Inputs'!$B$5,'Mortgage Inputs'!$B$5&gt;0),'Offset Inputs'!$B$5-'Mortgage Inputs'!$B$5,D920+'Offset Inputs'!$B$6))</f>
        <v/>
      </c>
    </row>
    <row r="921" spans="1:8" ht="22" customHeight="1">
      <c r="A921" s="1" t="str">
        <f>IF(AND('Mortgage Inputs'!$B$12,915&lt;=IF('Mortgage Inputs'!$B$12,'Mortgage Inputs'!$B$7,0)*12+600,ISNUMBER(G920),G920&gt;0.005),915,"")</f>
        <v/>
      </c>
      <c r="B921" s="4" t="str">
        <f>IF(A921="","",DATE(YEAR('Mortgage Inputs'!$B$8),MONTH('Mortgage Inputs'!$B$8)+A921,DAY('Mortgage Inputs'!$B$8)))</f>
        <v/>
      </c>
      <c r="C921" s="2" t="str">
        <f t="shared" si="43"/>
        <v/>
      </c>
      <c r="D921" s="2" t="str">
        <f t="shared" si="44"/>
        <v/>
      </c>
      <c r="E921" s="2" t="str">
        <f>IF(A921="","",MAX(0,(C921-MIN(D921,C921))*'Mortgage Inputs'!$B$15))</f>
        <v/>
      </c>
      <c r="F921" s="2" t="str">
        <f>IF(A921="","",IF(AND('Offset Inputs'!$B$5&gt;='Mortgage Inputs'!$B$5,'Mortgage Inputs'!$B$5&gt;0),C921,MIN(C921,MAX(0,'Mortgage Inputs'!$B$17-E921))))</f>
        <v/>
      </c>
      <c r="G921" s="2" t="str">
        <f t="shared" si="42"/>
        <v/>
      </c>
      <c r="H921" s="2" t="str">
        <f>IF(A921="","",IF(AND('Offset Inputs'!$B$5&gt;='Mortgage Inputs'!$B$5,'Mortgage Inputs'!$B$5&gt;0),'Offset Inputs'!$B$5-'Mortgage Inputs'!$B$5,D921+'Offset Inputs'!$B$6))</f>
        <v/>
      </c>
    </row>
    <row r="922" spans="1:8" ht="22" customHeight="1">
      <c r="A922" s="1" t="str">
        <f>IF(AND('Mortgage Inputs'!$B$12,916&lt;=IF('Mortgage Inputs'!$B$12,'Mortgage Inputs'!$B$7,0)*12+600,ISNUMBER(G921),G921&gt;0.005),916,"")</f>
        <v/>
      </c>
      <c r="B922" s="4" t="str">
        <f>IF(A922="","",DATE(YEAR('Mortgage Inputs'!$B$8),MONTH('Mortgage Inputs'!$B$8)+A922,DAY('Mortgage Inputs'!$B$8)))</f>
        <v/>
      </c>
      <c r="C922" s="2" t="str">
        <f t="shared" si="43"/>
        <v/>
      </c>
      <c r="D922" s="2" t="str">
        <f t="shared" si="44"/>
        <v/>
      </c>
      <c r="E922" s="2" t="str">
        <f>IF(A922="","",MAX(0,(C922-MIN(D922,C922))*'Mortgage Inputs'!$B$15))</f>
        <v/>
      </c>
      <c r="F922" s="2" t="str">
        <f>IF(A922="","",IF(AND('Offset Inputs'!$B$5&gt;='Mortgage Inputs'!$B$5,'Mortgage Inputs'!$B$5&gt;0),C922,MIN(C922,MAX(0,'Mortgage Inputs'!$B$17-E922))))</f>
        <v/>
      </c>
      <c r="G922" s="2" t="str">
        <f t="shared" si="42"/>
        <v/>
      </c>
      <c r="H922" s="2" t="str">
        <f>IF(A922="","",IF(AND('Offset Inputs'!$B$5&gt;='Mortgage Inputs'!$B$5,'Mortgage Inputs'!$B$5&gt;0),'Offset Inputs'!$B$5-'Mortgage Inputs'!$B$5,D922+'Offset Inputs'!$B$6))</f>
        <v/>
      </c>
    </row>
    <row r="923" spans="1:8" ht="22" customHeight="1">
      <c r="A923" s="1" t="str">
        <f>IF(AND('Mortgage Inputs'!$B$12,917&lt;=IF('Mortgage Inputs'!$B$12,'Mortgage Inputs'!$B$7,0)*12+600,ISNUMBER(G922),G922&gt;0.005),917,"")</f>
        <v/>
      </c>
      <c r="B923" s="4" t="str">
        <f>IF(A923="","",DATE(YEAR('Mortgage Inputs'!$B$8),MONTH('Mortgage Inputs'!$B$8)+A923,DAY('Mortgage Inputs'!$B$8)))</f>
        <v/>
      </c>
      <c r="C923" s="2" t="str">
        <f t="shared" si="43"/>
        <v/>
      </c>
      <c r="D923" s="2" t="str">
        <f t="shared" si="44"/>
        <v/>
      </c>
      <c r="E923" s="2" t="str">
        <f>IF(A923="","",MAX(0,(C923-MIN(D923,C923))*'Mortgage Inputs'!$B$15))</f>
        <v/>
      </c>
      <c r="F923" s="2" t="str">
        <f>IF(A923="","",IF(AND('Offset Inputs'!$B$5&gt;='Mortgage Inputs'!$B$5,'Mortgage Inputs'!$B$5&gt;0),C923,MIN(C923,MAX(0,'Mortgage Inputs'!$B$17-E923))))</f>
        <v/>
      </c>
      <c r="G923" s="2" t="str">
        <f t="shared" si="42"/>
        <v/>
      </c>
      <c r="H923" s="2" t="str">
        <f>IF(A923="","",IF(AND('Offset Inputs'!$B$5&gt;='Mortgage Inputs'!$B$5,'Mortgage Inputs'!$B$5&gt;0),'Offset Inputs'!$B$5-'Mortgage Inputs'!$B$5,D923+'Offset Inputs'!$B$6))</f>
        <v/>
      </c>
    </row>
    <row r="924" spans="1:8" ht="22" customHeight="1">
      <c r="A924" s="1" t="str">
        <f>IF(AND('Mortgage Inputs'!$B$12,918&lt;=IF('Mortgage Inputs'!$B$12,'Mortgage Inputs'!$B$7,0)*12+600,ISNUMBER(G923),G923&gt;0.005),918,"")</f>
        <v/>
      </c>
      <c r="B924" s="4" t="str">
        <f>IF(A924="","",DATE(YEAR('Mortgage Inputs'!$B$8),MONTH('Mortgage Inputs'!$B$8)+A924,DAY('Mortgage Inputs'!$B$8)))</f>
        <v/>
      </c>
      <c r="C924" s="2" t="str">
        <f t="shared" si="43"/>
        <v/>
      </c>
      <c r="D924" s="2" t="str">
        <f t="shared" si="44"/>
        <v/>
      </c>
      <c r="E924" s="2" t="str">
        <f>IF(A924="","",MAX(0,(C924-MIN(D924,C924))*'Mortgage Inputs'!$B$15))</f>
        <v/>
      </c>
      <c r="F924" s="2" t="str">
        <f>IF(A924="","",IF(AND('Offset Inputs'!$B$5&gt;='Mortgage Inputs'!$B$5,'Mortgage Inputs'!$B$5&gt;0),C924,MIN(C924,MAX(0,'Mortgage Inputs'!$B$17-E924))))</f>
        <v/>
      </c>
      <c r="G924" s="2" t="str">
        <f t="shared" si="42"/>
        <v/>
      </c>
      <c r="H924" s="2" t="str">
        <f>IF(A924="","",IF(AND('Offset Inputs'!$B$5&gt;='Mortgage Inputs'!$B$5,'Mortgage Inputs'!$B$5&gt;0),'Offset Inputs'!$B$5-'Mortgage Inputs'!$B$5,D924+'Offset Inputs'!$B$6))</f>
        <v/>
      </c>
    </row>
    <row r="925" spans="1:8" ht="22" customHeight="1">
      <c r="A925" s="1" t="str">
        <f>IF(AND('Mortgage Inputs'!$B$12,919&lt;=IF('Mortgage Inputs'!$B$12,'Mortgage Inputs'!$B$7,0)*12+600,ISNUMBER(G924),G924&gt;0.005),919,"")</f>
        <v/>
      </c>
      <c r="B925" s="4" t="str">
        <f>IF(A925="","",DATE(YEAR('Mortgage Inputs'!$B$8),MONTH('Mortgage Inputs'!$B$8)+A925,DAY('Mortgage Inputs'!$B$8)))</f>
        <v/>
      </c>
      <c r="C925" s="2" t="str">
        <f t="shared" si="43"/>
        <v/>
      </c>
      <c r="D925" s="2" t="str">
        <f t="shared" si="44"/>
        <v/>
      </c>
      <c r="E925" s="2" t="str">
        <f>IF(A925="","",MAX(0,(C925-MIN(D925,C925))*'Mortgage Inputs'!$B$15))</f>
        <v/>
      </c>
      <c r="F925" s="2" t="str">
        <f>IF(A925="","",IF(AND('Offset Inputs'!$B$5&gt;='Mortgage Inputs'!$B$5,'Mortgage Inputs'!$B$5&gt;0),C925,MIN(C925,MAX(0,'Mortgage Inputs'!$B$17-E925))))</f>
        <v/>
      </c>
      <c r="G925" s="2" t="str">
        <f t="shared" si="42"/>
        <v/>
      </c>
      <c r="H925" s="2" t="str">
        <f>IF(A925="","",IF(AND('Offset Inputs'!$B$5&gt;='Mortgage Inputs'!$B$5,'Mortgage Inputs'!$B$5&gt;0),'Offset Inputs'!$B$5-'Mortgage Inputs'!$B$5,D925+'Offset Inputs'!$B$6))</f>
        <v/>
      </c>
    </row>
    <row r="926" spans="1:8" ht="22" customHeight="1">
      <c r="A926" s="1" t="str">
        <f>IF(AND('Mortgage Inputs'!$B$12,920&lt;=IF('Mortgage Inputs'!$B$12,'Mortgage Inputs'!$B$7,0)*12+600,ISNUMBER(G925),G925&gt;0.005),920,"")</f>
        <v/>
      </c>
      <c r="B926" s="4" t="str">
        <f>IF(A926="","",DATE(YEAR('Mortgage Inputs'!$B$8),MONTH('Mortgage Inputs'!$B$8)+A926,DAY('Mortgage Inputs'!$B$8)))</f>
        <v/>
      </c>
      <c r="C926" s="2" t="str">
        <f t="shared" si="43"/>
        <v/>
      </c>
      <c r="D926" s="2" t="str">
        <f t="shared" si="44"/>
        <v/>
      </c>
      <c r="E926" s="2" t="str">
        <f>IF(A926="","",MAX(0,(C926-MIN(D926,C926))*'Mortgage Inputs'!$B$15))</f>
        <v/>
      </c>
      <c r="F926" s="2" t="str">
        <f>IF(A926="","",IF(AND('Offset Inputs'!$B$5&gt;='Mortgage Inputs'!$B$5,'Mortgage Inputs'!$B$5&gt;0),C926,MIN(C926,MAX(0,'Mortgage Inputs'!$B$17-E926))))</f>
        <v/>
      </c>
      <c r="G926" s="2" t="str">
        <f t="shared" si="42"/>
        <v/>
      </c>
      <c r="H926" s="2" t="str">
        <f>IF(A926="","",IF(AND('Offset Inputs'!$B$5&gt;='Mortgage Inputs'!$B$5,'Mortgage Inputs'!$B$5&gt;0),'Offset Inputs'!$B$5-'Mortgage Inputs'!$B$5,D926+'Offset Inputs'!$B$6))</f>
        <v/>
      </c>
    </row>
    <row r="927" spans="1:8" ht="22" customHeight="1">
      <c r="A927" s="1" t="str">
        <f>IF(AND('Mortgage Inputs'!$B$12,921&lt;=IF('Mortgage Inputs'!$B$12,'Mortgage Inputs'!$B$7,0)*12+600,ISNUMBER(G926),G926&gt;0.005),921,"")</f>
        <v/>
      </c>
      <c r="B927" s="4" t="str">
        <f>IF(A927="","",DATE(YEAR('Mortgage Inputs'!$B$8),MONTH('Mortgage Inputs'!$B$8)+A927,DAY('Mortgage Inputs'!$B$8)))</f>
        <v/>
      </c>
      <c r="C927" s="2" t="str">
        <f t="shared" si="43"/>
        <v/>
      </c>
      <c r="D927" s="2" t="str">
        <f t="shared" si="44"/>
        <v/>
      </c>
      <c r="E927" s="2" t="str">
        <f>IF(A927="","",MAX(0,(C927-MIN(D927,C927))*'Mortgage Inputs'!$B$15))</f>
        <v/>
      </c>
      <c r="F927" s="2" t="str">
        <f>IF(A927="","",IF(AND('Offset Inputs'!$B$5&gt;='Mortgage Inputs'!$B$5,'Mortgage Inputs'!$B$5&gt;0),C927,MIN(C927,MAX(0,'Mortgage Inputs'!$B$17-E927))))</f>
        <v/>
      </c>
      <c r="G927" s="2" t="str">
        <f t="shared" si="42"/>
        <v/>
      </c>
      <c r="H927" s="2" t="str">
        <f>IF(A927="","",IF(AND('Offset Inputs'!$B$5&gt;='Mortgage Inputs'!$B$5,'Mortgage Inputs'!$B$5&gt;0),'Offset Inputs'!$B$5-'Mortgage Inputs'!$B$5,D927+'Offset Inputs'!$B$6))</f>
        <v/>
      </c>
    </row>
    <row r="928" spans="1:8" ht="22" customHeight="1">
      <c r="A928" s="1" t="str">
        <f>IF(AND('Mortgage Inputs'!$B$12,922&lt;=IF('Mortgage Inputs'!$B$12,'Mortgage Inputs'!$B$7,0)*12+600,ISNUMBER(G927),G927&gt;0.005),922,"")</f>
        <v/>
      </c>
      <c r="B928" s="4" t="str">
        <f>IF(A928="","",DATE(YEAR('Mortgage Inputs'!$B$8),MONTH('Mortgage Inputs'!$B$8)+A928,DAY('Mortgage Inputs'!$B$8)))</f>
        <v/>
      </c>
      <c r="C928" s="2" t="str">
        <f t="shared" si="43"/>
        <v/>
      </c>
      <c r="D928" s="2" t="str">
        <f t="shared" si="44"/>
        <v/>
      </c>
      <c r="E928" s="2" t="str">
        <f>IF(A928="","",MAX(0,(C928-MIN(D928,C928))*'Mortgage Inputs'!$B$15))</f>
        <v/>
      </c>
      <c r="F928" s="2" t="str">
        <f>IF(A928="","",IF(AND('Offset Inputs'!$B$5&gt;='Mortgage Inputs'!$B$5,'Mortgage Inputs'!$B$5&gt;0),C928,MIN(C928,MAX(0,'Mortgage Inputs'!$B$17-E928))))</f>
        <v/>
      </c>
      <c r="G928" s="2" t="str">
        <f t="shared" si="42"/>
        <v/>
      </c>
      <c r="H928" s="2" t="str">
        <f>IF(A928="","",IF(AND('Offset Inputs'!$B$5&gt;='Mortgage Inputs'!$B$5,'Mortgage Inputs'!$B$5&gt;0),'Offset Inputs'!$B$5-'Mortgage Inputs'!$B$5,D928+'Offset Inputs'!$B$6))</f>
        <v/>
      </c>
    </row>
    <row r="929" spans="1:8" ht="22" customHeight="1">
      <c r="A929" s="1" t="str">
        <f>IF(AND('Mortgage Inputs'!$B$12,923&lt;=IF('Mortgage Inputs'!$B$12,'Mortgage Inputs'!$B$7,0)*12+600,ISNUMBER(G928),G928&gt;0.005),923,"")</f>
        <v/>
      </c>
      <c r="B929" s="4" t="str">
        <f>IF(A929="","",DATE(YEAR('Mortgage Inputs'!$B$8),MONTH('Mortgage Inputs'!$B$8)+A929,DAY('Mortgage Inputs'!$B$8)))</f>
        <v/>
      </c>
      <c r="C929" s="2" t="str">
        <f t="shared" si="43"/>
        <v/>
      </c>
      <c r="D929" s="2" t="str">
        <f t="shared" si="44"/>
        <v/>
      </c>
      <c r="E929" s="2" t="str">
        <f>IF(A929="","",MAX(0,(C929-MIN(D929,C929))*'Mortgage Inputs'!$B$15))</f>
        <v/>
      </c>
      <c r="F929" s="2" t="str">
        <f>IF(A929="","",IF(AND('Offset Inputs'!$B$5&gt;='Mortgage Inputs'!$B$5,'Mortgage Inputs'!$B$5&gt;0),C929,MIN(C929,MAX(0,'Mortgage Inputs'!$B$17-E929))))</f>
        <v/>
      </c>
      <c r="G929" s="2" t="str">
        <f t="shared" si="42"/>
        <v/>
      </c>
      <c r="H929" s="2" t="str">
        <f>IF(A929="","",IF(AND('Offset Inputs'!$B$5&gt;='Mortgage Inputs'!$B$5,'Mortgage Inputs'!$B$5&gt;0),'Offset Inputs'!$B$5-'Mortgage Inputs'!$B$5,D929+'Offset Inputs'!$B$6))</f>
        <v/>
      </c>
    </row>
    <row r="930" spans="1:8" ht="22" customHeight="1">
      <c r="A930" s="1" t="str">
        <f>IF(AND('Mortgage Inputs'!$B$12,924&lt;=IF('Mortgage Inputs'!$B$12,'Mortgage Inputs'!$B$7,0)*12+600,ISNUMBER(G929),G929&gt;0.005),924,"")</f>
        <v/>
      </c>
      <c r="B930" s="4" t="str">
        <f>IF(A930="","",DATE(YEAR('Mortgage Inputs'!$B$8),MONTH('Mortgage Inputs'!$B$8)+A930,DAY('Mortgage Inputs'!$B$8)))</f>
        <v/>
      </c>
      <c r="C930" s="2" t="str">
        <f t="shared" si="43"/>
        <v/>
      </c>
      <c r="D930" s="2" t="str">
        <f t="shared" si="44"/>
        <v/>
      </c>
      <c r="E930" s="2" t="str">
        <f>IF(A930="","",MAX(0,(C930-MIN(D930,C930))*'Mortgage Inputs'!$B$15))</f>
        <v/>
      </c>
      <c r="F930" s="2" t="str">
        <f>IF(A930="","",IF(AND('Offset Inputs'!$B$5&gt;='Mortgage Inputs'!$B$5,'Mortgage Inputs'!$B$5&gt;0),C930,MIN(C930,MAX(0,'Mortgage Inputs'!$B$17-E930))))</f>
        <v/>
      </c>
      <c r="G930" s="2" t="str">
        <f t="shared" si="42"/>
        <v/>
      </c>
      <c r="H930" s="2" t="str">
        <f>IF(A930="","",IF(AND('Offset Inputs'!$B$5&gt;='Mortgage Inputs'!$B$5,'Mortgage Inputs'!$B$5&gt;0),'Offset Inputs'!$B$5-'Mortgage Inputs'!$B$5,D930+'Offset Inputs'!$B$6))</f>
        <v/>
      </c>
    </row>
    <row r="931" spans="1:8" ht="22" customHeight="1">
      <c r="A931" s="1" t="str">
        <f>IF(AND('Mortgage Inputs'!$B$12,925&lt;=IF('Mortgage Inputs'!$B$12,'Mortgage Inputs'!$B$7,0)*12+600,ISNUMBER(G930),G930&gt;0.005),925,"")</f>
        <v/>
      </c>
      <c r="B931" s="4" t="str">
        <f>IF(A931="","",DATE(YEAR('Mortgage Inputs'!$B$8),MONTH('Mortgage Inputs'!$B$8)+A931,DAY('Mortgage Inputs'!$B$8)))</f>
        <v/>
      </c>
      <c r="C931" s="2" t="str">
        <f t="shared" si="43"/>
        <v/>
      </c>
      <c r="D931" s="2" t="str">
        <f t="shared" si="44"/>
        <v/>
      </c>
      <c r="E931" s="2" t="str">
        <f>IF(A931="","",MAX(0,(C931-MIN(D931,C931))*'Mortgage Inputs'!$B$15))</f>
        <v/>
      </c>
      <c r="F931" s="2" t="str">
        <f>IF(A931="","",IF(AND('Offset Inputs'!$B$5&gt;='Mortgage Inputs'!$B$5,'Mortgage Inputs'!$B$5&gt;0),C931,MIN(C931,MAX(0,'Mortgage Inputs'!$B$17-E931))))</f>
        <v/>
      </c>
      <c r="G931" s="2" t="str">
        <f t="shared" si="42"/>
        <v/>
      </c>
      <c r="H931" s="2" t="str">
        <f>IF(A931="","",IF(AND('Offset Inputs'!$B$5&gt;='Mortgage Inputs'!$B$5,'Mortgage Inputs'!$B$5&gt;0),'Offset Inputs'!$B$5-'Mortgage Inputs'!$B$5,D931+'Offset Inputs'!$B$6))</f>
        <v/>
      </c>
    </row>
    <row r="932" spans="1:8" ht="22" customHeight="1">
      <c r="A932" s="1" t="str">
        <f>IF(AND('Mortgage Inputs'!$B$12,926&lt;=IF('Mortgage Inputs'!$B$12,'Mortgage Inputs'!$B$7,0)*12+600,ISNUMBER(G931),G931&gt;0.005),926,"")</f>
        <v/>
      </c>
      <c r="B932" s="4" t="str">
        <f>IF(A932="","",DATE(YEAR('Mortgage Inputs'!$B$8),MONTH('Mortgage Inputs'!$B$8)+A932,DAY('Mortgage Inputs'!$B$8)))</f>
        <v/>
      </c>
      <c r="C932" s="2" t="str">
        <f t="shared" si="43"/>
        <v/>
      </c>
      <c r="D932" s="2" t="str">
        <f t="shared" si="44"/>
        <v/>
      </c>
      <c r="E932" s="2" t="str">
        <f>IF(A932="","",MAX(0,(C932-MIN(D932,C932))*'Mortgage Inputs'!$B$15))</f>
        <v/>
      </c>
      <c r="F932" s="2" t="str">
        <f>IF(A932="","",IF(AND('Offset Inputs'!$B$5&gt;='Mortgage Inputs'!$B$5,'Mortgage Inputs'!$B$5&gt;0),C932,MIN(C932,MAX(0,'Mortgage Inputs'!$B$17-E932))))</f>
        <v/>
      </c>
      <c r="G932" s="2" t="str">
        <f t="shared" si="42"/>
        <v/>
      </c>
      <c r="H932" s="2" t="str">
        <f>IF(A932="","",IF(AND('Offset Inputs'!$B$5&gt;='Mortgage Inputs'!$B$5,'Mortgage Inputs'!$B$5&gt;0),'Offset Inputs'!$B$5-'Mortgage Inputs'!$B$5,D932+'Offset Inputs'!$B$6))</f>
        <v/>
      </c>
    </row>
    <row r="933" spans="1:8" ht="22" customHeight="1">
      <c r="A933" s="1" t="str">
        <f>IF(AND('Mortgage Inputs'!$B$12,927&lt;=IF('Mortgage Inputs'!$B$12,'Mortgage Inputs'!$B$7,0)*12+600,ISNUMBER(G932),G932&gt;0.005),927,"")</f>
        <v/>
      </c>
      <c r="B933" s="4" t="str">
        <f>IF(A933="","",DATE(YEAR('Mortgage Inputs'!$B$8),MONTH('Mortgage Inputs'!$B$8)+A933,DAY('Mortgage Inputs'!$B$8)))</f>
        <v/>
      </c>
      <c r="C933" s="2" t="str">
        <f t="shared" si="43"/>
        <v/>
      </c>
      <c r="D933" s="2" t="str">
        <f t="shared" si="44"/>
        <v/>
      </c>
      <c r="E933" s="2" t="str">
        <f>IF(A933="","",MAX(0,(C933-MIN(D933,C933))*'Mortgage Inputs'!$B$15))</f>
        <v/>
      </c>
      <c r="F933" s="2" t="str">
        <f>IF(A933="","",IF(AND('Offset Inputs'!$B$5&gt;='Mortgage Inputs'!$B$5,'Mortgage Inputs'!$B$5&gt;0),C933,MIN(C933,MAX(0,'Mortgage Inputs'!$B$17-E933))))</f>
        <v/>
      </c>
      <c r="G933" s="2" t="str">
        <f t="shared" si="42"/>
        <v/>
      </c>
      <c r="H933" s="2" t="str">
        <f>IF(A933="","",IF(AND('Offset Inputs'!$B$5&gt;='Mortgage Inputs'!$B$5,'Mortgage Inputs'!$B$5&gt;0),'Offset Inputs'!$B$5-'Mortgage Inputs'!$B$5,D933+'Offset Inputs'!$B$6))</f>
        <v/>
      </c>
    </row>
    <row r="934" spans="1:8" ht="22" customHeight="1">
      <c r="A934" s="1" t="str">
        <f>IF(AND('Mortgage Inputs'!$B$12,928&lt;=IF('Mortgage Inputs'!$B$12,'Mortgage Inputs'!$B$7,0)*12+600,ISNUMBER(G933),G933&gt;0.005),928,"")</f>
        <v/>
      </c>
      <c r="B934" s="4" t="str">
        <f>IF(A934="","",DATE(YEAR('Mortgage Inputs'!$B$8),MONTH('Mortgage Inputs'!$B$8)+A934,DAY('Mortgage Inputs'!$B$8)))</f>
        <v/>
      </c>
      <c r="C934" s="2" t="str">
        <f t="shared" si="43"/>
        <v/>
      </c>
      <c r="D934" s="2" t="str">
        <f t="shared" si="44"/>
        <v/>
      </c>
      <c r="E934" s="2" t="str">
        <f>IF(A934="","",MAX(0,(C934-MIN(D934,C934))*'Mortgage Inputs'!$B$15))</f>
        <v/>
      </c>
      <c r="F934" s="2" t="str">
        <f>IF(A934="","",IF(AND('Offset Inputs'!$B$5&gt;='Mortgage Inputs'!$B$5,'Mortgage Inputs'!$B$5&gt;0),C934,MIN(C934,MAX(0,'Mortgage Inputs'!$B$17-E934))))</f>
        <v/>
      </c>
      <c r="G934" s="2" t="str">
        <f t="shared" si="42"/>
        <v/>
      </c>
      <c r="H934" s="2" t="str">
        <f>IF(A934="","",IF(AND('Offset Inputs'!$B$5&gt;='Mortgage Inputs'!$B$5,'Mortgage Inputs'!$B$5&gt;0),'Offset Inputs'!$B$5-'Mortgage Inputs'!$B$5,D934+'Offset Inputs'!$B$6))</f>
        <v/>
      </c>
    </row>
    <row r="935" spans="1:8" ht="22" customHeight="1">
      <c r="A935" s="1" t="str">
        <f>IF(AND('Mortgage Inputs'!$B$12,929&lt;=IF('Mortgage Inputs'!$B$12,'Mortgage Inputs'!$B$7,0)*12+600,ISNUMBER(G934),G934&gt;0.005),929,"")</f>
        <v/>
      </c>
      <c r="B935" s="4" t="str">
        <f>IF(A935="","",DATE(YEAR('Mortgage Inputs'!$B$8),MONTH('Mortgage Inputs'!$B$8)+A935,DAY('Mortgage Inputs'!$B$8)))</f>
        <v/>
      </c>
      <c r="C935" s="2" t="str">
        <f t="shared" si="43"/>
        <v/>
      </c>
      <c r="D935" s="2" t="str">
        <f t="shared" si="44"/>
        <v/>
      </c>
      <c r="E935" s="2" t="str">
        <f>IF(A935="","",MAX(0,(C935-MIN(D935,C935))*'Mortgage Inputs'!$B$15))</f>
        <v/>
      </c>
      <c r="F935" s="2" t="str">
        <f>IF(A935="","",IF(AND('Offset Inputs'!$B$5&gt;='Mortgage Inputs'!$B$5,'Mortgage Inputs'!$B$5&gt;0),C935,MIN(C935,MAX(0,'Mortgage Inputs'!$B$17-E935))))</f>
        <v/>
      </c>
      <c r="G935" s="2" t="str">
        <f t="shared" si="42"/>
        <v/>
      </c>
      <c r="H935" s="2" t="str">
        <f>IF(A935="","",IF(AND('Offset Inputs'!$B$5&gt;='Mortgage Inputs'!$B$5,'Mortgage Inputs'!$B$5&gt;0),'Offset Inputs'!$B$5-'Mortgage Inputs'!$B$5,D935+'Offset Inputs'!$B$6))</f>
        <v/>
      </c>
    </row>
    <row r="936" spans="1:8" ht="22" customHeight="1">
      <c r="A936" s="1" t="str">
        <f>IF(AND('Mortgage Inputs'!$B$12,930&lt;=IF('Mortgage Inputs'!$B$12,'Mortgage Inputs'!$B$7,0)*12+600,ISNUMBER(G935),G935&gt;0.005),930,"")</f>
        <v/>
      </c>
      <c r="B936" s="4" t="str">
        <f>IF(A936="","",DATE(YEAR('Mortgage Inputs'!$B$8),MONTH('Mortgage Inputs'!$B$8)+A936,DAY('Mortgage Inputs'!$B$8)))</f>
        <v/>
      </c>
      <c r="C936" s="2" t="str">
        <f t="shared" si="43"/>
        <v/>
      </c>
      <c r="D936" s="2" t="str">
        <f t="shared" si="44"/>
        <v/>
      </c>
      <c r="E936" s="2" t="str">
        <f>IF(A936="","",MAX(0,(C936-MIN(D936,C936))*'Mortgage Inputs'!$B$15))</f>
        <v/>
      </c>
      <c r="F936" s="2" t="str">
        <f>IF(A936="","",IF(AND('Offset Inputs'!$B$5&gt;='Mortgage Inputs'!$B$5,'Mortgage Inputs'!$B$5&gt;0),C936,MIN(C936,MAX(0,'Mortgage Inputs'!$B$17-E936))))</f>
        <v/>
      </c>
      <c r="G936" s="2" t="str">
        <f t="shared" si="42"/>
        <v/>
      </c>
      <c r="H936" s="2" t="str">
        <f>IF(A936="","",IF(AND('Offset Inputs'!$B$5&gt;='Mortgage Inputs'!$B$5,'Mortgage Inputs'!$B$5&gt;0),'Offset Inputs'!$B$5-'Mortgage Inputs'!$B$5,D936+'Offset Inputs'!$B$6))</f>
        <v/>
      </c>
    </row>
    <row r="937" spans="1:8" ht="22" customHeight="1">
      <c r="A937" s="1" t="str">
        <f>IF(AND('Mortgage Inputs'!$B$12,931&lt;=IF('Mortgage Inputs'!$B$12,'Mortgage Inputs'!$B$7,0)*12+600,ISNUMBER(G936),G936&gt;0.005),931,"")</f>
        <v/>
      </c>
      <c r="B937" s="4" t="str">
        <f>IF(A937="","",DATE(YEAR('Mortgage Inputs'!$B$8),MONTH('Mortgage Inputs'!$B$8)+A937,DAY('Mortgage Inputs'!$B$8)))</f>
        <v/>
      </c>
      <c r="C937" s="2" t="str">
        <f t="shared" si="43"/>
        <v/>
      </c>
      <c r="D937" s="2" t="str">
        <f t="shared" si="44"/>
        <v/>
      </c>
      <c r="E937" s="2" t="str">
        <f>IF(A937="","",MAX(0,(C937-MIN(D937,C937))*'Mortgage Inputs'!$B$15))</f>
        <v/>
      </c>
      <c r="F937" s="2" t="str">
        <f>IF(A937="","",IF(AND('Offset Inputs'!$B$5&gt;='Mortgage Inputs'!$B$5,'Mortgage Inputs'!$B$5&gt;0),C937,MIN(C937,MAX(0,'Mortgage Inputs'!$B$17-E937))))</f>
        <v/>
      </c>
      <c r="G937" s="2" t="str">
        <f t="shared" si="42"/>
        <v/>
      </c>
      <c r="H937" s="2" t="str">
        <f>IF(A937="","",IF(AND('Offset Inputs'!$B$5&gt;='Mortgage Inputs'!$B$5,'Mortgage Inputs'!$B$5&gt;0),'Offset Inputs'!$B$5-'Mortgage Inputs'!$B$5,D937+'Offset Inputs'!$B$6))</f>
        <v/>
      </c>
    </row>
    <row r="938" spans="1:8" ht="22" customHeight="1">
      <c r="A938" s="1" t="str">
        <f>IF(AND('Mortgage Inputs'!$B$12,932&lt;=IF('Mortgage Inputs'!$B$12,'Mortgage Inputs'!$B$7,0)*12+600,ISNUMBER(G937),G937&gt;0.005),932,"")</f>
        <v/>
      </c>
      <c r="B938" s="4" t="str">
        <f>IF(A938="","",DATE(YEAR('Mortgage Inputs'!$B$8),MONTH('Mortgage Inputs'!$B$8)+A938,DAY('Mortgage Inputs'!$B$8)))</f>
        <v/>
      </c>
      <c r="C938" s="2" t="str">
        <f t="shared" si="43"/>
        <v/>
      </c>
      <c r="D938" s="2" t="str">
        <f t="shared" si="44"/>
        <v/>
      </c>
      <c r="E938" s="2" t="str">
        <f>IF(A938="","",MAX(0,(C938-MIN(D938,C938))*'Mortgage Inputs'!$B$15))</f>
        <v/>
      </c>
      <c r="F938" s="2" t="str">
        <f>IF(A938="","",IF(AND('Offset Inputs'!$B$5&gt;='Mortgage Inputs'!$B$5,'Mortgage Inputs'!$B$5&gt;0),C938,MIN(C938,MAX(0,'Mortgage Inputs'!$B$17-E938))))</f>
        <v/>
      </c>
      <c r="G938" s="2" t="str">
        <f t="shared" si="42"/>
        <v/>
      </c>
      <c r="H938" s="2" t="str">
        <f>IF(A938="","",IF(AND('Offset Inputs'!$B$5&gt;='Mortgage Inputs'!$B$5,'Mortgage Inputs'!$B$5&gt;0),'Offset Inputs'!$B$5-'Mortgage Inputs'!$B$5,D938+'Offset Inputs'!$B$6))</f>
        <v/>
      </c>
    </row>
    <row r="939" spans="1:8" ht="22" customHeight="1">
      <c r="A939" s="1" t="str">
        <f>IF(AND('Mortgage Inputs'!$B$12,933&lt;=IF('Mortgage Inputs'!$B$12,'Mortgage Inputs'!$B$7,0)*12+600,ISNUMBER(G938),G938&gt;0.005),933,"")</f>
        <v/>
      </c>
      <c r="B939" s="4" t="str">
        <f>IF(A939="","",DATE(YEAR('Mortgage Inputs'!$B$8),MONTH('Mortgage Inputs'!$B$8)+A939,DAY('Mortgage Inputs'!$B$8)))</f>
        <v/>
      </c>
      <c r="C939" s="2" t="str">
        <f t="shared" si="43"/>
        <v/>
      </c>
      <c r="D939" s="2" t="str">
        <f t="shared" si="44"/>
        <v/>
      </c>
      <c r="E939" s="2" t="str">
        <f>IF(A939="","",MAX(0,(C939-MIN(D939,C939))*'Mortgage Inputs'!$B$15))</f>
        <v/>
      </c>
      <c r="F939" s="2" t="str">
        <f>IF(A939="","",IF(AND('Offset Inputs'!$B$5&gt;='Mortgage Inputs'!$B$5,'Mortgage Inputs'!$B$5&gt;0),C939,MIN(C939,MAX(0,'Mortgage Inputs'!$B$17-E939))))</f>
        <v/>
      </c>
      <c r="G939" s="2" t="str">
        <f t="shared" si="42"/>
        <v/>
      </c>
      <c r="H939" s="2" t="str">
        <f>IF(A939="","",IF(AND('Offset Inputs'!$B$5&gt;='Mortgage Inputs'!$B$5,'Mortgage Inputs'!$B$5&gt;0),'Offset Inputs'!$B$5-'Mortgage Inputs'!$B$5,D939+'Offset Inputs'!$B$6))</f>
        <v/>
      </c>
    </row>
    <row r="940" spans="1:8" ht="22" customHeight="1">
      <c r="A940" s="1" t="str">
        <f>IF(AND('Mortgage Inputs'!$B$12,934&lt;=IF('Mortgage Inputs'!$B$12,'Mortgage Inputs'!$B$7,0)*12+600,ISNUMBER(G939),G939&gt;0.005),934,"")</f>
        <v/>
      </c>
      <c r="B940" s="4" t="str">
        <f>IF(A940="","",DATE(YEAR('Mortgage Inputs'!$B$8),MONTH('Mortgage Inputs'!$B$8)+A940,DAY('Mortgage Inputs'!$B$8)))</f>
        <v/>
      </c>
      <c r="C940" s="2" t="str">
        <f t="shared" si="43"/>
        <v/>
      </c>
      <c r="D940" s="2" t="str">
        <f t="shared" si="44"/>
        <v/>
      </c>
      <c r="E940" s="2" t="str">
        <f>IF(A940="","",MAX(0,(C940-MIN(D940,C940))*'Mortgage Inputs'!$B$15))</f>
        <v/>
      </c>
      <c r="F940" s="2" t="str">
        <f>IF(A940="","",IF(AND('Offset Inputs'!$B$5&gt;='Mortgage Inputs'!$B$5,'Mortgage Inputs'!$B$5&gt;0),C940,MIN(C940,MAX(0,'Mortgage Inputs'!$B$17-E940))))</f>
        <v/>
      </c>
      <c r="G940" s="2" t="str">
        <f t="shared" si="42"/>
        <v/>
      </c>
      <c r="H940" s="2" t="str">
        <f>IF(A940="","",IF(AND('Offset Inputs'!$B$5&gt;='Mortgage Inputs'!$B$5,'Mortgage Inputs'!$B$5&gt;0),'Offset Inputs'!$B$5-'Mortgage Inputs'!$B$5,D940+'Offset Inputs'!$B$6))</f>
        <v/>
      </c>
    </row>
    <row r="941" spans="1:8" ht="22" customHeight="1">
      <c r="A941" s="1" t="str">
        <f>IF(AND('Mortgage Inputs'!$B$12,935&lt;=IF('Mortgage Inputs'!$B$12,'Mortgage Inputs'!$B$7,0)*12+600,ISNUMBER(G940),G940&gt;0.005),935,"")</f>
        <v/>
      </c>
      <c r="B941" s="4" t="str">
        <f>IF(A941="","",DATE(YEAR('Mortgage Inputs'!$B$8),MONTH('Mortgage Inputs'!$B$8)+A941,DAY('Mortgage Inputs'!$B$8)))</f>
        <v/>
      </c>
      <c r="C941" s="2" t="str">
        <f t="shared" si="43"/>
        <v/>
      </c>
      <c r="D941" s="2" t="str">
        <f t="shared" si="44"/>
        <v/>
      </c>
      <c r="E941" s="2" t="str">
        <f>IF(A941="","",MAX(0,(C941-MIN(D941,C941))*'Mortgage Inputs'!$B$15))</f>
        <v/>
      </c>
      <c r="F941" s="2" t="str">
        <f>IF(A941="","",IF(AND('Offset Inputs'!$B$5&gt;='Mortgage Inputs'!$B$5,'Mortgage Inputs'!$B$5&gt;0),C941,MIN(C941,MAX(0,'Mortgage Inputs'!$B$17-E941))))</f>
        <v/>
      </c>
      <c r="G941" s="2" t="str">
        <f t="shared" si="42"/>
        <v/>
      </c>
      <c r="H941" s="2" t="str">
        <f>IF(A941="","",IF(AND('Offset Inputs'!$B$5&gt;='Mortgage Inputs'!$B$5,'Mortgage Inputs'!$B$5&gt;0),'Offset Inputs'!$B$5-'Mortgage Inputs'!$B$5,D941+'Offset Inputs'!$B$6))</f>
        <v/>
      </c>
    </row>
    <row r="942" spans="1:8" ht="22" customHeight="1">
      <c r="A942" s="1" t="str">
        <f>IF(AND('Mortgage Inputs'!$B$12,936&lt;=IF('Mortgage Inputs'!$B$12,'Mortgage Inputs'!$B$7,0)*12+600,ISNUMBER(G941),G941&gt;0.005),936,"")</f>
        <v/>
      </c>
      <c r="B942" s="4" t="str">
        <f>IF(A942="","",DATE(YEAR('Mortgage Inputs'!$B$8),MONTH('Mortgage Inputs'!$B$8)+A942,DAY('Mortgage Inputs'!$B$8)))</f>
        <v/>
      </c>
      <c r="C942" s="2" t="str">
        <f t="shared" si="43"/>
        <v/>
      </c>
      <c r="D942" s="2" t="str">
        <f t="shared" si="44"/>
        <v/>
      </c>
      <c r="E942" s="2" t="str">
        <f>IF(A942="","",MAX(0,(C942-MIN(D942,C942))*'Mortgage Inputs'!$B$15))</f>
        <v/>
      </c>
      <c r="F942" s="2" t="str">
        <f>IF(A942="","",IF(AND('Offset Inputs'!$B$5&gt;='Mortgage Inputs'!$B$5,'Mortgage Inputs'!$B$5&gt;0),C942,MIN(C942,MAX(0,'Mortgage Inputs'!$B$17-E942))))</f>
        <v/>
      </c>
      <c r="G942" s="2" t="str">
        <f t="shared" si="42"/>
        <v/>
      </c>
      <c r="H942" s="2" t="str">
        <f>IF(A942="","",IF(AND('Offset Inputs'!$B$5&gt;='Mortgage Inputs'!$B$5,'Mortgage Inputs'!$B$5&gt;0),'Offset Inputs'!$B$5-'Mortgage Inputs'!$B$5,D942+'Offset Inputs'!$B$6))</f>
        <v/>
      </c>
    </row>
    <row r="943" spans="1:8" ht="22" customHeight="1">
      <c r="A943" s="1" t="str">
        <f>IF(AND('Mortgage Inputs'!$B$12,937&lt;=IF('Mortgage Inputs'!$B$12,'Mortgage Inputs'!$B$7,0)*12+600,ISNUMBER(G942),G942&gt;0.005),937,"")</f>
        <v/>
      </c>
      <c r="B943" s="4" t="str">
        <f>IF(A943="","",DATE(YEAR('Mortgage Inputs'!$B$8),MONTH('Mortgage Inputs'!$B$8)+A943,DAY('Mortgage Inputs'!$B$8)))</f>
        <v/>
      </c>
      <c r="C943" s="2" t="str">
        <f t="shared" si="43"/>
        <v/>
      </c>
      <c r="D943" s="2" t="str">
        <f t="shared" si="44"/>
        <v/>
      </c>
      <c r="E943" s="2" t="str">
        <f>IF(A943="","",MAX(0,(C943-MIN(D943,C943))*'Mortgage Inputs'!$B$15))</f>
        <v/>
      </c>
      <c r="F943" s="2" t="str">
        <f>IF(A943="","",IF(AND('Offset Inputs'!$B$5&gt;='Mortgage Inputs'!$B$5,'Mortgage Inputs'!$B$5&gt;0),C943,MIN(C943,MAX(0,'Mortgage Inputs'!$B$17-E943))))</f>
        <v/>
      </c>
      <c r="G943" s="2" t="str">
        <f t="shared" si="42"/>
        <v/>
      </c>
      <c r="H943" s="2" t="str">
        <f>IF(A943="","",IF(AND('Offset Inputs'!$B$5&gt;='Mortgage Inputs'!$B$5,'Mortgage Inputs'!$B$5&gt;0),'Offset Inputs'!$B$5-'Mortgage Inputs'!$B$5,D943+'Offset Inputs'!$B$6))</f>
        <v/>
      </c>
    </row>
    <row r="944" spans="1:8" ht="22" customHeight="1">
      <c r="A944" s="1" t="str">
        <f>IF(AND('Mortgage Inputs'!$B$12,938&lt;=IF('Mortgage Inputs'!$B$12,'Mortgage Inputs'!$B$7,0)*12+600,ISNUMBER(G943),G943&gt;0.005),938,"")</f>
        <v/>
      </c>
      <c r="B944" s="4" t="str">
        <f>IF(A944="","",DATE(YEAR('Mortgage Inputs'!$B$8),MONTH('Mortgage Inputs'!$B$8)+A944,DAY('Mortgage Inputs'!$B$8)))</f>
        <v/>
      </c>
      <c r="C944" s="2" t="str">
        <f t="shared" si="43"/>
        <v/>
      </c>
      <c r="D944" s="2" t="str">
        <f t="shared" si="44"/>
        <v/>
      </c>
      <c r="E944" s="2" t="str">
        <f>IF(A944="","",MAX(0,(C944-MIN(D944,C944))*'Mortgage Inputs'!$B$15))</f>
        <v/>
      </c>
      <c r="F944" s="2" t="str">
        <f>IF(A944="","",IF(AND('Offset Inputs'!$B$5&gt;='Mortgage Inputs'!$B$5,'Mortgage Inputs'!$B$5&gt;0),C944,MIN(C944,MAX(0,'Mortgage Inputs'!$B$17-E944))))</f>
        <v/>
      </c>
      <c r="G944" s="2" t="str">
        <f t="shared" si="42"/>
        <v/>
      </c>
      <c r="H944" s="2" t="str">
        <f>IF(A944="","",IF(AND('Offset Inputs'!$B$5&gt;='Mortgage Inputs'!$B$5,'Mortgage Inputs'!$B$5&gt;0),'Offset Inputs'!$B$5-'Mortgage Inputs'!$B$5,D944+'Offset Inputs'!$B$6))</f>
        <v/>
      </c>
    </row>
    <row r="945" spans="1:8" ht="22" customHeight="1">
      <c r="A945" s="1" t="str">
        <f>IF(AND('Mortgage Inputs'!$B$12,939&lt;=IF('Mortgage Inputs'!$B$12,'Mortgage Inputs'!$B$7,0)*12+600,ISNUMBER(G944),G944&gt;0.005),939,"")</f>
        <v/>
      </c>
      <c r="B945" s="4" t="str">
        <f>IF(A945="","",DATE(YEAR('Mortgage Inputs'!$B$8),MONTH('Mortgage Inputs'!$B$8)+A945,DAY('Mortgage Inputs'!$B$8)))</f>
        <v/>
      </c>
      <c r="C945" s="2" t="str">
        <f t="shared" si="43"/>
        <v/>
      </c>
      <c r="D945" s="2" t="str">
        <f t="shared" si="44"/>
        <v/>
      </c>
      <c r="E945" s="2" t="str">
        <f>IF(A945="","",MAX(0,(C945-MIN(D945,C945))*'Mortgage Inputs'!$B$15))</f>
        <v/>
      </c>
      <c r="F945" s="2" t="str">
        <f>IF(A945="","",IF(AND('Offset Inputs'!$B$5&gt;='Mortgage Inputs'!$B$5,'Mortgage Inputs'!$B$5&gt;0),C945,MIN(C945,MAX(0,'Mortgage Inputs'!$B$17-E945))))</f>
        <v/>
      </c>
      <c r="G945" s="2" t="str">
        <f t="shared" si="42"/>
        <v/>
      </c>
      <c r="H945" s="2" t="str">
        <f>IF(A945="","",IF(AND('Offset Inputs'!$B$5&gt;='Mortgage Inputs'!$B$5,'Mortgage Inputs'!$B$5&gt;0),'Offset Inputs'!$B$5-'Mortgage Inputs'!$B$5,D945+'Offset Inputs'!$B$6))</f>
        <v/>
      </c>
    </row>
    <row r="946" spans="1:8" ht="22" customHeight="1">
      <c r="A946" s="1" t="str">
        <f>IF(AND('Mortgage Inputs'!$B$12,940&lt;=IF('Mortgage Inputs'!$B$12,'Mortgage Inputs'!$B$7,0)*12+600,ISNUMBER(G945),G945&gt;0.005),940,"")</f>
        <v/>
      </c>
      <c r="B946" s="4" t="str">
        <f>IF(A946="","",DATE(YEAR('Mortgage Inputs'!$B$8),MONTH('Mortgage Inputs'!$B$8)+A946,DAY('Mortgage Inputs'!$B$8)))</f>
        <v/>
      </c>
      <c r="C946" s="2" t="str">
        <f t="shared" si="43"/>
        <v/>
      </c>
      <c r="D946" s="2" t="str">
        <f t="shared" si="44"/>
        <v/>
      </c>
      <c r="E946" s="2" t="str">
        <f>IF(A946="","",MAX(0,(C946-MIN(D946,C946))*'Mortgage Inputs'!$B$15))</f>
        <v/>
      </c>
      <c r="F946" s="2" t="str">
        <f>IF(A946="","",IF(AND('Offset Inputs'!$B$5&gt;='Mortgage Inputs'!$B$5,'Mortgage Inputs'!$B$5&gt;0),C946,MIN(C946,MAX(0,'Mortgage Inputs'!$B$17-E946))))</f>
        <v/>
      </c>
      <c r="G946" s="2" t="str">
        <f t="shared" si="42"/>
        <v/>
      </c>
      <c r="H946" s="2" t="str">
        <f>IF(A946="","",IF(AND('Offset Inputs'!$B$5&gt;='Mortgage Inputs'!$B$5,'Mortgage Inputs'!$B$5&gt;0),'Offset Inputs'!$B$5-'Mortgage Inputs'!$B$5,D946+'Offset Inputs'!$B$6))</f>
        <v/>
      </c>
    </row>
    <row r="947" spans="1:8" ht="22" customHeight="1">
      <c r="A947" s="1" t="str">
        <f>IF(AND('Mortgage Inputs'!$B$12,941&lt;=IF('Mortgage Inputs'!$B$12,'Mortgage Inputs'!$B$7,0)*12+600,ISNUMBER(G946),G946&gt;0.005),941,"")</f>
        <v/>
      </c>
      <c r="B947" s="4" t="str">
        <f>IF(A947="","",DATE(YEAR('Mortgage Inputs'!$B$8),MONTH('Mortgage Inputs'!$B$8)+A947,DAY('Mortgage Inputs'!$B$8)))</f>
        <v/>
      </c>
      <c r="C947" s="2" t="str">
        <f t="shared" si="43"/>
        <v/>
      </c>
      <c r="D947" s="2" t="str">
        <f t="shared" si="44"/>
        <v/>
      </c>
      <c r="E947" s="2" t="str">
        <f>IF(A947="","",MAX(0,(C947-MIN(D947,C947))*'Mortgage Inputs'!$B$15))</f>
        <v/>
      </c>
      <c r="F947" s="2" t="str">
        <f>IF(A947="","",IF(AND('Offset Inputs'!$B$5&gt;='Mortgage Inputs'!$B$5,'Mortgage Inputs'!$B$5&gt;0),C947,MIN(C947,MAX(0,'Mortgage Inputs'!$B$17-E947))))</f>
        <v/>
      </c>
      <c r="G947" s="2" t="str">
        <f t="shared" si="42"/>
        <v/>
      </c>
      <c r="H947" s="2" t="str">
        <f>IF(A947="","",IF(AND('Offset Inputs'!$B$5&gt;='Mortgage Inputs'!$B$5,'Mortgage Inputs'!$B$5&gt;0),'Offset Inputs'!$B$5-'Mortgage Inputs'!$B$5,D947+'Offset Inputs'!$B$6))</f>
        <v/>
      </c>
    </row>
    <row r="948" spans="1:8" ht="22" customHeight="1">
      <c r="A948" s="1" t="str">
        <f>IF(AND('Mortgage Inputs'!$B$12,942&lt;=IF('Mortgage Inputs'!$B$12,'Mortgage Inputs'!$B$7,0)*12+600,ISNUMBER(G947),G947&gt;0.005),942,"")</f>
        <v/>
      </c>
      <c r="B948" s="4" t="str">
        <f>IF(A948="","",DATE(YEAR('Mortgage Inputs'!$B$8),MONTH('Mortgage Inputs'!$B$8)+A948,DAY('Mortgage Inputs'!$B$8)))</f>
        <v/>
      </c>
      <c r="C948" s="2" t="str">
        <f t="shared" si="43"/>
        <v/>
      </c>
      <c r="D948" s="2" t="str">
        <f t="shared" si="44"/>
        <v/>
      </c>
      <c r="E948" s="2" t="str">
        <f>IF(A948="","",MAX(0,(C948-MIN(D948,C948))*'Mortgage Inputs'!$B$15))</f>
        <v/>
      </c>
      <c r="F948" s="2" t="str">
        <f>IF(A948="","",IF(AND('Offset Inputs'!$B$5&gt;='Mortgage Inputs'!$B$5,'Mortgage Inputs'!$B$5&gt;0),C948,MIN(C948,MAX(0,'Mortgage Inputs'!$B$17-E948))))</f>
        <v/>
      </c>
      <c r="G948" s="2" t="str">
        <f t="shared" si="42"/>
        <v/>
      </c>
      <c r="H948" s="2" t="str">
        <f>IF(A948="","",IF(AND('Offset Inputs'!$B$5&gt;='Mortgage Inputs'!$B$5,'Mortgage Inputs'!$B$5&gt;0),'Offset Inputs'!$B$5-'Mortgage Inputs'!$B$5,D948+'Offset Inputs'!$B$6))</f>
        <v/>
      </c>
    </row>
    <row r="949" spans="1:8" ht="22" customHeight="1">
      <c r="A949" s="1" t="str">
        <f>IF(AND('Mortgage Inputs'!$B$12,943&lt;=IF('Mortgage Inputs'!$B$12,'Mortgage Inputs'!$B$7,0)*12+600,ISNUMBER(G948),G948&gt;0.005),943,"")</f>
        <v/>
      </c>
      <c r="B949" s="4" t="str">
        <f>IF(A949="","",DATE(YEAR('Mortgage Inputs'!$B$8),MONTH('Mortgage Inputs'!$B$8)+A949,DAY('Mortgage Inputs'!$B$8)))</f>
        <v/>
      </c>
      <c r="C949" s="2" t="str">
        <f t="shared" si="43"/>
        <v/>
      </c>
      <c r="D949" s="2" t="str">
        <f t="shared" si="44"/>
        <v/>
      </c>
      <c r="E949" s="2" t="str">
        <f>IF(A949="","",MAX(0,(C949-MIN(D949,C949))*'Mortgage Inputs'!$B$15))</f>
        <v/>
      </c>
      <c r="F949" s="2" t="str">
        <f>IF(A949="","",IF(AND('Offset Inputs'!$B$5&gt;='Mortgage Inputs'!$B$5,'Mortgage Inputs'!$B$5&gt;0),C949,MIN(C949,MAX(0,'Mortgage Inputs'!$B$17-E949))))</f>
        <v/>
      </c>
      <c r="G949" s="2" t="str">
        <f t="shared" si="42"/>
        <v/>
      </c>
      <c r="H949" s="2" t="str">
        <f>IF(A949="","",IF(AND('Offset Inputs'!$B$5&gt;='Mortgage Inputs'!$B$5,'Mortgage Inputs'!$B$5&gt;0),'Offset Inputs'!$B$5-'Mortgage Inputs'!$B$5,D949+'Offset Inputs'!$B$6))</f>
        <v/>
      </c>
    </row>
    <row r="950" spans="1:8" ht="22" customHeight="1">
      <c r="A950" s="1" t="str">
        <f>IF(AND('Mortgage Inputs'!$B$12,944&lt;=IF('Mortgage Inputs'!$B$12,'Mortgage Inputs'!$B$7,0)*12+600,ISNUMBER(G949),G949&gt;0.005),944,"")</f>
        <v/>
      </c>
      <c r="B950" s="4" t="str">
        <f>IF(A950="","",DATE(YEAR('Mortgage Inputs'!$B$8),MONTH('Mortgage Inputs'!$B$8)+A950,DAY('Mortgage Inputs'!$B$8)))</f>
        <v/>
      </c>
      <c r="C950" s="2" t="str">
        <f t="shared" si="43"/>
        <v/>
      </c>
      <c r="D950" s="2" t="str">
        <f t="shared" si="44"/>
        <v/>
      </c>
      <c r="E950" s="2" t="str">
        <f>IF(A950="","",MAX(0,(C950-MIN(D950,C950))*'Mortgage Inputs'!$B$15))</f>
        <v/>
      </c>
      <c r="F950" s="2" t="str">
        <f>IF(A950="","",IF(AND('Offset Inputs'!$B$5&gt;='Mortgage Inputs'!$B$5,'Mortgage Inputs'!$B$5&gt;0),C950,MIN(C950,MAX(0,'Mortgage Inputs'!$B$17-E950))))</f>
        <v/>
      </c>
      <c r="G950" s="2" t="str">
        <f t="shared" si="42"/>
        <v/>
      </c>
      <c r="H950" s="2" t="str">
        <f>IF(A950="","",IF(AND('Offset Inputs'!$B$5&gt;='Mortgage Inputs'!$B$5,'Mortgage Inputs'!$B$5&gt;0),'Offset Inputs'!$B$5-'Mortgage Inputs'!$B$5,D950+'Offset Inputs'!$B$6))</f>
        <v/>
      </c>
    </row>
    <row r="951" spans="1:8" ht="22" customHeight="1">
      <c r="A951" s="1" t="str">
        <f>IF(AND('Mortgage Inputs'!$B$12,945&lt;=IF('Mortgage Inputs'!$B$12,'Mortgage Inputs'!$B$7,0)*12+600,ISNUMBER(G950),G950&gt;0.005),945,"")</f>
        <v/>
      </c>
      <c r="B951" s="4" t="str">
        <f>IF(A951="","",DATE(YEAR('Mortgage Inputs'!$B$8),MONTH('Mortgage Inputs'!$B$8)+A951,DAY('Mortgage Inputs'!$B$8)))</f>
        <v/>
      </c>
      <c r="C951" s="2" t="str">
        <f t="shared" si="43"/>
        <v/>
      </c>
      <c r="D951" s="2" t="str">
        <f t="shared" si="44"/>
        <v/>
      </c>
      <c r="E951" s="2" t="str">
        <f>IF(A951="","",MAX(0,(C951-MIN(D951,C951))*'Mortgage Inputs'!$B$15))</f>
        <v/>
      </c>
      <c r="F951" s="2" t="str">
        <f>IF(A951="","",IF(AND('Offset Inputs'!$B$5&gt;='Mortgage Inputs'!$B$5,'Mortgage Inputs'!$B$5&gt;0),C951,MIN(C951,MAX(0,'Mortgage Inputs'!$B$17-E951))))</f>
        <v/>
      </c>
      <c r="G951" s="2" t="str">
        <f t="shared" si="42"/>
        <v/>
      </c>
      <c r="H951" s="2" t="str">
        <f>IF(A951="","",IF(AND('Offset Inputs'!$B$5&gt;='Mortgage Inputs'!$B$5,'Mortgage Inputs'!$B$5&gt;0),'Offset Inputs'!$B$5-'Mortgage Inputs'!$B$5,D951+'Offset Inputs'!$B$6))</f>
        <v/>
      </c>
    </row>
    <row r="952" spans="1:8" ht="22" customHeight="1">
      <c r="A952" s="1" t="str">
        <f>IF(AND('Mortgage Inputs'!$B$12,946&lt;=IF('Mortgage Inputs'!$B$12,'Mortgage Inputs'!$B$7,0)*12+600,ISNUMBER(G951),G951&gt;0.005),946,"")</f>
        <v/>
      </c>
      <c r="B952" s="4" t="str">
        <f>IF(A952="","",DATE(YEAR('Mortgage Inputs'!$B$8),MONTH('Mortgage Inputs'!$B$8)+A952,DAY('Mortgage Inputs'!$B$8)))</f>
        <v/>
      </c>
      <c r="C952" s="2" t="str">
        <f t="shared" si="43"/>
        <v/>
      </c>
      <c r="D952" s="2" t="str">
        <f t="shared" si="44"/>
        <v/>
      </c>
      <c r="E952" s="2" t="str">
        <f>IF(A952="","",MAX(0,(C952-MIN(D952,C952))*'Mortgage Inputs'!$B$15))</f>
        <v/>
      </c>
      <c r="F952" s="2" t="str">
        <f>IF(A952="","",IF(AND('Offset Inputs'!$B$5&gt;='Mortgage Inputs'!$B$5,'Mortgage Inputs'!$B$5&gt;0),C952,MIN(C952,MAX(0,'Mortgage Inputs'!$B$17-E952))))</f>
        <v/>
      </c>
      <c r="G952" s="2" t="str">
        <f t="shared" si="42"/>
        <v/>
      </c>
      <c r="H952" s="2" t="str">
        <f>IF(A952="","",IF(AND('Offset Inputs'!$B$5&gt;='Mortgage Inputs'!$B$5,'Mortgage Inputs'!$B$5&gt;0),'Offset Inputs'!$B$5-'Mortgage Inputs'!$B$5,D952+'Offset Inputs'!$B$6))</f>
        <v/>
      </c>
    </row>
    <row r="953" spans="1:8" ht="22" customHeight="1">
      <c r="A953" s="1" t="str">
        <f>IF(AND('Mortgage Inputs'!$B$12,947&lt;=IF('Mortgage Inputs'!$B$12,'Mortgage Inputs'!$B$7,0)*12+600,ISNUMBER(G952),G952&gt;0.005),947,"")</f>
        <v/>
      </c>
      <c r="B953" s="4" t="str">
        <f>IF(A953="","",DATE(YEAR('Mortgage Inputs'!$B$8),MONTH('Mortgage Inputs'!$B$8)+A953,DAY('Mortgage Inputs'!$B$8)))</f>
        <v/>
      </c>
      <c r="C953" s="2" t="str">
        <f t="shared" si="43"/>
        <v/>
      </c>
      <c r="D953" s="2" t="str">
        <f t="shared" si="44"/>
        <v/>
      </c>
      <c r="E953" s="2" t="str">
        <f>IF(A953="","",MAX(0,(C953-MIN(D953,C953))*'Mortgage Inputs'!$B$15))</f>
        <v/>
      </c>
      <c r="F953" s="2" t="str">
        <f>IF(A953="","",IF(AND('Offset Inputs'!$B$5&gt;='Mortgage Inputs'!$B$5,'Mortgage Inputs'!$B$5&gt;0),C953,MIN(C953,MAX(0,'Mortgage Inputs'!$B$17-E953))))</f>
        <v/>
      </c>
      <c r="G953" s="2" t="str">
        <f t="shared" si="42"/>
        <v/>
      </c>
      <c r="H953" s="2" t="str">
        <f>IF(A953="","",IF(AND('Offset Inputs'!$B$5&gt;='Mortgage Inputs'!$B$5,'Mortgage Inputs'!$B$5&gt;0),'Offset Inputs'!$B$5-'Mortgage Inputs'!$B$5,D953+'Offset Inputs'!$B$6))</f>
        <v/>
      </c>
    </row>
    <row r="954" spans="1:8" ht="22" customHeight="1">
      <c r="A954" s="1" t="str">
        <f>IF(AND('Mortgage Inputs'!$B$12,948&lt;=IF('Mortgage Inputs'!$B$12,'Mortgage Inputs'!$B$7,0)*12+600,ISNUMBER(G953),G953&gt;0.005),948,"")</f>
        <v/>
      </c>
      <c r="B954" s="4" t="str">
        <f>IF(A954="","",DATE(YEAR('Mortgage Inputs'!$B$8),MONTH('Mortgage Inputs'!$B$8)+A954,DAY('Mortgage Inputs'!$B$8)))</f>
        <v/>
      </c>
      <c r="C954" s="2" t="str">
        <f t="shared" si="43"/>
        <v/>
      </c>
      <c r="D954" s="2" t="str">
        <f t="shared" si="44"/>
        <v/>
      </c>
      <c r="E954" s="2" t="str">
        <f>IF(A954="","",MAX(0,(C954-MIN(D954,C954))*'Mortgage Inputs'!$B$15))</f>
        <v/>
      </c>
      <c r="F954" s="2" t="str">
        <f>IF(A954="","",IF(AND('Offset Inputs'!$B$5&gt;='Mortgage Inputs'!$B$5,'Mortgage Inputs'!$B$5&gt;0),C954,MIN(C954,MAX(0,'Mortgage Inputs'!$B$17-E954))))</f>
        <v/>
      </c>
      <c r="G954" s="2" t="str">
        <f t="shared" si="42"/>
        <v/>
      </c>
      <c r="H954" s="2" t="str">
        <f>IF(A954="","",IF(AND('Offset Inputs'!$B$5&gt;='Mortgage Inputs'!$B$5,'Mortgage Inputs'!$B$5&gt;0),'Offset Inputs'!$B$5-'Mortgage Inputs'!$B$5,D954+'Offset Inputs'!$B$6))</f>
        <v/>
      </c>
    </row>
    <row r="955" spans="1:8" ht="22" customHeight="1">
      <c r="A955" s="1" t="str">
        <f>IF(AND('Mortgage Inputs'!$B$12,949&lt;=IF('Mortgage Inputs'!$B$12,'Mortgage Inputs'!$B$7,0)*12+600,ISNUMBER(G954),G954&gt;0.005),949,"")</f>
        <v/>
      </c>
      <c r="B955" s="4" t="str">
        <f>IF(A955="","",DATE(YEAR('Mortgage Inputs'!$B$8),MONTH('Mortgage Inputs'!$B$8)+A955,DAY('Mortgage Inputs'!$B$8)))</f>
        <v/>
      </c>
      <c r="C955" s="2" t="str">
        <f t="shared" si="43"/>
        <v/>
      </c>
      <c r="D955" s="2" t="str">
        <f t="shared" si="44"/>
        <v/>
      </c>
      <c r="E955" s="2" t="str">
        <f>IF(A955="","",MAX(0,(C955-MIN(D955,C955))*'Mortgage Inputs'!$B$15))</f>
        <v/>
      </c>
      <c r="F955" s="2" t="str">
        <f>IF(A955="","",IF(AND('Offset Inputs'!$B$5&gt;='Mortgage Inputs'!$B$5,'Mortgage Inputs'!$B$5&gt;0),C955,MIN(C955,MAX(0,'Mortgage Inputs'!$B$17-E955))))</f>
        <v/>
      </c>
      <c r="G955" s="2" t="str">
        <f t="shared" si="42"/>
        <v/>
      </c>
      <c r="H955" s="2" t="str">
        <f>IF(A955="","",IF(AND('Offset Inputs'!$B$5&gt;='Mortgage Inputs'!$B$5,'Mortgage Inputs'!$B$5&gt;0),'Offset Inputs'!$B$5-'Mortgage Inputs'!$B$5,D955+'Offset Inputs'!$B$6))</f>
        <v/>
      </c>
    </row>
    <row r="956" spans="1:8" ht="22" customHeight="1">
      <c r="A956" s="1" t="str">
        <f>IF(AND('Mortgage Inputs'!$B$12,950&lt;=IF('Mortgage Inputs'!$B$12,'Mortgage Inputs'!$B$7,0)*12+600,ISNUMBER(G955),G955&gt;0.005),950,"")</f>
        <v/>
      </c>
      <c r="B956" s="4" t="str">
        <f>IF(A956="","",DATE(YEAR('Mortgage Inputs'!$B$8),MONTH('Mortgage Inputs'!$B$8)+A956,DAY('Mortgage Inputs'!$B$8)))</f>
        <v/>
      </c>
      <c r="C956" s="2" t="str">
        <f t="shared" si="43"/>
        <v/>
      </c>
      <c r="D956" s="2" t="str">
        <f t="shared" si="44"/>
        <v/>
      </c>
      <c r="E956" s="2" t="str">
        <f>IF(A956="","",MAX(0,(C956-MIN(D956,C956))*'Mortgage Inputs'!$B$15))</f>
        <v/>
      </c>
      <c r="F956" s="2" t="str">
        <f>IF(A956="","",IF(AND('Offset Inputs'!$B$5&gt;='Mortgage Inputs'!$B$5,'Mortgage Inputs'!$B$5&gt;0),C956,MIN(C956,MAX(0,'Mortgage Inputs'!$B$17-E956))))</f>
        <v/>
      </c>
      <c r="G956" s="2" t="str">
        <f t="shared" si="42"/>
        <v/>
      </c>
      <c r="H956" s="2" t="str">
        <f>IF(A956="","",IF(AND('Offset Inputs'!$B$5&gt;='Mortgage Inputs'!$B$5,'Mortgage Inputs'!$B$5&gt;0),'Offset Inputs'!$B$5-'Mortgage Inputs'!$B$5,D956+'Offset Inputs'!$B$6))</f>
        <v/>
      </c>
    </row>
    <row r="957" spans="1:8" ht="22" customHeight="1">
      <c r="A957" s="1" t="str">
        <f>IF(AND('Mortgage Inputs'!$B$12,951&lt;=IF('Mortgage Inputs'!$B$12,'Mortgage Inputs'!$B$7,0)*12+600,ISNUMBER(G956),G956&gt;0.005),951,"")</f>
        <v/>
      </c>
      <c r="B957" s="4" t="str">
        <f>IF(A957="","",DATE(YEAR('Mortgage Inputs'!$B$8),MONTH('Mortgage Inputs'!$B$8)+A957,DAY('Mortgage Inputs'!$B$8)))</f>
        <v/>
      </c>
      <c r="C957" s="2" t="str">
        <f t="shared" si="43"/>
        <v/>
      </c>
      <c r="D957" s="2" t="str">
        <f t="shared" si="44"/>
        <v/>
      </c>
      <c r="E957" s="2" t="str">
        <f>IF(A957="","",MAX(0,(C957-MIN(D957,C957))*'Mortgage Inputs'!$B$15))</f>
        <v/>
      </c>
      <c r="F957" s="2" t="str">
        <f>IF(A957="","",IF(AND('Offset Inputs'!$B$5&gt;='Mortgage Inputs'!$B$5,'Mortgage Inputs'!$B$5&gt;0),C957,MIN(C957,MAX(0,'Mortgage Inputs'!$B$17-E957))))</f>
        <v/>
      </c>
      <c r="G957" s="2" t="str">
        <f t="shared" si="42"/>
        <v/>
      </c>
      <c r="H957" s="2" t="str">
        <f>IF(A957="","",IF(AND('Offset Inputs'!$B$5&gt;='Mortgage Inputs'!$B$5,'Mortgage Inputs'!$B$5&gt;0),'Offset Inputs'!$B$5-'Mortgage Inputs'!$B$5,D957+'Offset Inputs'!$B$6))</f>
        <v/>
      </c>
    </row>
    <row r="958" spans="1:8" ht="22" customHeight="1">
      <c r="A958" s="1" t="str">
        <f>IF(AND('Mortgage Inputs'!$B$12,952&lt;=IF('Mortgage Inputs'!$B$12,'Mortgage Inputs'!$B$7,0)*12+600,ISNUMBER(G957),G957&gt;0.005),952,"")</f>
        <v/>
      </c>
      <c r="B958" s="4" t="str">
        <f>IF(A958="","",DATE(YEAR('Mortgage Inputs'!$B$8),MONTH('Mortgage Inputs'!$B$8)+A958,DAY('Mortgage Inputs'!$B$8)))</f>
        <v/>
      </c>
      <c r="C958" s="2" t="str">
        <f t="shared" si="43"/>
        <v/>
      </c>
      <c r="D958" s="2" t="str">
        <f t="shared" si="44"/>
        <v/>
      </c>
      <c r="E958" s="2" t="str">
        <f>IF(A958="","",MAX(0,(C958-MIN(D958,C958))*'Mortgage Inputs'!$B$15))</f>
        <v/>
      </c>
      <c r="F958" s="2" t="str">
        <f>IF(A958="","",IF(AND('Offset Inputs'!$B$5&gt;='Mortgage Inputs'!$B$5,'Mortgage Inputs'!$B$5&gt;0),C958,MIN(C958,MAX(0,'Mortgage Inputs'!$B$17-E958))))</f>
        <v/>
      </c>
      <c r="G958" s="2" t="str">
        <f t="shared" si="42"/>
        <v/>
      </c>
      <c r="H958" s="2" t="str">
        <f>IF(A958="","",IF(AND('Offset Inputs'!$B$5&gt;='Mortgage Inputs'!$B$5,'Mortgage Inputs'!$B$5&gt;0),'Offset Inputs'!$B$5-'Mortgage Inputs'!$B$5,D958+'Offset Inputs'!$B$6))</f>
        <v/>
      </c>
    </row>
    <row r="959" spans="1:8" ht="22" customHeight="1">
      <c r="A959" s="1" t="str">
        <f>IF(AND('Mortgage Inputs'!$B$12,953&lt;=IF('Mortgage Inputs'!$B$12,'Mortgage Inputs'!$B$7,0)*12+600,ISNUMBER(G958),G958&gt;0.005),953,"")</f>
        <v/>
      </c>
      <c r="B959" s="4" t="str">
        <f>IF(A959="","",DATE(YEAR('Mortgage Inputs'!$B$8),MONTH('Mortgage Inputs'!$B$8)+A959,DAY('Mortgage Inputs'!$B$8)))</f>
        <v/>
      </c>
      <c r="C959" s="2" t="str">
        <f t="shared" si="43"/>
        <v/>
      </c>
      <c r="D959" s="2" t="str">
        <f t="shared" si="44"/>
        <v/>
      </c>
      <c r="E959" s="2" t="str">
        <f>IF(A959="","",MAX(0,(C959-MIN(D959,C959))*'Mortgage Inputs'!$B$15))</f>
        <v/>
      </c>
      <c r="F959" s="2" t="str">
        <f>IF(A959="","",IF(AND('Offset Inputs'!$B$5&gt;='Mortgage Inputs'!$B$5,'Mortgage Inputs'!$B$5&gt;0),C959,MIN(C959,MAX(0,'Mortgage Inputs'!$B$17-E959))))</f>
        <v/>
      </c>
      <c r="G959" s="2" t="str">
        <f t="shared" si="42"/>
        <v/>
      </c>
      <c r="H959" s="2" t="str">
        <f>IF(A959="","",IF(AND('Offset Inputs'!$B$5&gt;='Mortgage Inputs'!$B$5,'Mortgage Inputs'!$B$5&gt;0),'Offset Inputs'!$B$5-'Mortgage Inputs'!$B$5,D959+'Offset Inputs'!$B$6))</f>
        <v/>
      </c>
    </row>
    <row r="960" spans="1:8" ht="22" customHeight="1">
      <c r="A960" s="1" t="str">
        <f>IF(AND('Mortgage Inputs'!$B$12,954&lt;=IF('Mortgage Inputs'!$B$12,'Mortgage Inputs'!$B$7,0)*12+600,ISNUMBER(G959),G959&gt;0.005),954,"")</f>
        <v/>
      </c>
      <c r="B960" s="4" t="str">
        <f>IF(A960="","",DATE(YEAR('Mortgage Inputs'!$B$8),MONTH('Mortgage Inputs'!$B$8)+A960,DAY('Mortgage Inputs'!$B$8)))</f>
        <v/>
      </c>
      <c r="C960" s="2" t="str">
        <f t="shared" si="43"/>
        <v/>
      </c>
      <c r="D960" s="2" t="str">
        <f t="shared" si="44"/>
        <v/>
      </c>
      <c r="E960" s="2" t="str">
        <f>IF(A960="","",MAX(0,(C960-MIN(D960,C960))*'Mortgage Inputs'!$B$15))</f>
        <v/>
      </c>
      <c r="F960" s="2" t="str">
        <f>IF(A960="","",IF(AND('Offset Inputs'!$B$5&gt;='Mortgage Inputs'!$B$5,'Mortgage Inputs'!$B$5&gt;0),C960,MIN(C960,MAX(0,'Mortgage Inputs'!$B$17-E960))))</f>
        <v/>
      </c>
      <c r="G960" s="2" t="str">
        <f t="shared" si="42"/>
        <v/>
      </c>
      <c r="H960" s="2" t="str">
        <f>IF(A960="","",IF(AND('Offset Inputs'!$B$5&gt;='Mortgage Inputs'!$B$5,'Mortgage Inputs'!$B$5&gt;0),'Offset Inputs'!$B$5-'Mortgage Inputs'!$B$5,D960+'Offset Inputs'!$B$6))</f>
        <v/>
      </c>
    </row>
    <row r="961" spans="1:8" ht="22" customHeight="1">
      <c r="A961" s="1" t="str">
        <f>IF(AND('Mortgage Inputs'!$B$12,955&lt;=IF('Mortgage Inputs'!$B$12,'Mortgage Inputs'!$B$7,0)*12+600,ISNUMBER(G960),G960&gt;0.005),955,"")</f>
        <v/>
      </c>
      <c r="B961" s="4" t="str">
        <f>IF(A961="","",DATE(YEAR('Mortgage Inputs'!$B$8),MONTH('Mortgage Inputs'!$B$8)+A961,DAY('Mortgage Inputs'!$B$8)))</f>
        <v/>
      </c>
      <c r="C961" s="2" t="str">
        <f t="shared" si="43"/>
        <v/>
      </c>
      <c r="D961" s="2" t="str">
        <f t="shared" si="44"/>
        <v/>
      </c>
      <c r="E961" s="2" t="str">
        <f>IF(A961="","",MAX(0,(C961-MIN(D961,C961))*'Mortgage Inputs'!$B$15))</f>
        <v/>
      </c>
      <c r="F961" s="2" t="str">
        <f>IF(A961="","",IF(AND('Offset Inputs'!$B$5&gt;='Mortgage Inputs'!$B$5,'Mortgage Inputs'!$B$5&gt;0),C961,MIN(C961,MAX(0,'Mortgage Inputs'!$B$17-E961))))</f>
        <v/>
      </c>
      <c r="G961" s="2" t="str">
        <f t="shared" si="42"/>
        <v/>
      </c>
      <c r="H961" s="2" t="str">
        <f>IF(A961="","",IF(AND('Offset Inputs'!$B$5&gt;='Mortgage Inputs'!$B$5,'Mortgage Inputs'!$B$5&gt;0),'Offset Inputs'!$B$5-'Mortgage Inputs'!$B$5,D961+'Offset Inputs'!$B$6))</f>
        <v/>
      </c>
    </row>
    <row r="962" spans="1:8" ht="22" customHeight="1">
      <c r="A962" s="1" t="str">
        <f>IF(AND('Mortgage Inputs'!$B$12,956&lt;=IF('Mortgage Inputs'!$B$12,'Mortgage Inputs'!$B$7,0)*12+600,ISNUMBER(G961),G961&gt;0.005),956,"")</f>
        <v/>
      </c>
      <c r="B962" s="4" t="str">
        <f>IF(A962="","",DATE(YEAR('Mortgage Inputs'!$B$8),MONTH('Mortgage Inputs'!$B$8)+A962,DAY('Mortgage Inputs'!$B$8)))</f>
        <v/>
      </c>
      <c r="C962" s="2" t="str">
        <f t="shared" si="43"/>
        <v/>
      </c>
      <c r="D962" s="2" t="str">
        <f t="shared" si="44"/>
        <v/>
      </c>
      <c r="E962" s="2" t="str">
        <f>IF(A962="","",MAX(0,(C962-MIN(D962,C962))*'Mortgage Inputs'!$B$15))</f>
        <v/>
      </c>
      <c r="F962" s="2" t="str">
        <f>IF(A962="","",IF(AND('Offset Inputs'!$B$5&gt;='Mortgage Inputs'!$B$5,'Mortgage Inputs'!$B$5&gt;0),C962,MIN(C962,MAX(0,'Mortgage Inputs'!$B$17-E962))))</f>
        <v/>
      </c>
      <c r="G962" s="2" t="str">
        <f t="shared" si="42"/>
        <v/>
      </c>
      <c r="H962" s="2" t="str">
        <f>IF(A962="","",IF(AND('Offset Inputs'!$B$5&gt;='Mortgage Inputs'!$B$5,'Mortgage Inputs'!$B$5&gt;0),'Offset Inputs'!$B$5-'Mortgage Inputs'!$B$5,D962+'Offset Inputs'!$B$6))</f>
        <v/>
      </c>
    </row>
    <row r="963" spans="1:8" ht="22" customHeight="1">
      <c r="A963" s="1" t="str">
        <f>IF(AND('Mortgage Inputs'!$B$12,957&lt;=IF('Mortgage Inputs'!$B$12,'Mortgage Inputs'!$B$7,0)*12+600,ISNUMBER(G962),G962&gt;0.005),957,"")</f>
        <v/>
      </c>
      <c r="B963" s="4" t="str">
        <f>IF(A963="","",DATE(YEAR('Mortgage Inputs'!$B$8),MONTH('Mortgage Inputs'!$B$8)+A963,DAY('Mortgage Inputs'!$B$8)))</f>
        <v/>
      </c>
      <c r="C963" s="2" t="str">
        <f t="shared" si="43"/>
        <v/>
      </c>
      <c r="D963" s="2" t="str">
        <f t="shared" si="44"/>
        <v/>
      </c>
      <c r="E963" s="2" t="str">
        <f>IF(A963="","",MAX(0,(C963-MIN(D963,C963))*'Mortgage Inputs'!$B$15))</f>
        <v/>
      </c>
      <c r="F963" s="2" t="str">
        <f>IF(A963="","",IF(AND('Offset Inputs'!$B$5&gt;='Mortgage Inputs'!$B$5,'Mortgage Inputs'!$B$5&gt;0),C963,MIN(C963,MAX(0,'Mortgage Inputs'!$B$17-E963))))</f>
        <v/>
      </c>
      <c r="G963" s="2" t="str">
        <f t="shared" si="42"/>
        <v/>
      </c>
      <c r="H963" s="2" t="str">
        <f>IF(A963="","",IF(AND('Offset Inputs'!$B$5&gt;='Mortgage Inputs'!$B$5,'Mortgage Inputs'!$B$5&gt;0),'Offset Inputs'!$B$5-'Mortgage Inputs'!$B$5,D963+'Offset Inputs'!$B$6))</f>
        <v/>
      </c>
    </row>
    <row r="964" spans="1:8" ht="22" customHeight="1">
      <c r="A964" s="1" t="str">
        <f>IF(AND('Mortgage Inputs'!$B$12,958&lt;=IF('Mortgage Inputs'!$B$12,'Mortgage Inputs'!$B$7,0)*12+600,ISNUMBER(G963),G963&gt;0.005),958,"")</f>
        <v/>
      </c>
      <c r="B964" s="4" t="str">
        <f>IF(A964="","",DATE(YEAR('Mortgage Inputs'!$B$8),MONTH('Mortgage Inputs'!$B$8)+A964,DAY('Mortgage Inputs'!$B$8)))</f>
        <v/>
      </c>
      <c r="C964" s="2" t="str">
        <f t="shared" si="43"/>
        <v/>
      </c>
      <c r="D964" s="2" t="str">
        <f t="shared" si="44"/>
        <v/>
      </c>
      <c r="E964" s="2" t="str">
        <f>IF(A964="","",MAX(0,(C964-MIN(D964,C964))*'Mortgage Inputs'!$B$15))</f>
        <v/>
      </c>
      <c r="F964" s="2" t="str">
        <f>IF(A964="","",IF(AND('Offset Inputs'!$B$5&gt;='Mortgage Inputs'!$B$5,'Mortgage Inputs'!$B$5&gt;0),C964,MIN(C964,MAX(0,'Mortgage Inputs'!$B$17-E964))))</f>
        <v/>
      </c>
      <c r="G964" s="2" t="str">
        <f t="shared" si="42"/>
        <v/>
      </c>
      <c r="H964" s="2" t="str">
        <f>IF(A964="","",IF(AND('Offset Inputs'!$B$5&gt;='Mortgage Inputs'!$B$5,'Mortgage Inputs'!$B$5&gt;0),'Offset Inputs'!$B$5-'Mortgage Inputs'!$B$5,D964+'Offset Inputs'!$B$6))</f>
        <v/>
      </c>
    </row>
    <row r="965" spans="1:8" ht="22" customHeight="1">
      <c r="A965" s="1" t="str">
        <f>IF(AND('Mortgage Inputs'!$B$12,959&lt;=IF('Mortgage Inputs'!$B$12,'Mortgage Inputs'!$B$7,0)*12+600,ISNUMBER(G964),G964&gt;0.005),959,"")</f>
        <v/>
      </c>
      <c r="B965" s="4" t="str">
        <f>IF(A965="","",DATE(YEAR('Mortgage Inputs'!$B$8),MONTH('Mortgage Inputs'!$B$8)+A965,DAY('Mortgage Inputs'!$B$8)))</f>
        <v/>
      </c>
      <c r="C965" s="2" t="str">
        <f t="shared" si="43"/>
        <v/>
      </c>
      <c r="D965" s="2" t="str">
        <f t="shared" si="44"/>
        <v/>
      </c>
      <c r="E965" s="2" t="str">
        <f>IF(A965="","",MAX(0,(C965-MIN(D965,C965))*'Mortgage Inputs'!$B$15))</f>
        <v/>
      </c>
      <c r="F965" s="2" t="str">
        <f>IF(A965="","",IF(AND('Offset Inputs'!$B$5&gt;='Mortgage Inputs'!$B$5,'Mortgage Inputs'!$B$5&gt;0),C965,MIN(C965,MAX(0,'Mortgage Inputs'!$B$17-E965))))</f>
        <v/>
      </c>
      <c r="G965" s="2" t="str">
        <f t="shared" si="42"/>
        <v/>
      </c>
      <c r="H965" s="2" t="str">
        <f>IF(A965="","",IF(AND('Offset Inputs'!$B$5&gt;='Mortgage Inputs'!$B$5,'Mortgage Inputs'!$B$5&gt;0),'Offset Inputs'!$B$5-'Mortgage Inputs'!$B$5,D965+'Offset Inputs'!$B$6))</f>
        <v/>
      </c>
    </row>
    <row r="966" spans="1:8" ht="22" customHeight="1">
      <c r="A966" s="1" t="str">
        <f>IF(AND('Mortgage Inputs'!$B$12,960&lt;=IF('Mortgage Inputs'!$B$12,'Mortgage Inputs'!$B$7,0)*12+600,ISNUMBER(G965),G965&gt;0.005),960,"")</f>
        <v/>
      </c>
      <c r="B966" s="4" t="str">
        <f>IF(A966="","",DATE(YEAR('Mortgage Inputs'!$B$8),MONTH('Mortgage Inputs'!$B$8)+A966,DAY('Mortgage Inputs'!$B$8)))</f>
        <v/>
      </c>
      <c r="C966" s="2" t="str">
        <f t="shared" si="43"/>
        <v/>
      </c>
      <c r="D966" s="2" t="str">
        <f t="shared" si="44"/>
        <v/>
      </c>
      <c r="E966" s="2" t="str">
        <f>IF(A966="","",MAX(0,(C966-MIN(D966,C966))*'Mortgage Inputs'!$B$15))</f>
        <v/>
      </c>
      <c r="F966" s="2" t="str">
        <f>IF(A966="","",IF(AND('Offset Inputs'!$B$5&gt;='Mortgage Inputs'!$B$5,'Mortgage Inputs'!$B$5&gt;0),C966,MIN(C966,MAX(0,'Mortgage Inputs'!$B$17-E966))))</f>
        <v/>
      </c>
      <c r="G966" s="2" t="str">
        <f t="shared" si="42"/>
        <v/>
      </c>
      <c r="H966" s="2" t="str">
        <f>IF(A966="","",IF(AND('Offset Inputs'!$B$5&gt;='Mortgage Inputs'!$B$5,'Mortgage Inputs'!$B$5&gt;0),'Offset Inputs'!$B$5-'Mortgage Inputs'!$B$5,D966+'Offset Inputs'!$B$6))</f>
        <v/>
      </c>
    </row>
    <row r="967" spans="1:8" ht="22" customHeight="1">
      <c r="A967" s="1" t="str">
        <f>IF(AND('Mortgage Inputs'!$B$12,961&lt;=IF('Mortgage Inputs'!$B$12,'Mortgage Inputs'!$B$7,0)*12+600,ISNUMBER(G966),G966&gt;0.005),961,"")</f>
        <v/>
      </c>
      <c r="B967" s="4" t="str">
        <f>IF(A967="","",DATE(YEAR('Mortgage Inputs'!$B$8),MONTH('Mortgage Inputs'!$B$8)+A967,DAY('Mortgage Inputs'!$B$8)))</f>
        <v/>
      </c>
      <c r="C967" s="2" t="str">
        <f t="shared" si="43"/>
        <v/>
      </c>
      <c r="D967" s="2" t="str">
        <f t="shared" si="44"/>
        <v/>
      </c>
      <c r="E967" s="2" t="str">
        <f>IF(A967="","",MAX(0,(C967-MIN(D967,C967))*'Mortgage Inputs'!$B$15))</f>
        <v/>
      </c>
      <c r="F967" s="2" t="str">
        <f>IF(A967="","",IF(AND('Offset Inputs'!$B$5&gt;='Mortgage Inputs'!$B$5,'Mortgage Inputs'!$B$5&gt;0),C967,MIN(C967,MAX(0,'Mortgage Inputs'!$B$17-E967))))</f>
        <v/>
      </c>
      <c r="G967" s="2" t="str">
        <f t="shared" ref="G967:G1030" si="45">IF(A967="","",MAX(0,C967-F967))</f>
        <v/>
      </c>
      <c r="H967" s="2" t="str">
        <f>IF(A967="","",IF(AND('Offset Inputs'!$B$5&gt;='Mortgage Inputs'!$B$5,'Mortgage Inputs'!$B$5&gt;0),'Offset Inputs'!$B$5-'Mortgage Inputs'!$B$5,D967+'Offset Inputs'!$B$6))</f>
        <v/>
      </c>
    </row>
    <row r="968" spans="1:8" ht="22" customHeight="1">
      <c r="A968" s="1" t="str">
        <f>IF(AND('Mortgage Inputs'!$B$12,962&lt;=IF('Mortgage Inputs'!$B$12,'Mortgage Inputs'!$B$7,0)*12+600,ISNUMBER(G967),G967&gt;0.005),962,"")</f>
        <v/>
      </c>
      <c r="B968" s="4" t="str">
        <f>IF(A968="","",DATE(YEAR('Mortgage Inputs'!$B$8),MONTH('Mortgage Inputs'!$B$8)+A968,DAY('Mortgage Inputs'!$B$8)))</f>
        <v/>
      </c>
      <c r="C968" s="2" t="str">
        <f t="shared" ref="C968:C1031" si="46">IF(A968="","",G967)</f>
        <v/>
      </c>
      <c r="D968" s="2" t="str">
        <f t="shared" ref="D968:D1031" si="47">IF(A968="","",H967)</f>
        <v/>
      </c>
      <c r="E968" s="2" t="str">
        <f>IF(A968="","",MAX(0,(C968-MIN(D968,C968))*'Mortgage Inputs'!$B$15))</f>
        <v/>
      </c>
      <c r="F968" s="2" t="str">
        <f>IF(A968="","",IF(AND('Offset Inputs'!$B$5&gt;='Mortgage Inputs'!$B$5,'Mortgage Inputs'!$B$5&gt;0),C968,MIN(C968,MAX(0,'Mortgage Inputs'!$B$17-E968))))</f>
        <v/>
      </c>
      <c r="G968" s="2" t="str">
        <f t="shared" si="45"/>
        <v/>
      </c>
      <c r="H968" s="2" t="str">
        <f>IF(A968="","",IF(AND('Offset Inputs'!$B$5&gt;='Mortgage Inputs'!$B$5,'Mortgage Inputs'!$B$5&gt;0),'Offset Inputs'!$B$5-'Mortgage Inputs'!$B$5,D968+'Offset Inputs'!$B$6))</f>
        <v/>
      </c>
    </row>
    <row r="969" spans="1:8" ht="22" customHeight="1">
      <c r="A969" s="1" t="str">
        <f>IF(AND('Mortgage Inputs'!$B$12,963&lt;=IF('Mortgage Inputs'!$B$12,'Mortgage Inputs'!$B$7,0)*12+600,ISNUMBER(G968),G968&gt;0.005),963,"")</f>
        <v/>
      </c>
      <c r="B969" s="4" t="str">
        <f>IF(A969="","",DATE(YEAR('Mortgage Inputs'!$B$8),MONTH('Mortgage Inputs'!$B$8)+A969,DAY('Mortgage Inputs'!$B$8)))</f>
        <v/>
      </c>
      <c r="C969" s="2" t="str">
        <f t="shared" si="46"/>
        <v/>
      </c>
      <c r="D969" s="2" t="str">
        <f t="shared" si="47"/>
        <v/>
      </c>
      <c r="E969" s="2" t="str">
        <f>IF(A969="","",MAX(0,(C969-MIN(D969,C969))*'Mortgage Inputs'!$B$15))</f>
        <v/>
      </c>
      <c r="F969" s="2" t="str">
        <f>IF(A969="","",IF(AND('Offset Inputs'!$B$5&gt;='Mortgage Inputs'!$B$5,'Mortgage Inputs'!$B$5&gt;0),C969,MIN(C969,MAX(0,'Mortgage Inputs'!$B$17-E969))))</f>
        <v/>
      </c>
      <c r="G969" s="2" t="str">
        <f t="shared" si="45"/>
        <v/>
      </c>
      <c r="H969" s="2" t="str">
        <f>IF(A969="","",IF(AND('Offset Inputs'!$B$5&gt;='Mortgage Inputs'!$B$5,'Mortgage Inputs'!$B$5&gt;0),'Offset Inputs'!$B$5-'Mortgage Inputs'!$B$5,D969+'Offset Inputs'!$B$6))</f>
        <v/>
      </c>
    </row>
    <row r="970" spans="1:8" ht="22" customHeight="1">
      <c r="A970" s="1" t="str">
        <f>IF(AND('Mortgage Inputs'!$B$12,964&lt;=IF('Mortgage Inputs'!$B$12,'Mortgage Inputs'!$B$7,0)*12+600,ISNUMBER(G969),G969&gt;0.005),964,"")</f>
        <v/>
      </c>
      <c r="B970" s="4" t="str">
        <f>IF(A970="","",DATE(YEAR('Mortgage Inputs'!$B$8),MONTH('Mortgage Inputs'!$B$8)+A970,DAY('Mortgage Inputs'!$B$8)))</f>
        <v/>
      </c>
      <c r="C970" s="2" t="str">
        <f t="shared" si="46"/>
        <v/>
      </c>
      <c r="D970" s="2" t="str">
        <f t="shared" si="47"/>
        <v/>
      </c>
      <c r="E970" s="2" t="str">
        <f>IF(A970="","",MAX(0,(C970-MIN(D970,C970))*'Mortgage Inputs'!$B$15))</f>
        <v/>
      </c>
      <c r="F970" s="2" t="str">
        <f>IF(A970="","",IF(AND('Offset Inputs'!$B$5&gt;='Mortgage Inputs'!$B$5,'Mortgage Inputs'!$B$5&gt;0),C970,MIN(C970,MAX(0,'Mortgage Inputs'!$B$17-E970))))</f>
        <v/>
      </c>
      <c r="G970" s="2" t="str">
        <f t="shared" si="45"/>
        <v/>
      </c>
      <c r="H970" s="2" t="str">
        <f>IF(A970="","",IF(AND('Offset Inputs'!$B$5&gt;='Mortgage Inputs'!$B$5,'Mortgage Inputs'!$B$5&gt;0),'Offset Inputs'!$B$5-'Mortgage Inputs'!$B$5,D970+'Offset Inputs'!$B$6))</f>
        <v/>
      </c>
    </row>
    <row r="971" spans="1:8" ht="22" customHeight="1">
      <c r="A971" s="1" t="str">
        <f>IF(AND('Mortgage Inputs'!$B$12,965&lt;=IF('Mortgage Inputs'!$B$12,'Mortgage Inputs'!$B$7,0)*12+600,ISNUMBER(G970),G970&gt;0.005),965,"")</f>
        <v/>
      </c>
      <c r="B971" s="4" t="str">
        <f>IF(A971="","",DATE(YEAR('Mortgage Inputs'!$B$8),MONTH('Mortgage Inputs'!$B$8)+A971,DAY('Mortgage Inputs'!$B$8)))</f>
        <v/>
      </c>
      <c r="C971" s="2" t="str">
        <f t="shared" si="46"/>
        <v/>
      </c>
      <c r="D971" s="2" t="str">
        <f t="shared" si="47"/>
        <v/>
      </c>
      <c r="E971" s="2" t="str">
        <f>IF(A971="","",MAX(0,(C971-MIN(D971,C971))*'Mortgage Inputs'!$B$15))</f>
        <v/>
      </c>
      <c r="F971" s="2" t="str">
        <f>IF(A971="","",IF(AND('Offset Inputs'!$B$5&gt;='Mortgage Inputs'!$B$5,'Mortgage Inputs'!$B$5&gt;0),C971,MIN(C971,MAX(0,'Mortgage Inputs'!$B$17-E971))))</f>
        <v/>
      </c>
      <c r="G971" s="2" t="str">
        <f t="shared" si="45"/>
        <v/>
      </c>
      <c r="H971" s="2" t="str">
        <f>IF(A971="","",IF(AND('Offset Inputs'!$B$5&gt;='Mortgage Inputs'!$B$5,'Mortgage Inputs'!$B$5&gt;0),'Offset Inputs'!$B$5-'Mortgage Inputs'!$B$5,D971+'Offset Inputs'!$B$6))</f>
        <v/>
      </c>
    </row>
    <row r="972" spans="1:8" ht="22" customHeight="1">
      <c r="A972" s="1" t="str">
        <f>IF(AND('Mortgage Inputs'!$B$12,966&lt;=IF('Mortgage Inputs'!$B$12,'Mortgage Inputs'!$B$7,0)*12+600,ISNUMBER(G971),G971&gt;0.005),966,"")</f>
        <v/>
      </c>
      <c r="B972" s="4" t="str">
        <f>IF(A972="","",DATE(YEAR('Mortgage Inputs'!$B$8),MONTH('Mortgage Inputs'!$B$8)+A972,DAY('Mortgage Inputs'!$B$8)))</f>
        <v/>
      </c>
      <c r="C972" s="2" t="str">
        <f t="shared" si="46"/>
        <v/>
      </c>
      <c r="D972" s="2" t="str">
        <f t="shared" si="47"/>
        <v/>
      </c>
      <c r="E972" s="2" t="str">
        <f>IF(A972="","",MAX(0,(C972-MIN(D972,C972))*'Mortgage Inputs'!$B$15))</f>
        <v/>
      </c>
      <c r="F972" s="2" t="str">
        <f>IF(A972="","",IF(AND('Offset Inputs'!$B$5&gt;='Mortgage Inputs'!$B$5,'Mortgage Inputs'!$B$5&gt;0),C972,MIN(C972,MAX(0,'Mortgage Inputs'!$B$17-E972))))</f>
        <v/>
      </c>
      <c r="G972" s="2" t="str">
        <f t="shared" si="45"/>
        <v/>
      </c>
      <c r="H972" s="2" t="str">
        <f>IF(A972="","",IF(AND('Offset Inputs'!$B$5&gt;='Mortgage Inputs'!$B$5,'Mortgage Inputs'!$B$5&gt;0),'Offset Inputs'!$B$5-'Mortgage Inputs'!$B$5,D972+'Offset Inputs'!$B$6))</f>
        <v/>
      </c>
    </row>
    <row r="973" spans="1:8" ht="22" customHeight="1">
      <c r="A973" s="1" t="str">
        <f>IF(AND('Mortgage Inputs'!$B$12,967&lt;=IF('Mortgage Inputs'!$B$12,'Mortgage Inputs'!$B$7,0)*12+600,ISNUMBER(G972),G972&gt;0.005),967,"")</f>
        <v/>
      </c>
      <c r="B973" s="4" t="str">
        <f>IF(A973="","",DATE(YEAR('Mortgage Inputs'!$B$8),MONTH('Mortgage Inputs'!$B$8)+A973,DAY('Mortgage Inputs'!$B$8)))</f>
        <v/>
      </c>
      <c r="C973" s="2" t="str">
        <f t="shared" si="46"/>
        <v/>
      </c>
      <c r="D973" s="2" t="str">
        <f t="shared" si="47"/>
        <v/>
      </c>
      <c r="E973" s="2" t="str">
        <f>IF(A973="","",MAX(0,(C973-MIN(D973,C973))*'Mortgage Inputs'!$B$15))</f>
        <v/>
      </c>
      <c r="F973" s="2" t="str">
        <f>IF(A973="","",IF(AND('Offset Inputs'!$B$5&gt;='Mortgage Inputs'!$B$5,'Mortgage Inputs'!$B$5&gt;0),C973,MIN(C973,MAX(0,'Mortgage Inputs'!$B$17-E973))))</f>
        <v/>
      </c>
      <c r="G973" s="2" t="str">
        <f t="shared" si="45"/>
        <v/>
      </c>
      <c r="H973" s="2" t="str">
        <f>IF(A973="","",IF(AND('Offset Inputs'!$B$5&gt;='Mortgage Inputs'!$B$5,'Mortgage Inputs'!$B$5&gt;0),'Offset Inputs'!$B$5-'Mortgage Inputs'!$B$5,D973+'Offset Inputs'!$B$6))</f>
        <v/>
      </c>
    </row>
    <row r="974" spans="1:8" ht="22" customHeight="1">
      <c r="A974" s="1" t="str">
        <f>IF(AND('Mortgage Inputs'!$B$12,968&lt;=IF('Mortgage Inputs'!$B$12,'Mortgage Inputs'!$B$7,0)*12+600,ISNUMBER(G973),G973&gt;0.005),968,"")</f>
        <v/>
      </c>
      <c r="B974" s="4" t="str">
        <f>IF(A974="","",DATE(YEAR('Mortgage Inputs'!$B$8),MONTH('Mortgage Inputs'!$B$8)+A974,DAY('Mortgage Inputs'!$B$8)))</f>
        <v/>
      </c>
      <c r="C974" s="2" t="str">
        <f t="shared" si="46"/>
        <v/>
      </c>
      <c r="D974" s="2" t="str">
        <f t="shared" si="47"/>
        <v/>
      </c>
      <c r="E974" s="2" t="str">
        <f>IF(A974="","",MAX(0,(C974-MIN(D974,C974))*'Mortgage Inputs'!$B$15))</f>
        <v/>
      </c>
      <c r="F974" s="2" t="str">
        <f>IF(A974="","",IF(AND('Offset Inputs'!$B$5&gt;='Mortgage Inputs'!$B$5,'Mortgage Inputs'!$B$5&gt;0),C974,MIN(C974,MAX(0,'Mortgage Inputs'!$B$17-E974))))</f>
        <v/>
      </c>
      <c r="G974" s="2" t="str">
        <f t="shared" si="45"/>
        <v/>
      </c>
      <c r="H974" s="2" t="str">
        <f>IF(A974="","",IF(AND('Offset Inputs'!$B$5&gt;='Mortgage Inputs'!$B$5,'Mortgage Inputs'!$B$5&gt;0),'Offset Inputs'!$B$5-'Mortgage Inputs'!$B$5,D974+'Offset Inputs'!$B$6))</f>
        <v/>
      </c>
    </row>
    <row r="975" spans="1:8" ht="22" customHeight="1">
      <c r="A975" s="1" t="str">
        <f>IF(AND('Mortgage Inputs'!$B$12,969&lt;=IF('Mortgage Inputs'!$B$12,'Mortgage Inputs'!$B$7,0)*12+600,ISNUMBER(G974),G974&gt;0.005),969,"")</f>
        <v/>
      </c>
      <c r="B975" s="4" t="str">
        <f>IF(A975="","",DATE(YEAR('Mortgage Inputs'!$B$8),MONTH('Mortgage Inputs'!$B$8)+A975,DAY('Mortgage Inputs'!$B$8)))</f>
        <v/>
      </c>
      <c r="C975" s="2" t="str">
        <f t="shared" si="46"/>
        <v/>
      </c>
      <c r="D975" s="2" t="str">
        <f t="shared" si="47"/>
        <v/>
      </c>
      <c r="E975" s="2" t="str">
        <f>IF(A975="","",MAX(0,(C975-MIN(D975,C975))*'Mortgage Inputs'!$B$15))</f>
        <v/>
      </c>
      <c r="F975" s="2" t="str">
        <f>IF(A975="","",IF(AND('Offset Inputs'!$B$5&gt;='Mortgage Inputs'!$B$5,'Mortgage Inputs'!$B$5&gt;0),C975,MIN(C975,MAX(0,'Mortgage Inputs'!$B$17-E975))))</f>
        <v/>
      </c>
      <c r="G975" s="2" t="str">
        <f t="shared" si="45"/>
        <v/>
      </c>
      <c r="H975" s="2" t="str">
        <f>IF(A975="","",IF(AND('Offset Inputs'!$B$5&gt;='Mortgage Inputs'!$B$5,'Mortgage Inputs'!$B$5&gt;0),'Offset Inputs'!$B$5-'Mortgage Inputs'!$B$5,D975+'Offset Inputs'!$B$6))</f>
        <v/>
      </c>
    </row>
    <row r="976" spans="1:8" ht="22" customHeight="1">
      <c r="A976" s="1" t="str">
        <f>IF(AND('Mortgage Inputs'!$B$12,970&lt;=IF('Mortgage Inputs'!$B$12,'Mortgage Inputs'!$B$7,0)*12+600,ISNUMBER(G975),G975&gt;0.005),970,"")</f>
        <v/>
      </c>
      <c r="B976" s="4" t="str">
        <f>IF(A976="","",DATE(YEAR('Mortgage Inputs'!$B$8),MONTH('Mortgage Inputs'!$B$8)+A976,DAY('Mortgage Inputs'!$B$8)))</f>
        <v/>
      </c>
      <c r="C976" s="2" t="str">
        <f t="shared" si="46"/>
        <v/>
      </c>
      <c r="D976" s="2" t="str">
        <f t="shared" si="47"/>
        <v/>
      </c>
      <c r="E976" s="2" t="str">
        <f>IF(A976="","",MAX(0,(C976-MIN(D976,C976))*'Mortgage Inputs'!$B$15))</f>
        <v/>
      </c>
      <c r="F976" s="2" t="str">
        <f>IF(A976="","",IF(AND('Offset Inputs'!$B$5&gt;='Mortgage Inputs'!$B$5,'Mortgage Inputs'!$B$5&gt;0),C976,MIN(C976,MAX(0,'Mortgage Inputs'!$B$17-E976))))</f>
        <v/>
      </c>
      <c r="G976" s="2" t="str">
        <f t="shared" si="45"/>
        <v/>
      </c>
      <c r="H976" s="2" t="str">
        <f>IF(A976="","",IF(AND('Offset Inputs'!$B$5&gt;='Mortgage Inputs'!$B$5,'Mortgage Inputs'!$B$5&gt;0),'Offset Inputs'!$B$5-'Mortgage Inputs'!$B$5,D976+'Offset Inputs'!$B$6))</f>
        <v/>
      </c>
    </row>
    <row r="977" spans="1:8" ht="22" customHeight="1">
      <c r="A977" s="1" t="str">
        <f>IF(AND('Mortgage Inputs'!$B$12,971&lt;=IF('Mortgage Inputs'!$B$12,'Mortgage Inputs'!$B$7,0)*12+600,ISNUMBER(G976),G976&gt;0.005),971,"")</f>
        <v/>
      </c>
      <c r="B977" s="4" t="str">
        <f>IF(A977="","",DATE(YEAR('Mortgage Inputs'!$B$8),MONTH('Mortgage Inputs'!$B$8)+A977,DAY('Mortgage Inputs'!$B$8)))</f>
        <v/>
      </c>
      <c r="C977" s="2" t="str">
        <f t="shared" si="46"/>
        <v/>
      </c>
      <c r="D977" s="2" t="str">
        <f t="shared" si="47"/>
        <v/>
      </c>
      <c r="E977" s="2" t="str">
        <f>IF(A977="","",MAX(0,(C977-MIN(D977,C977))*'Mortgage Inputs'!$B$15))</f>
        <v/>
      </c>
      <c r="F977" s="2" t="str">
        <f>IF(A977="","",IF(AND('Offset Inputs'!$B$5&gt;='Mortgage Inputs'!$B$5,'Mortgage Inputs'!$B$5&gt;0),C977,MIN(C977,MAX(0,'Mortgage Inputs'!$B$17-E977))))</f>
        <v/>
      </c>
      <c r="G977" s="2" t="str">
        <f t="shared" si="45"/>
        <v/>
      </c>
      <c r="H977" s="2" t="str">
        <f>IF(A977="","",IF(AND('Offset Inputs'!$B$5&gt;='Mortgage Inputs'!$B$5,'Mortgage Inputs'!$B$5&gt;0),'Offset Inputs'!$B$5-'Mortgage Inputs'!$B$5,D977+'Offset Inputs'!$B$6))</f>
        <v/>
      </c>
    </row>
    <row r="978" spans="1:8" ht="22" customHeight="1">
      <c r="A978" s="1" t="str">
        <f>IF(AND('Mortgage Inputs'!$B$12,972&lt;=IF('Mortgage Inputs'!$B$12,'Mortgage Inputs'!$B$7,0)*12+600,ISNUMBER(G977),G977&gt;0.005),972,"")</f>
        <v/>
      </c>
      <c r="B978" s="4" t="str">
        <f>IF(A978="","",DATE(YEAR('Mortgage Inputs'!$B$8),MONTH('Mortgage Inputs'!$B$8)+A978,DAY('Mortgage Inputs'!$B$8)))</f>
        <v/>
      </c>
      <c r="C978" s="2" t="str">
        <f t="shared" si="46"/>
        <v/>
      </c>
      <c r="D978" s="2" t="str">
        <f t="shared" si="47"/>
        <v/>
      </c>
      <c r="E978" s="2" t="str">
        <f>IF(A978="","",MAX(0,(C978-MIN(D978,C978))*'Mortgage Inputs'!$B$15))</f>
        <v/>
      </c>
      <c r="F978" s="2" t="str">
        <f>IF(A978="","",IF(AND('Offset Inputs'!$B$5&gt;='Mortgage Inputs'!$B$5,'Mortgage Inputs'!$B$5&gt;0),C978,MIN(C978,MAX(0,'Mortgage Inputs'!$B$17-E978))))</f>
        <v/>
      </c>
      <c r="G978" s="2" t="str">
        <f t="shared" si="45"/>
        <v/>
      </c>
      <c r="H978" s="2" t="str">
        <f>IF(A978="","",IF(AND('Offset Inputs'!$B$5&gt;='Mortgage Inputs'!$B$5,'Mortgage Inputs'!$B$5&gt;0),'Offset Inputs'!$B$5-'Mortgage Inputs'!$B$5,D978+'Offset Inputs'!$B$6))</f>
        <v/>
      </c>
    </row>
    <row r="979" spans="1:8" ht="22" customHeight="1">
      <c r="A979" s="1" t="str">
        <f>IF(AND('Mortgage Inputs'!$B$12,973&lt;=IF('Mortgage Inputs'!$B$12,'Mortgage Inputs'!$B$7,0)*12+600,ISNUMBER(G978),G978&gt;0.005),973,"")</f>
        <v/>
      </c>
      <c r="B979" s="4" t="str">
        <f>IF(A979="","",DATE(YEAR('Mortgage Inputs'!$B$8),MONTH('Mortgage Inputs'!$B$8)+A979,DAY('Mortgage Inputs'!$B$8)))</f>
        <v/>
      </c>
      <c r="C979" s="2" t="str">
        <f t="shared" si="46"/>
        <v/>
      </c>
      <c r="D979" s="2" t="str">
        <f t="shared" si="47"/>
        <v/>
      </c>
      <c r="E979" s="2" t="str">
        <f>IF(A979="","",MAX(0,(C979-MIN(D979,C979))*'Mortgage Inputs'!$B$15))</f>
        <v/>
      </c>
      <c r="F979" s="2" t="str">
        <f>IF(A979="","",IF(AND('Offset Inputs'!$B$5&gt;='Mortgage Inputs'!$B$5,'Mortgage Inputs'!$B$5&gt;0),C979,MIN(C979,MAX(0,'Mortgage Inputs'!$B$17-E979))))</f>
        <v/>
      </c>
      <c r="G979" s="2" t="str">
        <f t="shared" si="45"/>
        <v/>
      </c>
      <c r="H979" s="2" t="str">
        <f>IF(A979="","",IF(AND('Offset Inputs'!$B$5&gt;='Mortgage Inputs'!$B$5,'Mortgage Inputs'!$B$5&gt;0),'Offset Inputs'!$B$5-'Mortgage Inputs'!$B$5,D979+'Offset Inputs'!$B$6))</f>
        <v/>
      </c>
    </row>
    <row r="980" spans="1:8" ht="22" customHeight="1">
      <c r="A980" s="1" t="str">
        <f>IF(AND('Mortgage Inputs'!$B$12,974&lt;=IF('Mortgage Inputs'!$B$12,'Mortgage Inputs'!$B$7,0)*12+600,ISNUMBER(G979),G979&gt;0.005),974,"")</f>
        <v/>
      </c>
      <c r="B980" s="4" t="str">
        <f>IF(A980="","",DATE(YEAR('Mortgage Inputs'!$B$8),MONTH('Mortgage Inputs'!$B$8)+A980,DAY('Mortgage Inputs'!$B$8)))</f>
        <v/>
      </c>
      <c r="C980" s="2" t="str">
        <f t="shared" si="46"/>
        <v/>
      </c>
      <c r="D980" s="2" t="str">
        <f t="shared" si="47"/>
        <v/>
      </c>
      <c r="E980" s="2" t="str">
        <f>IF(A980="","",MAX(0,(C980-MIN(D980,C980))*'Mortgage Inputs'!$B$15))</f>
        <v/>
      </c>
      <c r="F980" s="2" t="str">
        <f>IF(A980="","",IF(AND('Offset Inputs'!$B$5&gt;='Mortgage Inputs'!$B$5,'Mortgage Inputs'!$B$5&gt;0),C980,MIN(C980,MAX(0,'Mortgage Inputs'!$B$17-E980))))</f>
        <v/>
      </c>
      <c r="G980" s="2" t="str">
        <f t="shared" si="45"/>
        <v/>
      </c>
      <c r="H980" s="2" t="str">
        <f>IF(A980="","",IF(AND('Offset Inputs'!$B$5&gt;='Mortgage Inputs'!$B$5,'Mortgage Inputs'!$B$5&gt;0),'Offset Inputs'!$B$5-'Mortgage Inputs'!$B$5,D980+'Offset Inputs'!$B$6))</f>
        <v/>
      </c>
    </row>
    <row r="981" spans="1:8" ht="22" customHeight="1">
      <c r="A981" s="1" t="str">
        <f>IF(AND('Mortgage Inputs'!$B$12,975&lt;=IF('Mortgage Inputs'!$B$12,'Mortgage Inputs'!$B$7,0)*12+600,ISNUMBER(G980),G980&gt;0.005),975,"")</f>
        <v/>
      </c>
      <c r="B981" s="4" t="str">
        <f>IF(A981="","",DATE(YEAR('Mortgage Inputs'!$B$8),MONTH('Mortgage Inputs'!$B$8)+A981,DAY('Mortgage Inputs'!$B$8)))</f>
        <v/>
      </c>
      <c r="C981" s="2" t="str">
        <f t="shared" si="46"/>
        <v/>
      </c>
      <c r="D981" s="2" t="str">
        <f t="shared" si="47"/>
        <v/>
      </c>
      <c r="E981" s="2" t="str">
        <f>IF(A981="","",MAX(0,(C981-MIN(D981,C981))*'Mortgage Inputs'!$B$15))</f>
        <v/>
      </c>
      <c r="F981" s="2" t="str">
        <f>IF(A981="","",IF(AND('Offset Inputs'!$B$5&gt;='Mortgage Inputs'!$B$5,'Mortgage Inputs'!$B$5&gt;0),C981,MIN(C981,MAX(0,'Mortgage Inputs'!$B$17-E981))))</f>
        <v/>
      </c>
      <c r="G981" s="2" t="str">
        <f t="shared" si="45"/>
        <v/>
      </c>
      <c r="H981" s="2" t="str">
        <f>IF(A981="","",IF(AND('Offset Inputs'!$B$5&gt;='Mortgage Inputs'!$B$5,'Mortgage Inputs'!$B$5&gt;0),'Offset Inputs'!$B$5-'Mortgage Inputs'!$B$5,D981+'Offset Inputs'!$B$6))</f>
        <v/>
      </c>
    </row>
    <row r="982" spans="1:8" ht="22" customHeight="1">
      <c r="A982" s="1" t="str">
        <f>IF(AND('Mortgage Inputs'!$B$12,976&lt;=IF('Mortgage Inputs'!$B$12,'Mortgage Inputs'!$B$7,0)*12+600,ISNUMBER(G981),G981&gt;0.005),976,"")</f>
        <v/>
      </c>
      <c r="B982" s="4" t="str">
        <f>IF(A982="","",DATE(YEAR('Mortgage Inputs'!$B$8),MONTH('Mortgage Inputs'!$B$8)+A982,DAY('Mortgage Inputs'!$B$8)))</f>
        <v/>
      </c>
      <c r="C982" s="2" t="str">
        <f t="shared" si="46"/>
        <v/>
      </c>
      <c r="D982" s="2" t="str">
        <f t="shared" si="47"/>
        <v/>
      </c>
      <c r="E982" s="2" t="str">
        <f>IF(A982="","",MAX(0,(C982-MIN(D982,C982))*'Mortgage Inputs'!$B$15))</f>
        <v/>
      </c>
      <c r="F982" s="2" t="str">
        <f>IF(A982="","",IF(AND('Offset Inputs'!$B$5&gt;='Mortgage Inputs'!$B$5,'Mortgage Inputs'!$B$5&gt;0),C982,MIN(C982,MAX(0,'Mortgage Inputs'!$B$17-E982))))</f>
        <v/>
      </c>
      <c r="G982" s="2" t="str">
        <f t="shared" si="45"/>
        <v/>
      </c>
      <c r="H982" s="2" t="str">
        <f>IF(A982="","",IF(AND('Offset Inputs'!$B$5&gt;='Mortgage Inputs'!$B$5,'Mortgage Inputs'!$B$5&gt;0),'Offset Inputs'!$B$5-'Mortgage Inputs'!$B$5,D982+'Offset Inputs'!$B$6))</f>
        <v/>
      </c>
    </row>
    <row r="983" spans="1:8" ht="22" customHeight="1">
      <c r="A983" s="1" t="str">
        <f>IF(AND('Mortgage Inputs'!$B$12,977&lt;=IF('Mortgage Inputs'!$B$12,'Mortgage Inputs'!$B$7,0)*12+600,ISNUMBER(G982),G982&gt;0.005),977,"")</f>
        <v/>
      </c>
      <c r="B983" s="4" t="str">
        <f>IF(A983="","",DATE(YEAR('Mortgage Inputs'!$B$8),MONTH('Mortgage Inputs'!$B$8)+A983,DAY('Mortgage Inputs'!$B$8)))</f>
        <v/>
      </c>
      <c r="C983" s="2" t="str">
        <f t="shared" si="46"/>
        <v/>
      </c>
      <c r="D983" s="2" t="str">
        <f t="shared" si="47"/>
        <v/>
      </c>
      <c r="E983" s="2" t="str">
        <f>IF(A983="","",MAX(0,(C983-MIN(D983,C983))*'Mortgage Inputs'!$B$15))</f>
        <v/>
      </c>
      <c r="F983" s="2" t="str">
        <f>IF(A983="","",IF(AND('Offset Inputs'!$B$5&gt;='Mortgage Inputs'!$B$5,'Mortgage Inputs'!$B$5&gt;0),C983,MIN(C983,MAX(0,'Mortgage Inputs'!$B$17-E983))))</f>
        <v/>
      </c>
      <c r="G983" s="2" t="str">
        <f t="shared" si="45"/>
        <v/>
      </c>
      <c r="H983" s="2" t="str">
        <f>IF(A983="","",IF(AND('Offset Inputs'!$B$5&gt;='Mortgage Inputs'!$B$5,'Mortgage Inputs'!$B$5&gt;0),'Offset Inputs'!$B$5-'Mortgage Inputs'!$B$5,D983+'Offset Inputs'!$B$6))</f>
        <v/>
      </c>
    </row>
    <row r="984" spans="1:8" ht="22" customHeight="1">
      <c r="A984" s="1" t="str">
        <f>IF(AND('Mortgage Inputs'!$B$12,978&lt;=IF('Mortgage Inputs'!$B$12,'Mortgage Inputs'!$B$7,0)*12+600,ISNUMBER(G983),G983&gt;0.005),978,"")</f>
        <v/>
      </c>
      <c r="B984" s="4" t="str">
        <f>IF(A984="","",DATE(YEAR('Mortgage Inputs'!$B$8),MONTH('Mortgage Inputs'!$B$8)+A984,DAY('Mortgage Inputs'!$B$8)))</f>
        <v/>
      </c>
      <c r="C984" s="2" t="str">
        <f t="shared" si="46"/>
        <v/>
      </c>
      <c r="D984" s="2" t="str">
        <f t="shared" si="47"/>
        <v/>
      </c>
      <c r="E984" s="2" t="str">
        <f>IF(A984="","",MAX(0,(C984-MIN(D984,C984))*'Mortgage Inputs'!$B$15))</f>
        <v/>
      </c>
      <c r="F984" s="2" t="str">
        <f>IF(A984="","",IF(AND('Offset Inputs'!$B$5&gt;='Mortgage Inputs'!$B$5,'Mortgage Inputs'!$B$5&gt;0),C984,MIN(C984,MAX(0,'Mortgage Inputs'!$B$17-E984))))</f>
        <v/>
      </c>
      <c r="G984" s="2" t="str">
        <f t="shared" si="45"/>
        <v/>
      </c>
      <c r="H984" s="2" t="str">
        <f>IF(A984="","",IF(AND('Offset Inputs'!$B$5&gt;='Mortgage Inputs'!$B$5,'Mortgage Inputs'!$B$5&gt;0),'Offset Inputs'!$B$5-'Mortgage Inputs'!$B$5,D984+'Offset Inputs'!$B$6))</f>
        <v/>
      </c>
    </row>
    <row r="985" spans="1:8" ht="22" customHeight="1">
      <c r="A985" s="1" t="str">
        <f>IF(AND('Mortgage Inputs'!$B$12,979&lt;=IF('Mortgage Inputs'!$B$12,'Mortgage Inputs'!$B$7,0)*12+600,ISNUMBER(G984),G984&gt;0.005),979,"")</f>
        <v/>
      </c>
      <c r="B985" s="4" t="str">
        <f>IF(A985="","",DATE(YEAR('Mortgage Inputs'!$B$8),MONTH('Mortgage Inputs'!$B$8)+A985,DAY('Mortgage Inputs'!$B$8)))</f>
        <v/>
      </c>
      <c r="C985" s="2" t="str">
        <f t="shared" si="46"/>
        <v/>
      </c>
      <c r="D985" s="2" t="str">
        <f t="shared" si="47"/>
        <v/>
      </c>
      <c r="E985" s="2" t="str">
        <f>IF(A985="","",MAX(0,(C985-MIN(D985,C985))*'Mortgage Inputs'!$B$15))</f>
        <v/>
      </c>
      <c r="F985" s="2" t="str">
        <f>IF(A985="","",IF(AND('Offset Inputs'!$B$5&gt;='Mortgage Inputs'!$B$5,'Mortgage Inputs'!$B$5&gt;0),C985,MIN(C985,MAX(0,'Mortgage Inputs'!$B$17-E985))))</f>
        <v/>
      </c>
      <c r="G985" s="2" t="str">
        <f t="shared" si="45"/>
        <v/>
      </c>
      <c r="H985" s="2" t="str">
        <f>IF(A985="","",IF(AND('Offset Inputs'!$B$5&gt;='Mortgage Inputs'!$B$5,'Mortgage Inputs'!$B$5&gt;0),'Offset Inputs'!$B$5-'Mortgage Inputs'!$B$5,D985+'Offset Inputs'!$B$6))</f>
        <v/>
      </c>
    </row>
    <row r="986" spans="1:8" ht="22" customHeight="1">
      <c r="A986" s="1" t="str">
        <f>IF(AND('Mortgage Inputs'!$B$12,980&lt;=IF('Mortgage Inputs'!$B$12,'Mortgage Inputs'!$B$7,0)*12+600,ISNUMBER(G985),G985&gt;0.005),980,"")</f>
        <v/>
      </c>
      <c r="B986" s="4" t="str">
        <f>IF(A986="","",DATE(YEAR('Mortgage Inputs'!$B$8),MONTH('Mortgage Inputs'!$B$8)+A986,DAY('Mortgage Inputs'!$B$8)))</f>
        <v/>
      </c>
      <c r="C986" s="2" t="str">
        <f t="shared" si="46"/>
        <v/>
      </c>
      <c r="D986" s="2" t="str">
        <f t="shared" si="47"/>
        <v/>
      </c>
      <c r="E986" s="2" t="str">
        <f>IF(A986="","",MAX(0,(C986-MIN(D986,C986))*'Mortgage Inputs'!$B$15))</f>
        <v/>
      </c>
      <c r="F986" s="2" t="str">
        <f>IF(A986="","",IF(AND('Offset Inputs'!$B$5&gt;='Mortgage Inputs'!$B$5,'Mortgage Inputs'!$B$5&gt;0),C986,MIN(C986,MAX(0,'Mortgage Inputs'!$B$17-E986))))</f>
        <v/>
      </c>
      <c r="G986" s="2" t="str">
        <f t="shared" si="45"/>
        <v/>
      </c>
      <c r="H986" s="2" t="str">
        <f>IF(A986="","",IF(AND('Offset Inputs'!$B$5&gt;='Mortgage Inputs'!$B$5,'Mortgage Inputs'!$B$5&gt;0),'Offset Inputs'!$B$5-'Mortgage Inputs'!$B$5,D986+'Offset Inputs'!$B$6))</f>
        <v/>
      </c>
    </row>
    <row r="987" spans="1:8" ht="22" customHeight="1">
      <c r="A987" s="1" t="str">
        <f>IF(AND('Mortgage Inputs'!$B$12,981&lt;=IF('Mortgage Inputs'!$B$12,'Mortgage Inputs'!$B$7,0)*12+600,ISNUMBER(G986),G986&gt;0.005),981,"")</f>
        <v/>
      </c>
      <c r="B987" s="4" t="str">
        <f>IF(A987="","",DATE(YEAR('Mortgage Inputs'!$B$8),MONTH('Mortgage Inputs'!$B$8)+A987,DAY('Mortgage Inputs'!$B$8)))</f>
        <v/>
      </c>
      <c r="C987" s="2" t="str">
        <f t="shared" si="46"/>
        <v/>
      </c>
      <c r="D987" s="2" t="str">
        <f t="shared" si="47"/>
        <v/>
      </c>
      <c r="E987" s="2" t="str">
        <f>IF(A987="","",MAX(0,(C987-MIN(D987,C987))*'Mortgage Inputs'!$B$15))</f>
        <v/>
      </c>
      <c r="F987" s="2" t="str">
        <f>IF(A987="","",IF(AND('Offset Inputs'!$B$5&gt;='Mortgage Inputs'!$B$5,'Mortgage Inputs'!$B$5&gt;0),C987,MIN(C987,MAX(0,'Mortgage Inputs'!$B$17-E987))))</f>
        <v/>
      </c>
      <c r="G987" s="2" t="str">
        <f t="shared" si="45"/>
        <v/>
      </c>
      <c r="H987" s="2" t="str">
        <f>IF(A987="","",IF(AND('Offset Inputs'!$B$5&gt;='Mortgage Inputs'!$B$5,'Mortgage Inputs'!$B$5&gt;0),'Offset Inputs'!$B$5-'Mortgage Inputs'!$B$5,D987+'Offset Inputs'!$B$6))</f>
        <v/>
      </c>
    </row>
    <row r="988" spans="1:8" ht="22" customHeight="1">
      <c r="A988" s="1" t="str">
        <f>IF(AND('Mortgage Inputs'!$B$12,982&lt;=IF('Mortgage Inputs'!$B$12,'Mortgage Inputs'!$B$7,0)*12+600,ISNUMBER(G987),G987&gt;0.005),982,"")</f>
        <v/>
      </c>
      <c r="B988" s="4" t="str">
        <f>IF(A988="","",DATE(YEAR('Mortgage Inputs'!$B$8),MONTH('Mortgage Inputs'!$B$8)+A988,DAY('Mortgage Inputs'!$B$8)))</f>
        <v/>
      </c>
      <c r="C988" s="2" t="str">
        <f t="shared" si="46"/>
        <v/>
      </c>
      <c r="D988" s="2" t="str">
        <f t="shared" si="47"/>
        <v/>
      </c>
      <c r="E988" s="2" t="str">
        <f>IF(A988="","",MAX(0,(C988-MIN(D988,C988))*'Mortgage Inputs'!$B$15))</f>
        <v/>
      </c>
      <c r="F988" s="2" t="str">
        <f>IF(A988="","",IF(AND('Offset Inputs'!$B$5&gt;='Mortgage Inputs'!$B$5,'Mortgage Inputs'!$B$5&gt;0),C988,MIN(C988,MAX(0,'Mortgage Inputs'!$B$17-E988))))</f>
        <v/>
      </c>
      <c r="G988" s="2" t="str">
        <f t="shared" si="45"/>
        <v/>
      </c>
      <c r="H988" s="2" t="str">
        <f>IF(A988="","",IF(AND('Offset Inputs'!$B$5&gt;='Mortgage Inputs'!$B$5,'Mortgage Inputs'!$B$5&gt;0),'Offset Inputs'!$B$5-'Mortgage Inputs'!$B$5,D988+'Offset Inputs'!$B$6))</f>
        <v/>
      </c>
    </row>
    <row r="989" spans="1:8" ht="22" customHeight="1">
      <c r="A989" s="1" t="str">
        <f>IF(AND('Mortgage Inputs'!$B$12,983&lt;=IF('Mortgage Inputs'!$B$12,'Mortgage Inputs'!$B$7,0)*12+600,ISNUMBER(G988),G988&gt;0.005),983,"")</f>
        <v/>
      </c>
      <c r="B989" s="4" t="str">
        <f>IF(A989="","",DATE(YEAR('Mortgage Inputs'!$B$8),MONTH('Mortgage Inputs'!$B$8)+A989,DAY('Mortgage Inputs'!$B$8)))</f>
        <v/>
      </c>
      <c r="C989" s="2" t="str">
        <f t="shared" si="46"/>
        <v/>
      </c>
      <c r="D989" s="2" t="str">
        <f t="shared" si="47"/>
        <v/>
      </c>
      <c r="E989" s="2" t="str">
        <f>IF(A989="","",MAX(0,(C989-MIN(D989,C989))*'Mortgage Inputs'!$B$15))</f>
        <v/>
      </c>
      <c r="F989" s="2" t="str">
        <f>IF(A989="","",IF(AND('Offset Inputs'!$B$5&gt;='Mortgage Inputs'!$B$5,'Mortgage Inputs'!$B$5&gt;0),C989,MIN(C989,MAX(0,'Mortgage Inputs'!$B$17-E989))))</f>
        <v/>
      </c>
      <c r="G989" s="2" t="str">
        <f t="shared" si="45"/>
        <v/>
      </c>
      <c r="H989" s="2" t="str">
        <f>IF(A989="","",IF(AND('Offset Inputs'!$B$5&gt;='Mortgage Inputs'!$B$5,'Mortgage Inputs'!$B$5&gt;0),'Offset Inputs'!$B$5-'Mortgage Inputs'!$B$5,D989+'Offset Inputs'!$B$6))</f>
        <v/>
      </c>
    </row>
    <row r="990" spans="1:8" ht="22" customHeight="1">
      <c r="A990" s="1" t="str">
        <f>IF(AND('Mortgage Inputs'!$B$12,984&lt;=IF('Mortgage Inputs'!$B$12,'Mortgage Inputs'!$B$7,0)*12+600,ISNUMBER(G989),G989&gt;0.005),984,"")</f>
        <v/>
      </c>
      <c r="B990" s="4" t="str">
        <f>IF(A990="","",DATE(YEAR('Mortgage Inputs'!$B$8),MONTH('Mortgage Inputs'!$B$8)+A990,DAY('Mortgage Inputs'!$B$8)))</f>
        <v/>
      </c>
      <c r="C990" s="2" t="str">
        <f t="shared" si="46"/>
        <v/>
      </c>
      <c r="D990" s="2" t="str">
        <f t="shared" si="47"/>
        <v/>
      </c>
      <c r="E990" s="2" t="str">
        <f>IF(A990="","",MAX(0,(C990-MIN(D990,C990))*'Mortgage Inputs'!$B$15))</f>
        <v/>
      </c>
      <c r="F990" s="2" t="str">
        <f>IF(A990="","",IF(AND('Offset Inputs'!$B$5&gt;='Mortgage Inputs'!$B$5,'Mortgage Inputs'!$B$5&gt;0),C990,MIN(C990,MAX(0,'Mortgage Inputs'!$B$17-E990))))</f>
        <v/>
      </c>
      <c r="G990" s="2" t="str">
        <f t="shared" si="45"/>
        <v/>
      </c>
      <c r="H990" s="2" t="str">
        <f>IF(A990="","",IF(AND('Offset Inputs'!$B$5&gt;='Mortgage Inputs'!$B$5,'Mortgage Inputs'!$B$5&gt;0),'Offset Inputs'!$B$5-'Mortgage Inputs'!$B$5,D990+'Offset Inputs'!$B$6))</f>
        <v/>
      </c>
    </row>
    <row r="991" spans="1:8" ht="22" customHeight="1">
      <c r="A991" s="1" t="str">
        <f>IF(AND('Mortgage Inputs'!$B$12,985&lt;=IF('Mortgage Inputs'!$B$12,'Mortgage Inputs'!$B$7,0)*12+600,ISNUMBER(G990),G990&gt;0.005),985,"")</f>
        <v/>
      </c>
      <c r="B991" s="4" t="str">
        <f>IF(A991="","",DATE(YEAR('Mortgage Inputs'!$B$8),MONTH('Mortgage Inputs'!$B$8)+A991,DAY('Mortgage Inputs'!$B$8)))</f>
        <v/>
      </c>
      <c r="C991" s="2" t="str">
        <f t="shared" si="46"/>
        <v/>
      </c>
      <c r="D991" s="2" t="str">
        <f t="shared" si="47"/>
        <v/>
      </c>
      <c r="E991" s="2" t="str">
        <f>IF(A991="","",MAX(0,(C991-MIN(D991,C991))*'Mortgage Inputs'!$B$15))</f>
        <v/>
      </c>
      <c r="F991" s="2" t="str">
        <f>IF(A991="","",IF(AND('Offset Inputs'!$B$5&gt;='Mortgage Inputs'!$B$5,'Mortgage Inputs'!$B$5&gt;0),C991,MIN(C991,MAX(0,'Mortgage Inputs'!$B$17-E991))))</f>
        <v/>
      </c>
      <c r="G991" s="2" t="str">
        <f t="shared" si="45"/>
        <v/>
      </c>
      <c r="H991" s="2" t="str">
        <f>IF(A991="","",IF(AND('Offset Inputs'!$B$5&gt;='Mortgage Inputs'!$B$5,'Mortgage Inputs'!$B$5&gt;0),'Offset Inputs'!$B$5-'Mortgage Inputs'!$B$5,D991+'Offset Inputs'!$B$6))</f>
        <v/>
      </c>
    </row>
    <row r="992" spans="1:8" ht="22" customHeight="1">
      <c r="A992" s="1" t="str">
        <f>IF(AND('Mortgage Inputs'!$B$12,986&lt;=IF('Mortgage Inputs'!$B$12,'Mortgage Inputs'!$B$7,0)*12+600,ISNUMBER(G991),G991&gt;0.005),986,"")</f>
        <v/>
      </c>
      <c r="B992" s="4" t="str">
        <f>IF(A992="","",DATE(YEAR('Mortgage Inputs'!$B$8),MONTH('Mortgage Inputs'!$B$8)+A992,DAY('Mortgage Inputs'!$B$8)))</f>
        <v/>
      </c>
      <c r="C992" s="2" t="str">
        <f t="shared" si="46"/>
        <v/>
      </c>
      <c r="D992" s="2" t="str">
        <f t="shared" si="47"/>
        <v/>
      </c>
      <c r="E992" s="2" t="str">
        <f>IF(A992="","",MAX(0,(C992-MIN(D992,C992))*'Mortgage Inputs'!$B$15))</f>
        <v/>
      </c>
      <c r="F992" s="2" t="str">
        <f>IF(A992="","",IF(AND('Offset Inputs'!$B$5&gt;='Mortgage Inputs'!$B$5,'Mortgage Inputs'!$B$5&gt;0),C992,MIN(C992,MAX(0,'Mortgage Inputs'!$B$17-E992))))</f>
        <v/>
      </c>
      <c r="G992" s="2" t="str">
        <f t="shared" si="45"/>
        <v/>
      </c>
      <c r="H992" s="2" t="str">
        <f>IF(A992="","",IF(AND('Offset Inputs'!$B$5&gt;='Mortgage Inputs'!$B$5,'Mortgage Inputs'!$B$5&gt;0),'Offset Inputs'!$B$5-'Mortgage Inputs'!$B$5,D992+'Offset Inputs'!$B$6))</f>
        <v/>
      </c>
    </row>
    <row r="993" spans="1:8" ht="22" customHeight="1">
      <c r="A993" s="1" t="str">
        <f>IF(AND('Mortgage Inputs'!$B$12,987&lt;=IF('Mortgage Inputs'!$B$12,'Mortgage Inputs'!$B$7,0)*12+600,ISNUMBER(G992),G992&gt;0.005),987,"")</f>
        <v/>
      </c>
      <c r="B993" s="4" t="str">
        <f>IF(A993="","",DATE(YEAR('Mortgage Inputs'!$B$8),MONTH('Mortgage Inputs'!$B$8)+A993,DAY('Mortgage Inputs'!$B$8)))</f>
        <v/>
      </c>
      <c r="C993" s="2" t="str">
        <f t="shared" si="46"/>
        <v/>
      </c>
      <c r="D993" s="2" t="str">
        <f t="shared" si="47"/>
        <v/>
      </c>
      <c r="E993" s="2" t="str">
        <f>IF(A993="","",MAX(0,(C993-MIN(D993,C993))*'Mortgage Inputs'!$B$15))</f>
        <v/>
      </c>
      <c r="F993" s="2" t="str">
        <f>IF(A993="","",IF(AND('Offset Inputs'!$B$5&gt;='Mortgage Inputs'!$B$5,'Mortgage Inputs'!$B$5&gt;0),C993,MIN(C993,MAX(0,'Mortgage Inputs'!$B$17-E993))))</f>
        <v/>
      </c>
      <c r="G993" s="2" t="str">
        <f t="shared" si="45"/>
        <v/>
      </c>
      <c r="H993" s="2" t="str">
        <f>IF(A993="","",IF(AND('Offset Inputs'!$B$5&gt;='Mortgage Inputs'!$B$5,'Mortgage Inputs'!$B$5&gt;0),'Offset Inputs'!$B$5-'Mortgage Inputs'!$B$5,D993+'Offset Inputs'!$B$6))</f>
        <v/>
      </c>
    </row>
    <row r="994" spans="1:8" ht="22" customHeight="1">
      <c r="A994" s="1" t="str">
        <f>IF(AND('Mortgage Inputs'!$B$12,988&lt;=IF('Mortgage Inputs'!$B$12,'Mortgage Inputs'!$B$7,0)*12+600,ISNUMBER(G993),G993&gt;0.005),988,"")</f>
        <v/>
      </c>
      <c r="B994" s="4" t="str">
        <f>IF(A994="","",DATE(YEAR('Mortgage Inputs'!$B$8),MONTH('Mortgage Inputs'!$B$8)+A994,DAY('Mortgage Inputs'!$B$8)))</f>
        <v/>
      </c>
      <c r="C994" s="2" t="str">
        <f t="shared" si="46"/>
        <v/>
      </c>
      <c r="D994" s="2" t="str">
        <f t="shared" si="47"/>
        <v/>
      </c>
      <c r="E994" s="2" t="str">
        <f>IF(A994="","",MAX(0,(C994-MIN(D994,C994))*'Mortgage Inputs'!$B$15))</f>
        <v/>
      </c>
      <c r="F994" s="2" t="str">
        <f>IF(A994="","",IF(AND('Offset Inputs'!$B$5&gt;='Mortgage Inputs'!$B$5,'Mortgage Inputs'!$B$5&gt;0),C994,MIN(C994,MAX(0,'Mortgage Inputs'!$B$17-E994))))</f>
        <v/>
      </c>
      <c r="G994" s="2" t="str">
        <f t="shared" si="45"/>
        <v/>
      </c>
      <c r="H994" s="2" t="str">
        <f>IF(A994="","",IF(AND('Offset Inputs'!$B$5&gt;='Mortgage Inputs'!$B$5,'Mortgage Inputs'!$B$5&gt;0),'Offset Inputs'!$B$5-'Mortgage Inputs'!$B$5,D994+'Offset Inputs'!$B$6))</f>
        <v/>
      </c>
    </row>
    <row r="995" spans="1:8" ht="22" customHeight="1">
      <c r="A995" s="1" t="str">
        <f>IF(AND('Mortgage Inputs'!$B$12,989&lt;=IF('Mortgage Inputs'!$B$12,'Mortgage Inputs'!$B$7,0)*12+600,ISNUMBER(G994),G994&gt;0.005),989,"")</f>
        <v/>
      </c>
      <c r="B995" s="4" t="str">
        <f>IF(A995="","",DATE(YEAR('Mortgage Inputs'!$B$8),MONTH('Mortgage Inputs'!$B$8)+A995,DAY('Mortgage Inputs'!$B$8)))</f>
        <v/>
      </c>
      <c r="C995" s="2" t="str">
        <f t="shared" si="46"/>
        <v/>
      </c>
      <c r="D995" s="2" t="str">
        <f t="shared" si="47"/>
        <v/>
      </c>
      <c r="E995" s="2" t="str">
        <f>IF(A995="","",MAX(0,(C995-MIN(D995,C995))*'Mortgage Inputs'!$B$15))</f>
        <v/>
      </c>
      <c r="F995" s="2" t="str">
        <f>IF(A995="","",IF(AND('Offset Inputs'!$B$5&gt;='Mortgage Inputs'!$B$5,'Mortgage Inputs'!$B$5&gt;0),C995,MIN(C995,MAX(0,'Mortgage Inputs'!$B$17-E995))))</f>
        <v/>
      </c>
      <c r="G995" s="2" t="str">
        <f t="shared" si="45"/>
        <v/>
      </c>
      <c r="H995" s="2" t="str">
        <f>IF(A995="","",IF(AND('Offset Inputs'!$B$5&gt;='Mortgage Inputs'!$B$5,'Mortgage Inputs'!$B$5&gt;0),'Offset Inputs'!$B$5-'Mortgage Inputs'!$B$5,D995+'Offset Inputs'!$B$6))</f>
        <v/>
      </c>
    </row>
    <row r="996" spans="1:8" ht="22" customHeight="1">
      <c r="A996" s="1" t="str">
        <f>IF(AND('Mortgage Inputs'!$B$12,990&lt;=IF('Mortgage Inputs'!$B$12,'Mortgage Inputs'!$B$7,0)*12+600,ISNUMBER(G995),G995&gt;0.005),990,"")</f>
        <v/>
      </c>
      <c r="B996" s="4" t="str">
        <f>IF(A996="","",DATE(YEAR('Mortgage Inputs'!$B$8),MONTH('Mortgage Inputs'!$B$8)+A996,DAY('Mortgage Inputs'!$B$8)))</f>
        <v/>
      </c>
      <c r="C996" s="2" t="str">
        <f t="shared" si="46"/>
        <v/>
      </c>
      <c r="D996" s="2" t="str">
        <f t="shared" si="47"/>
        <v/>
      </c>
      <c r="E996" s="2" t="str">
        <f>IF(A996="","",MAX(0,(C996-MIN(D996,C996))*'Mortgage Inputs'!$B$15))</f>
        <v/>
      </c>
      <c r="F996" s="2" t="str">
        <f>IF(A996="","",IF(AND('Offset Inputs'!$B$5&gt;='Mortgage Inputs'!$B$5,'Mortgage Inputs'!$B$5&gt;0),C996,MIN(C996,MAX(0,'Mortgage Inputs'!$B$17-E996))))</f>
        <v/>
      </c>
      <c r="G996" s="2" t="str">
        <f t="shared" si="45"/>
        <v/>
      </c>
      <c r="H996" s="2" t="str">
        <f>IF(A996="","",IF(AND('Offset Inputs'!$B$5&gt;='Mortgage Inputs'!$B$5,'Mortgage Inputs'!$B$5&gt;0),'Offset Inputs'!$B$5-'Mortgage Inputs'!$B$5,D996+'Offset Inputs'!$B$6))</f>
        <v/>
      </c>
    </row>
    <row r="997" spans="1:8" ht="22" customHeight="1">
      <c r="A997" s="1" t="str">
        <f>IF(AND('Mortgage Inputs'!$B$12,991&lt;=IF('Mortgage Inputs'!$B$12,'Mortgage Inputs'!$B$7,0)*12+600,ISNUMBER(G996),G996&gt;0.005),991,"")</f>
        <v/>
      </c>
      <c r="B997" s="4" t="str">
        <f>IF(A997="","",DATE(YEAR('Mortgage Inputs'!$B$8),MONTH('Mortgage Inputs'!$B$8)+A997,DAY('Mortgage Inputs'!$B$8)))</f>
        <v/>
      </c>
      <c r="C997" s="2" t="str">
        <f t="shared" si="46"/>
        <v/>
      </c>
      <c r="D997" s="2" t="str">
        <f t="shared" si="47"/>
        <v/>
      </c>
      <c r="E997" s="2" t="str">
        <f>IF(A997="","",MAX(0,(C997-MIN(D997,C997))*'Mortgage Inputs'!$B$15))</f>
        <v/>
      </c>
      <c r="F997" s="2" t="str">
        <f>IF(A997="","",IF(AND('Offset Inputs'!$B$5&gt;='Mortgage Inputs'!$B$5,'Mortgage Inputs'!$B$5&gt;0),C997,MIN(C997,MAX(0,'Mortgage Inputs'!$B$17-E997))))</f>
        <v/>
      </c>
      <c r="G997" s="2" t="str">
        <f t="shared" si="45"/>
        <v/>
      </c>
      <c r="H997" s="2" t="str">
        <f>IF(A997="","",IF(AND('Offset Inputs'!$B$5&gt;='Mortgage Inputs'!$B$5,'Mortgage Inputs'!$B$5&gt;0),'Offset Inputs'!$B$5-'Mortgage Inputs'!$B$5,D997+'Offset Inputs'!$B$6))</f>
        <v/>
      </c>
    </row>
    <row r="998" spans="1:8" ht="22" customHeight="1">
      <c r="A998" s="1" t="str">
        <f>IF(AND('Mortgage Inputs'!$B$12,992&lt;=IF('Mortgage Inputs'!$B$12,'Mortgage Inputs'!$B$7,0)*12+600,ISNUMBER(G997),G997&gt;0.005),992,"")</f>
        <v/>
      </c>
      <c r="B998" s="4" t="str">
        <f>IF(A998="","",DATE(YEAR('Mortgage Inputs'!$B$8),MONTH('Mortgage Inputs'!$B$8)+A998,DAY('Mortgage Inputs'!$B$8)))</f>
        <v/>
      </c>
      <c r="C998" s="2" t="str">
        <f t="shared" si="46"/>
        <v/>
      </c>
      <c r="D998" s="2" t="str">
        <f t="shared" si="47"/>
        <v/>
      </c>
      <c r="E998" s="2" t="str">
        <f>IF(A998="","",MAX(0,(C998-MIN(D998,C998))*'Mortgage Inputs'!$B$15))</f>
        <v/>
      </c>
      <c r="F998" s="2" t="str">
        <f>IF(A998="","",IF(AND('Offset Inputs'!$B$5&gt;='Mortgage Inputs'!$B$5,'Mortgage Inputs'!$B$5&gt;0),C998,MIN(C998,MAX(0,'Mortgage Inputs'!$B$17-E998))))</f>
        <v/>
      </c>
      <c r="G998" s="2" t="str">
        <f t="shared" si="45"/>
        <v/>
      </c>
      <c r="H998" s="2" t="str">
        <f>IF(A998="","",IF(AND('Offset Inputs'!$B$5&gt;='Mortgage Inputs'!$B$5,'Mortgage Inputs'!$B$5&gt;0),'Offset Inputs'!$B$5-'Mortgage Inputs'!$B$5,D998+'Offset Inputs'!$B$6))</f>
        <v/>
      </c>
    </row>
    <row r="999" spans="1:8" ht="22" customHeight="1">
      <c r="A999" s="1" t="str">
        <f>IF(AND('Mortgage Inputs'!$B$12,993&lt;=IF('Mortgage Inputs'!$B$12,'Mortgage Inputs'!$B$7,0)*12+600,ISNUMBER(G998),G998&gt;0.005),993,"")</f>
        <v/>
      </c>
      <c r="B999" s="4" t="str">
        <f>IF(A999="","",DATE(YEAR('Mortgage Inputs'!$B$8),MONTH('Mortgage Inputs'!$B$8)+A999,DAY('Mortgage Inputs'!$B$8)))</f>
        <v/>
      </c>
      <c r="C999" s="2" t="str">
        <f t="shared" si="46"/>
        <v/>
      </c>
      <c r="D999" s="2" t="str">
        <f t="shared" si="47"/>
        <v/>
      </c>
      <c r="E999" s="2" t="str">
        <f>IF(A999="","",MAX(0,(C999-MIN(D999,C999))*'Mortgage Inputs'!$B$15))</f>
        <v/>
      </c>
      <c r="F999" s="2" t="str">
        <f>IF(A999="","",IF(AND('Offset Inputs'!$B$5&gt;='Mortgage Inputs'!$B$5,'Mortgage Inputs'!$B$5&gt;0),C999,MIN(C999,MAX(0,'Mortgage Inputs'!$B$17-E999))))</f>
        <v/>
      </c>
      <c r="G999" s="2" t="str">
        <f t="shared" si="45"/>
        <v/>
      </c>
      <c r="H999" s="2" t="str">
        <f>IF(A999="","",IF(AND('Offset Inputs'!$B$5&gt;='Mortgage Inputs'!$B$5,'Mortgage Inputs'!$B$5&gt;0),'Offset Inputs'!$B$5-'Mortgage Inputs'!$B$5,D999+'Offset Inputs'!$B$6))</f>
        <v/>
      </c>
    </row>
    <row r="1000" spans="1:8" ht="22" customHeight="1">
      <c r="A1000" s="1" t="str">
        <f>IF(AND('Mortgage Inputs'!$B$12,994&lt;=IF('Mortgage Inputs'!$B$12,'Mortgage Inputs'!$B$7,0)*12+600,ISNUMBER(G999),G999&gt;0.005),994,"")</f>
        <v/>
      </c>
      <c r="B1000" s="4" t="str">
        <f>IF(A1000="","",DATE(YEAR('Mortgage Inputs'!$B$8),MONTH('Mortgage Inputs'!$B$8)+A1000,DAY('Mortgage Inputs'!$B$8)))</f>
        <v/>
      </c>
      <c r="C1000" s="2" t="str">
        <f t="shared" si="46"/>
        <v/>
      </c>
      <c r="D1000" s="2" t="str">
        <f t="shared" si="47"/>
        <v/>
      </c>
      <c r="E1000" s="2" t="str">
        <f>IF(A1000="","",MAX(0,(C1000-MIN(D1000,C1000))*'Mortgage Inputs'!$B$15))</f>
        <v/>
      </c>
      <c r="F1000" s="2" t="str">
        <f>IF(A1000="","",IF(AND('Offset Inputs'!$B$5&gt;='Mortgage Inputs'!$B$5,'Mortgage Inputs'!$B$5&gt;0),C1000,MIN(C1000,MAX(0,'Mortgage Inputs'!$B$17-E1000))))</f>
        <v/>
      </c>
      <c r="G1000" s="2" t="str">
        <f t="shared" si="45"/>
        <v/>
      </c>
      <c r="H1000" s="2" t="str">
        <f>IF(A1000="","",IF(AND('Offset Inputs'!$B$5&gt;='Mortgage Inputs'!$B$5,'Mortgage Inputs'!$B$5&gt;0),'Offset Inputs'!$B$5-'Mortgage Inputs'!$B$5,D1000+'Offset Inputs'!$B$6))</f>
        <v/>
      </c>
    </row>
    <row r="1001" spans="1:8" ht="22" customHeight="1">
      <c r="A1001" s="1" t="str">
        <f>IF(AND('Mortgage Inputs'!$B$12,995&lt;=IF('Mortgage Inputs'!$B$12,'Mortgage Inputs'!$B$7,0)*12+600,ISNUMBER(G1000),G1000&gt;0.005),995,"")</f>
        <v/>
      </c>
      <c r="B1001" s="4" t="str">
        <f>IF(A1001="","",DATE(YEAR('Mortgage Inputs'!$B$8),MONTH('Mortgage Inputs'!$B$8)+A1001,DAY('Mortgage Inputs'!$B$8)))</f>
        <v/>
      </c>
      <c r="C1001" s="2" t="str">
        <f t="shared" si="46"/>
        <v/>
      </c>
      <c r="D1001" s="2" t="str">
        <f t="shared" si="47"/>
        <v/>
      </c>
      <c r="E1001" s="2" t="str">
        <f>IF(A1001="","",MAX(0,(C1001-MIN(D1001,C1001))*'Mortgage Inputs'!$B$15))</f>
        <v/>
      </c>
      <c r="F1001" s="2" t="str">
        <f>IF(A1001="","",IF(AND('Offset Inputs'!$B$5&gt;='Mortgage Inputs'!$B$5,'Mortgage Inputs'!$B$5&gt;0),C1001,MIN(C1001,MAX(0,'Mortgage Inputs'!$B$17-E1001))))</f>
        <v/>
      </c>
      <c r="G1001" s="2" t="str">
        <f t="shared" si="45"/>
        <v/>
      </c>
      <c r="H1001" s="2" t="str">
        <f>IF(A1001="","",IF(AND('Offset Inputs'!$B$5&gt;='Mortgage Inputs'!$B$5,'Mortgage Inputs'!$B$5&gt;0),'Offset Inputs'!$B$5-'Mortgage Inputs'!$B$5,D1001+'Offset Inputs'!$B$6))</f>
        <v/>
      </c>
    </row>
    <row r="1002" spans="1:8" ht="22" customHeight="1">
      <c r="A1002" s="1" t="str">
        <f>IF(AND('Mortgage Inputs'!$B$12,996&lt;=IF('Mortgage Inputs'!$B$12,'Mortgage Inputs'!$B$7,0)*12+600,ISNUMBER(G1001),G1001&gt;0.005),996,"")</f>
        <v/>
      </c>
      <c r="B1002" s="4" t="str">
        <f>IF(A1002="","",DATE(YEAR('Mortgage Inputs'!$B$8),MONTH('Mortgage Inputs'!$B$8)+A1002,DAY('Mortgage Inputs'!$B$8)))</f>
        <v/>
      </c>
      <c r="C1002" s="2" t="str">
        <f t="shared" si="46"/>
        <v/>
      </c>
      <c r="D1002" s="2" t="str">
        <f t="shared" si="47"/>
        <v/>
      </c>
      <c r="E1002" s="2" t="str">
        <f>IF(A1002="","",MAX(0,(C1002-MIN(D1002,C1002))*'Mortgage Inputs'!$B$15))</f>
        <v/>
      </c>
      <c r="F1002" s="2" t="str">
        <f>IF(A1002="","",IF(AND('Offset Inputs'!$B$5&gt;='Mortgage Inputs'!$B$5,'Mortgage Inputs'!$B$5&gt;0),C1002,MIN(C1002,MAX(0,'Mortgage Inputs'!$B$17-E1002))))</f>
        <v/>
      </c>
      <c r="G1002" s="2" t="str">
        <f t="shared" si="45"/>
        <v/>
      </c>
      <c r="H1002" s="2" t="str">
        <f>IF(A1002="","",IF(AND('Offset Inputs'!$B$5&gt;='Mortgage Inputs'!$B$5,'Mortgage Inputs'!$B$5&gt;0),'Offset Inputs'!$B$5-'Mortgage Inputs'!$B$5,D1002+'Offset Inputs'!$B$6))</f>
        <v/>
      </c>
    </row>
    <row r="1003" spans="1:8" ht="22" customHeight="1">
      <c r="A1003" s="1" t="str">
        <f>IF(AND('Mortgage Inputs'!$B$12,997&lt;=IF('Mortgage Inputs'!$B$12,'Mortgage Inputs'!$B$7,0)*12+600,ISNUMBER(G1002),G1002&gt;0.005),997,"")</f>
        <v/>
      </c>
      <c r="B1003" s="4" t="str">
        <f>IF(A1003="","",DATE(YEAR('Mortgage Inputs'!$B$8),MONTH('Mortgage Inputs'!$B$8)+A1003,DAY('Mortgage Inputs'!$B$8)))</f>
        <v/>
      </c>
      <c r="C1003" s="2" t="str">
        <f t="shared" si="46"/>
        <v/>
      </c>
      <c r="D1003" s="2" t="str">
        <f t="shared" si="47"/>
        <v/>
      </c>
      <c r="E1003" s="2" t="str">
        <f>IF(A1003="","",MAX(0,(C1003-MIN(D1003,C1003))*'Mortgage Inputs'!$B$15))</f>
        <v/>
      </c>
      <c r="F1003" s="2" t="str">
        <f>IF(A1003="","",IF(AND('Offset Inputs'!$B$5&gt;='Mortgage Inputs'!$B$5,'Mortgage Inputs'!$B$5&gt;0),C1003,MIN(C1003,MAX(0,'Mortgage Inputs'!$B$17-E1003))))</f>
        <v/>
      </c>
      <c r="G1003" s="2" t="str">
        <f t="shared" si="45"/>
        <v/>
      </c>
      <c r="H1003" s="2" t="str">
        <f>IF(A1003="","",IF(AND('Offset Inputs'!$B$5&gt;='Mortgage Inputs'!$B$5,'Mortgage Inputs'!$B$5&gt;0),'Offset Inputs'!$B$5-'Mortgage Inputs'!$B$5,D1003+'Offset Inputs'!$B$6))</f>
        <v/>
      </c>
    </row>
    <row r="1004" spans="1:8" ht="22" customHeight="1">
      <c r="A1004" s="1" t="str">
        <f>IF(AND('Mortgage Inputs'!$B$12,998&lt;=IF('Mortgage Inputs'!$B$12,'Mortgage Inputs'!$B$7,0)*12+600,ISNUMBER(G1003),G1003&gt;0.005),998,"")</f>
        <v/>
      </c>
      <c r="B1004" s="4" t="str">
        <f>IF(A1004="","",DATE(YEAR('Mortgage Inputs'!$B$8),MONTH('Mortgage Inputs'!$B$8)+A1004,DAY('Mortgage Inputs'!$B$8)))</f>
        <v/>
      </c>
      <c r="C1004" s="2" t="str">
        <f t="shared" si="46"/>
        <v/>
      </c>
      <c r="D1004" s="2" t="str">
        <f t="shared" si="47"/>
        <v/>
      </c>
      <c r="E1004" s="2" t="str">
        <f>IF(A1004="","",MAX(0,(C1004-MIN(D1004,C1004))*'Mortgage Inputs'!$B$15))</f>
        <v/>
      </c>
      <c r="F1004" s="2" t="str">
        <f>IF(A1004="","",IF(AND('Offset Inputs'!$B$5&gt;='Mortgage Inputs'!$B$5,'Mortgage Inputs'!$B$5&gt;0),C1004,MIN(C1004,MAX(0,'Mortgage Inputs'!$B$17-E1004))))</f>
        <v/>
      </c>
      <c r="G1004" s="2" t="str">
        <f t="shared" si="45"/>
        <v/>
      </c>
      <c r="H1004" s="2" t="str">
        <f>IF(A1004="","",IF(AND('Offset Inputs'!$B$5&gt;='Mortgage Inputs'!$B$5,'Mortgage Inputs'!$B$5&gt;0),'Offset Inputs'!$B$5-'Mortgage Inputs'!$B$5,D1004+'Offset Inputs'!$B$6))</f>
        <v/>
      </c>
    </row>
    <row r="1005" spans="1:8" ht="22" customHeight="1">
      <c r="A1005" s="1" t="str">
        <f>IF(AND('Mortgage Inputs'!$B$12,999&lt;=IF('Mortgage Inputs'!$B$12,'Mortgage Inputs'!$B$7,0)*12+600,ISNUMBER(G1004),G1004&gt;0.005),999,"")</f>
        <v/>
      </c>
      <c r="B1005" s="4" t="str">
        <f>IF(A1005="","",DATE(YEAR('Mortgage Inputs'!$B$8),MONTH('Mortgage Inputs'!$B$8)+A1005,DAY('Mortgage Inputs'!$B$8)))</f>
        <v/>
      </c>
      <c r="C1005" s="2" t="str">
        <f t="shared" si="46"/>
        <v/>
      </c>
      <c r="D1005" s="2" t="str">
        <f t="shared" si="47"/>
        <v/>
      </c>
      <c r="E1005" s="2" t="str">
        <f>IF(A1005="","",MAX(0,(C1005-MIN(D1005,C1005))*'Mortgage Inputs'!$B$15))</f>
        <v/>
      </c>
      <c r="F1005" s="2" t="str">
        <f>IF(A1005="","",IF(AND('Offset Inputs'!$B$5&gt;='Mortgage Inputs'!$B$5,'Mortgage Inputs'!$B$5&gt;0),C1005,MIN(C1005,MAX(0,'Mortgage Inputs'!$B$17-E1005))))</f>
        <v/>
      </c>
      <c r="G1005" s="2" t="str">
        <f t="shared" si="45"/>
        <v/>
      </c>
      <c r="H1005" s="2" t="str">
        <f>IF(A1005="","",IF(AND('Offset Inputs'!$B$5&gt;='Mortgage Inputs'!$B$5,'Mortgage Inputs'!$B$5&gt;0),'Offset Inputs'!$B$5-'Mortgage Inputs'!$B$5,D1005+'Offset Inputs'!$B$6))</f>
        <v/>
      </c>
    </row>
    <row r="1006" spans="1:8" ht="22" customHeight="1">
      <c r="A1006" s="1" t="str">
        <f>IF(AND('Mortgage Inputs'!$B$12,1000&lt;=IF('Mortgage Inputs'!$B$12,'Mortgage Inputs'!$B$7,0)*12+600,ISNUMBER(G1005),G1005&gt;0.005),1000,"")</f>
        <v/>
      </c>
      <c r="B1006" s="4" t="str">
        <f>IF(A1006="","",DATE(YEAR('Mortgage Inputs'!$B$8),MONTH('Mortgage Inputs'!$B$8)+A1006,DAY('Mortgage Inputs'!$B$8)))</f>
        <v/>
      </c>
      <c r="C1006" s="2" t="str">
        <f t="shared" si="46"/>
        <v/>
      </c>
      <c r="D1006" s="2" t="str">
        <f t="shared" si="47"/>
        <v/>
      </c>
      <c r="E1006" s="2" t="str">
        <f>IF(A1006="","",MAX(0,(C1006-MIN(D1006,C1006))*'Mortgage Inputs'!$B$15))</f>
        <v/>
      </c>
      <c r="F1006" s="2" t="str">
        <f>IF(A1006="","",IF(AND('Offset Inputs'!$B$5&gt;='Mortgage Inputs'!$B$5,'Mortgage Inputs'!$B$5&gt;0),C1006,MIN(C1006,MAX(0,'Mortgage Inputs'!$B$17-E1006))))</f>
        <v/>
      </c>
      <c r="G1006" s="2" t="str">
        <f t="shared" si="45"/>
        <v/>
      </c>
      <c r="H1006" s="2" t="str">
        <f>IF(A1006="","",IF(AND('Offset Inputs'!$B$5&gt;='Mortgage Inputs'!$B$5,'Mortgage Inputs'!$B$5&gt;0),'Offset Inputs'!$B$5-'Mortgage Inputs'!$B$5,D1006+'Offset Inputs'!$B$6))</f>
        <v/>
      </c>
    </row>
    <row r="1007" spans="1:8" ht="22" customHeight="1">
      <c r="A1007" s="1" t="str">
        <f>IF(AND('Mortgage Inputs'!$B$12,1001&lt;=IF('Mortgage Inputs'!$B$12,'Mortgage Inputs'!$B$7,0)*12+600,ISNUMBER(G1006),G1006&gt;0.005),1001,"")</f>
        <v/>
      </c>
      <c r="B1007" s="4" t="str">
        <f>IF(A1007="","",DATE(YEAR('Mortgage Inputs'!$B$8),MONTH('Mortgage Inputs'!$B$8)+A1007,DAY('Mortgage Inputs'!$B$8)))</f>
        <v/>
      </c>
      <c r="C1007" s="2" t="str">
        <f t="shared" si="46"/>
        <v/>
      </c>
      <c r="D1007" s="2" t="str">
        <f t="shared" si="47"/>
        <v/>
      </c>
      <c r="E1007" s="2" t="str">
        <f>IF(A1007="","",MAX(0,(C1007-MIN(D1007,C1007))*'Mortgage Inputs'!$B$15))</f>
        <v/>
      </c>
      <c r="F1007" s="2" t="str">
        <f>IF(A1007="","",IF(AND('Offset Inputs'!$B$5&gt;='Mortgage Inputs'!$B$5,'Mortgage Inputs'!$B$5&gt;0),C1007,MIN(C1007,MAX(0,'Mortgage Inputs'!$B$17-E1007))))</f>
        <v/>
      </c>
      <c r="G1007" s="2" t="str">
        <f t="shared" si="45"/>
        <v/>
      </c>
      <c r="H1007" s="2" t="str">
        <f>IF(A1007="","",IF(AND('Offset Inputs'!$B$5&gt;='Mortgage Inputs'!$B$5,'Mortgage Inputs'!$B$5&gt;0),'Offset Inputs'!$B$5-'Mortgage Inputs'!$B$5,D1007+'Offset Inputs'!$B$6))</f>
        <v/>
      </c>
    </row>
    <row r="1008" spans="1:8" ht="22" customHeight="1">
      <c r="A1008" s="1" t="str">
        <f>IF(AND('Mortgage Inputs'!$B$12,1002&lt;=IF('Mortgage Inputs'!$B$12,'Mortgage Inputs'!$B$7,0)*12+600,ISNUMBER(G1007),G1007&gt;0.005),1002,"")</f>
        <v/>
      </c>
      <c r="B1008" s="4" t="str">
        <f>IF(A1008="","",DATE(YEAR('Mortgage Inputs'!$B$8),MONTH('Mortgage Inputs'!$B$8)+A1008,DAY('Mortgage Inputs'!$B$8)))</f>
        <v/>
      </c>
      <c r="C1008" s="2" t="str">
        <f t="shared" si="46"/>
        <v/>
      </c>
      <c r="D1008" s="2" t="str">
        <f t="shared" si="47"/>
        <v/>
      </c>
      <c r="E1008" s="2" t="str">
        <f>IF(A1008="","",MAX(0,(C1008-MIN(D1008,C1008))*'Mortgage Inputs'!$B$15))</f>
        <v/>
      </c>
      <c r="F1008" s="2" t="str">
        <f>IF(A1008="","",IF(AND('Offset Inputs'!$B$5&gt;='Mortgage Inputs'!$B$5,'Mortgage Inputs'!$B$5&gt;0),C1008,MIN(C1008,MAX(0,'Mortgage Inputs'!$B$17-E1008))))</f>
        <v/>
      </c>
      <c r="G1008" s="2" t="str">
        <f t="shared" si="45"/>
        <v/>
      </c>
      <c r="H1008" s="2" t="str">
        <f>IF(A1008="","",IF(AND('Offset Inputs'!$B$5&gt;='Mortgage Inputs'!$B$5,'Mortgage Inputs'!$B$5&gt;0),'Offset Inputs'!$B$5-'Mortgage Inputs'!$B$5,D1008+'Offset Inputs'!$B$6))</f>
        <v/>
      </c>
    </row>
    <row r="1009" spans="1:8" ht="22" customHeight="1">
      <c r="A1009" s="1" t="str">
        <f>IF(AND('Mortgage Inputs'!$B$12,1003&lt;=IF('Mortgage Inputs'!$B$12,'Mortgage Inputs'!$B$7,0)*12+600,ISNUMBER(G1008),G1008&gt;0.005),1003,"")</f>
        <v/>
      </c>
      <c r="B1009" s="4" t="str">
        <f>IF(A1009="","",DATE(YEAR('Mortgage Inputs'!$B$8),MONTH('Mortgage Inputs'!$B$8)+A1009,DAY('Mortgage Inputs'!$B$8)))</f>
        <v/>
      </c>
      <c r="C1009" s="2" t="str">
        <f t="shared" si="46"/>
        <v/>
      </c>
      <c r="D1009" s="2" t="str">
        <f t="shared" si="47"/>
        <v/>
      </c>
      <c r="E1009" s="2" t="str">
        <f>IF(A1009="","",MAX(0,(C1009-MIN(D1009,C1009))*'Mortgage Inputs'!$B$15))</f>
        <v/>
      </c>
      <c r="F1009" s="2" t="str">
        <f>IF(A1009="","",IF(AND('Offset Inputs'!$B$5&gt;='Mortgage Inputs'!$B$5,'Mortgage Inputs'!$B$5&gt;0),C1009,MIN(C1009,MAX(0,'Mortgage Inputs'!$B$17-E1009))))</f>
        <v/>
      </c>
      <c r="G1009" s="2" t="str">
        <f t="shared" si="45"/>
        <v/>
      </c>
      <c r="H1009" s="2" t="str">
        <f>IF(A1009="","",IF(AND('Offset Inputs'!$B$5&gt;='Mortgage Inputs'!$B$5,'Mortgage Inputs'!$B$5&gt;0),'Offset Inputs'!$B$5-'Mortgage Inputs'!$B$5,D1009+'Offset Inputs'!$B$6))</f>
        <v/>
      </c>
    </row>
    <row r="1010" spans="1:8" ht="22" customHeight="1">
      <c r="A1010" s="1" t="str">
        <f>IF(AND('Mortgage Inputs'!$B$12,1004&lt;=IF('Mortgage Inputs'!$B$12,'Mortgage Inputs'!$B$7,0)*12+600,ISNUMBER(G1009),G1009&gt;0.005),1004,"")</f>
        <v/>
      </c>
      <c r="B1010" s="4" t="str">
        <f>IF(A1010="","",DATE(YEAR('Mortgage Inputs'!$B$8),MONTH('Mortgage Inputs'!$B$8)+A1010,DAY('Mortgage Inputs'!$B$8)))</f>
        <v/>
      </c>
      <c r="C1010" s="2" t="str">
        <f t="shared" si="46"/>
        <v/>
      </c>
      <c r="D1010" s="2" t="str">
        <f t="shared" si="47"/>
        <v/>
      </c>
      <c r="E1010" s="2" t="str">
        <f>IF(A1010="","",MAX(0,(C1010-MIN(D1010,C1010))*'Mortgage Inputs'!$B$15))</f>
        <v/>
      </c>
      <c r="F1010" s="2" t="str">
        <f>IF(A1010="","",IF(AND('Offset Inputs'!$B$5&gt;='Mortgage Inputs'!$B$5,'Mortgage Inputs'!$B$5&gt;0),C1010,MIN(C1010,MAX(0,'Mortgage Inputs'!$B$17-E1010))))</f>
        <v/>
      </c>
      <c r="G1010" s="2" t="str">
        <f t="shared" si="45"/>
        <v/>
      </c>
      <c r="H1010" s="2" t="str">
        <f>IF(A1010="","",IF(AND('Offset Inputs'!$B$5&gt;='Mortgage Inputs'!$B$5,'Mortgage Inputs'!$B$5&gt;0),'Offset Inputs'!$B$5-'Mortgage Inputs'!$B$5,D1010+'Offset Inputs'!$B$6))</f>
        <v/>
      </c>
    </row>
    <row r="1011" spans="1:8" ht="22" customHeight="1">
      <c r="A1011" s="1" t="str">
        <f>IF(AND('Mortgage Inputs'!$B$12,1005&lt;=IF('Mortgage Inputs'!$B$12,'Mortgage Inputs'!$B$7,0)*12+600,ISNUMBER(G1010),G1010&gt;0.005),1005,"")</f>
        <v/>
      </c>
      <c r="B1011" s="4" t="str">
        <f>IF(A1011="","",DATE(YEAR('Mortgage Inputs'!$B$8),MONTH('Mortgage Inputs'!$B$8)+A1011,DAY('Mortgage Inputs'!$B$8)))</f>
        <v/>
      </c>
      <c r="C1011" s="2" t="str">
        <f t="shared" si="46"/>
        <v/>
      </c>
      <c r="D1011" s="2" t="str">
        <f t="shared" si="47"/>
        <v/>
      </c>
      <c r="E1011" s="2" t="str">
        <f>IF(A1011="","",MAX(0,(C1011-MIN(D1011,C1011))*'Mortgage Inputs'!$B$15))</f>
        <v/>
      </c>
      <c r="F1011" s="2" t="str">
        <f>IF(A1011="","",IF(AND('Offset Inputs'!$B$5&gt;='Mortgage Inputs'!$B$5,'Mortgage Inputs'!$B$5&gt;0),C1011,MIN(C1011,MAX(0,'Mortgage Inputs'!$B$17-E1011))))</f>
        <v/>
      </c>
      <c r="G1011" s="2" t="str">
        <f t="shared" si="45"/>
        <v/>
      </c>
      <c r="H1011" s="2" t="str">
        <f>IF(A1011="","",IF(AND('Offset Inputs'!$B$5&gt;='Mortgage Inputs'!$B$5,'Mortgage Inputs'!$B$5&gt;0),'Offset Inputs'!$B$5-'Mortgage Inputs'!$B$5,D1011+'Offset Inputs'!$B$6))</f>
        <v/>
      </c>
    </row>
    <row r="1012" spans="1:8" ht="22" customHeight="1">
      <c r="A1012" s="1" t="str">
        <f>IF(AND('Mortgage Inputs'!$B$12,1006&lt;=IF('Mortgage Inputs'!$B$12,'Mortgage Inputs'!$B$7,0)*12+600,ISNUMBER(G1011),G1011&gt;0.005),1006,"")</f>
        <v/>
      </c>
      <c r="B1012" s="4" t="str">
        <f>IF(A1012="","",DATE(YEAR('Mortgage Inputs'!$B$8),MONTH('Mortgage Inputs'!$B$8)+A1012,DAY('Mortgage Inputs'!$B$8)))</f>
        <v/>
      </c>
      <c r="C1012" s="2" t="str">
        <f t="shared" si="46"/>
        <v/>
      </c>
      <c r="D1012" s="2" t="str">
        <f t="shared" si="47"/>
        <v/>
      </c>
      <c r="E1012" s="2" t="str">
        <f>IF(A1012="","",MAX(0,(C1012-MIN(D1012,C1012))*'Mortgage Inputs'!$B$15))</f>
        <v/>
      </c>
      <c r="F1012" s="2" t="str">
        <f>IF(A1012="","",IF(AND('Offset Inputs'!$B$5&gt;='Mortgage Inputs'!$B$5,'Mortgage Inputs'!$B$5&gt;0),C1012,MIN(C1012,MAX(0,'Mortgage Inputs'!$B$17-E1012))))</f>
        <v/>
      </c>
      <c r="G1012" s="2" t="str">
        <f t="shared" si="45"/>
        <v/>
      </c>
      <c r="H1012" s="2" t="str">
        <f>IF(A1012="","",IF(AND('Offset Inputs'!$B$5&gt;='Mortgage Inputs'!$B$5,'Mortgage Inputs'!$B$5&gt;0),'Offset Inputs'!$B$5-'Mortgage Inputs'!$B$5,D1012+'Offset Inputs'!$B$6))</f>
        <v/>
      </c>
    </row>
    <row r="1013" spans="1:8" ht="22" customHeight="1">
      <c r="A1013" s="1" t="str">
        <f>IF(AND('Mortgage Inputs'!$B$12,1007&lt;=IF('Mortgage Inputs'!$B$12,'Mortgage Inputs'!$B$7,0)*12+600,ISNUMBER(G1012),G1012&gt;0.005),1007,"")</f>
        <v/>
      </c>
      <c r="B1013" s="4" t="str">
        <f>IF(A1013="","",DATE(YEAR('Mortgage Inputs'!$B$8),MONTH('Mortgage Inputs'!$B$8)+A1013,DAY('Mortgage Inputs'!$B$8)))</f>
        <v/>
      </c>
      <c r="C1013" s="2" t="str">
        <f t="shared" si="46"/>
        <v/>
      </c>
      <c r="D1013" s="2" t="str">
        <f t="shared" si="47"/>
        <v/>
      </c>
      <c r="E1013" s="2" t="str">
        <f>IF(A1013="","",MAX(0,(C1013-MIN(D1013,C1013))*'Mortgage Inputs'!$B$15))</f>
        <v/>
      </c>
      <c r="F1013" s="2" t="str">
        <f>IF(A1013="","",IF(AND('Offset Inputs'!$B$5&gt;='Mortgage Inputs'!$B$5,'Mortgage Inputs'!$B$5&gt;0),C1013,MIN(C1013,MAX(0,'Mortgage Inputs'!$B$17-E1013))))</f>
        <v/>
      </c>
      <c r="G1013" s="2" t="str">
        <f t="shared" si="45"/>
        <v/>
      </c>
      <c r="H1013" s="2" t="str">
        <f>IF(A1013="","",IF(AND('Offset Inputs'!$B$5&gt;='Mortgage Inputs'!$B$5,'Mortgage Inputs'!$B$5&gt;0),'Offset Inputs'!$B$5-'Mortgage Inputs'!$B$5,D1013+'Offset Inputs'!$B$6))</f>
        <v/>
      </c>
    </row>
    <row r="1014" spans="1:8" ht="22" customHeight="1">
      <c r="A1014" s="1" t="str">
        <f>IF(AND('Mortgage Inputs'!$B$12,1008&lt;=IF('Mortgage Inputs'!$B$12,'Mortgage Inputs'!$B$7,0)*12+600,ISNUMBER(G1013),G1013&gt;0.005),1008,"")</f>
        <v/>
      </c>
      <c r="B1014" s="4" t="str">
        <f>IF(A1014="","",DATE(YEAR('Mortgage Inputs'!$B$8),MONTH('Mortgage Inputs'!$B$8)+A1014,DAY('Mortgage Inputs'!$B$8)))</f>
        <v/>
      </c>
      <c r="C1014" s="2" t="str">
        <f t="shared" si="46"/>
        <v/>
      </c>
      <c r="D1014" s="2" t="str">
        <f t="shared" si="47"/>
        <v/>
      </c>
      <c r="E1014" s="2" t="str">
        <f>IF(A1014="","",MAX(0,(C1014-MIN(D1014,C1014))*'Mortgage Inputs'!$B$15))</f>
        <v/>
      </c>
      <c r="F1014" s="2" t="str">
        <f>IF(A1014="","",IF(AND('Offset Inputs'!$B$5&gt;='Mortgage Inputs'!$B$5,'Mortgage Inputs'!$B$5&gt;0),C1014,MIN(C1014,MAX(0,'Mortgage Inputs'!$B$17-E1014))))</f>
        <v/>
      </c>
      <c r="G1014" s="2" t="str">
        <f t="shared" si="45"/>
        <v/>
      </c>
      <c r="H1014" s="2" t="str">
        <f>IF(A1014="","",IF(AND('Offset Inputs'!$B$5&gt;='Mortgage Inputs'!$B$5,'Mortgage Inputs'!$B$5&gt;0),'Offset Inputs'!$B$5-'Mortgage Inputs'!$B$5,D1014+'Offset Inputs'!$B$6))</f>
        <v/>
      </c>
    </row>
    <row r="1015" spans="1:8" ht="22" customHeight="1">
      <c r="A1015" s="1" t="str">
        <f>IF(AND('Mortgage Inputs'!$B$12,1009&lt;=IF('Mortgage Inputs'!$B$12,'Mortgage Inputs'!$B$7,0)*12+600,ISNUMBER(G1014),G1014&gt;0.005),1009,"")</f>
        <v/>
      </c>
      <c r="B1015" s="4" t="str">
        <f>IF(A1015="","",DATE(YEAR('Mortgage Inputs'!$B$8),MONTH('Mortgage Inputs'!$B$8)+A1015,DAY('Mortgage Inputs'!$B$8)))</f>
        <v/>
      </c>
      <c r="C1015" s="2" t="str">
        <f t="shared" si="46"/>
        <v/>
      </c>
      <c r="D1015" s="2" t="str">
        <f t="shared" si="47"/>
        <v/>
      </c>
      <c r="E1015" s="2" t="str">
        <f>IF(A1015="","",MAX(0,(C1015-MIN(D1015,C1015))*'Mortgage Inputs'!$B$15))</f>
        <v/>
      </c>
      <c r="F1015" s="2" t="str">
        <f>IF(A1015="","",IF(AND('Offset Inputs'!$B$5&gt;='Mortgage Inputs'!$B$5,'Mortgage Inputs'!$B$5&gt;0),C1015,MIN(C1015,MAX(0,'Mortgage Inputs'!$B$17-E1015))))</f>
        <v/>
      </c>
      <c r="G1015" s="2" t="str">
        <f t="shared" si="45"/>
        <v/>
      </c>
      <c r="H1015" s="2" t="str">
        <f>IF(A1015="","",IF(AND('Offset Inputs'!$B$5&gt;='Mortgage Inputs'!$B$5,'Mortgage Inputs'!$B$5&gt;0),'Offset Inputs'!$B$5-'Mortgage Inputs'!$B$5,D1015+'Offset Inputs'!$B$6))</f>
        <v/>
      </c>
    </row>
    <row r="1016" spans="1:8" ht="22" customHeight="1">
      <c r="A1016" s="1" t="str">
        <f>IF(AND('Mortgage Inputs'!$B$12,1010&lt;=IF('Mortgage Inputs'!$B$12,'Mortgage Inputs'!$B$7,0)*12+600,ISNUMBER(G1015),G1015&gt;0.005),1010,"")</f>
        <v/>
      </c>
      <c r="B1016" s="4" t="str">
        <f>IF(A1016="","",DATE(YEAR('Mortgage Inputs'!$B$8),MONTH('Mortgage Inputs'!$B$8)+A1016,DAY('Mortgage Inputs'!$B$8)))</f>
        <v/>
      </c>
      <c r="C1016" s="2" t="str">
        <f t="shared" si="46"/>
        <v/>
      </c>
      <c r="D1016" s="2" t="str">
        <f t="shared" si="47"/>
        <v/>
      </c>
      <c r="E1016" s="2" t="str">
        <f>IF(A1016="","",MAX(0,(C1016-MIN(D1016,C1016))*'Mortgage Inputs'!$B$15))</f>
        <v/>
      </c>
      <c r="F1016" s="2" t="str">
        <f>IF(A1016="","",IF(AND('Offset Inputs'!$B$5&gt;='Mortgage Inputs'!$B$5,'Mortgage Inputs'!$B$5&gt;0),C1016,MIN(C1016,MAX(0,'Mortgage Inputs'!$B$17-E1016))))</f>
        <v/>
      </c>
      <c r="G1016" s="2" t="str">
        <f t="shared" si="45"/>
        <v/>
      </c>
      <c r="H1016" s="2" t="str">
        <f>IF(A1016="","",IF(AND('Offset Inputs'!$B$5&gt;='Mortgage Inputs'!$B$5,'Mortgage Inputs'!$B$5&gt;0),'Offset Inputs'!$B$5-'Mortgage Inputs'!$B$5,D1016+'Offset Inputs'!$B$6))</f>
        <v/>
      </c>
    </row>
    <row r="1017" spans="1:8" ht="22" customHeight="1">
      <c r="A1017" s="1" t="str">
        <f>IF(AND('Mortgage Inputs'!$B$12,1011&lt;=IF('Mortgage Inputs'!$B$12,'Mortgage Inputs'!$B$7,0)*12+600,ISNUMBER(G1016),G1016&gt;0.005),1011,"")</f>
        <v/>
      </c>
      <c r="B1017" s="4" t="str">
        <f>IF(A1017="","",DATE(YEAR('Mortgage Inputs'!$B$8),MONTH('Mortgage Inputs'!$B$8)+A1017,DAY('Mortgage Inputs'!$B$8)))</f>
        <v/>
      </c>
      <c r="C1017" s="2" t="str">
        <f t="shared" si="46"/>
        <v/>
      </c>
      <c r="D1017" s="2" t="str">
        <f t="shared" si="47"/>
        <v/>
      </c>
      <c r="E1017" s="2" t="str">
        <f>IF(A1017="","",MAX(0,(C1017-MIN(D1017,C1017))*'Mortgage Inputs'!$B$15))</f>
        <v/>
      </c>
      <c r="F1017" s="2" t="str">
        <f>IF(A1017="","",IF(AND('Offset Inputs'!$B$5&gt;='Mortgage Inputs'!$B$5,'Mortgage Inputs'!$B$5&gt;0),C1017,MIN(C1017,MAX(0,'Mortgage Inputs'!$B$17-E1017))))</f>
        <v/>
      </c>
      <c r="G1017" s="2" t="str">
        <f t="shared" si="45"/>
        <v/>
      </c>
      <c r="H1017" s="2" t="str">
        <f>IF(A1017="","",IF(AND('Offset Inputs'!$B$5&gt;='Mortgage Inputs'!$B$5,'Mortgage Inputs'!$B$5&gt;0),'Offset Inputs'!$B$5-'Mortgage Inputs'!$B$5,D1017+'Offset Inputs'!$B$6))</f>
        <v/>
      </c>
    </row>
    <row r="1018" spans="1:8" ht="22" customHeight="1">
      <c r="A1018" s="1" t="str">
        <f>IF(AND('Mortgage Inputs'!$B$12,1012&lt;=IF('Mortgage Inputs'!$B$12,'Mortgage Inputs'!$B$7,0)*12+600,ISNUMBER(G1017),G1017&gt;0.005),1012,"")</f>
        <v/>
      </c>
      <c r="B1018" s="4" t="str">
        <f>IF(A1018="","",DATE(YEAR('Mortgage Inputs'!$B$8),MONTH('Mortgage Inputs'!$B$8)+A1018,DAY('Mortgage Inputs'!$B$8)))</f>
        <v/>
      </c>
      <c r="C1018" s="2" t="str">
        <f t="shared" si="46"/>
        <v/>
      </c>
      <c r="D1018" s="2" t="str">
        <f t="shared" si="47"/>
        <v/>
      </c>
      <c r="E1018" s="2" t="str">
        <f>IF(A1018="","",MAX(0,(C1018-MIN(D1018,C1018))*'Mortgage Inputs'!$B$15))</f>
        <v/>
      </c>
      <c r="F1018" s="2" t="str">
        <f>IF(A1018="","",IF(AND('Offset Inputs'!$B$5&gt;='Mortgage Inputs'!$B$5,'Mortgage Inputs'!$B$5&gt;0),C1018,MIN(C1018,MAX(0,'Mortgage Inputs'!$B$17-E1018))))</f>
        <v/>
      </c>
      <c r="G1018" s="2" t="str">
        <f t="shared" si="45"/>
        <v/>
      </c>
      <c r="H1018" s="2" t="str">
        <f>IF(A1018="","",IF(AND('Offset Inputs'!$B$5&gt;='Mortgage Inputs'!$B$5,'Mortgage Inputs'!$B$5&gt;0),'Offset Inputs'!$B$5-'Mortgage Inputs'!$B$5,D1018+'Offset Inputs'!$B$6))</f>
        <v/>
      </c>
    </row>
    <row r="1019" spans="1:8" ht="22" customHeight="1">
      <c r="A1019" s="1" t="str">
        <f>IF(AND('Mortgage Inputs'!$B$12,1013&lt;=IF('Mortgage Inputs'!$B$12,'Mortgage Inputs'!$B$7,0)*12+600,ISNUMBER(G1018),G1018&gt;0.005),1013,"")</f>
        <v/>
      </c>
      <c r="B1019" s="4" t="str">
        <f>IF(A1019="","",DATE(YEAR('Mortgage Inputs'!$B$8),MONTH('Mortgage Inputs'!$B$8)+A1019,DAY('Mortgage Inputs'!$B$8)))</f>
        <v/>
      </c>
      <c r="C1019" s="2" t="str">
        <f t="shared" si="46"/>
        <v/>
      </c>
      <c r="D1019" s="2" t="str">
        <f t="shared" si="47"/>
        <v/>
      </c>
      <c r="E1019" s="2" t="str">
        <f>IF(A1019="","",MAX(0,(C1019-MIN(D1019,C1019))*'Mortgage Inputs'!$B$15))</f>
        <v/>
      </c>
      <c r="F1019" s="2" t="str">
        <f>IF(A1019="","",IF(AND('Offset Inputs'!$B$5&gt;='Mortgage Inputs'!$B$5,'Mortgage Inputs'!$B$5&gt;0),C1019,MIN(C1019,MAX(0,'Mortgage Inputs'!$B$17-E1019))))</f>
        <v/>
      </c>
      <c r="G1019" s="2" t="str">
        <f t="shared" si="45"/>
        <v/>
      </c>
      <c r="H1019" s="2" t="str">
        <f>IF(A1019="","",IF(AND('Offset Inputs'!$B$5&gt;='Mortgage Inputs'!$B$5,'Mortgage Inputs'!$B$5&gt;0),'Offset Inputs'!$B$5-'Mortgage Inputs'!$B$5,D1019+'Offset Inputs'!$B$6))</f>
        <v/>
      </c>
    </row>
    <row r="1020" spans="1:8" ht="22" customHeight="1">
      <c r="A1020" s="1" t="str">
        <f>IF(AND('Mortgage Inputs'!$B$12,1014&lt;=IF('Mortgage Inputs'!$B$12,'Mortgage Inputs'!$B$7,0)*12+600,ISNUMBER(G1019),G1019&gt;0.005),1014,"")</f>
        <v/>
      </c>
      <c r="B1020" s="4" t="str">
        <f>IF(A1020="","",DATE(YEAR('Mortgage Inputs'!$B$8),MONTH('Mortgage Inputs'!$B$8)+A1020,DAY('Mortgage Inputs'!$B$8)))</f>
        <v/>
      </c>
      <c r="C1020" s="2" t="str">
        <f t="shared" si="46"/>
        <v/>
      </c>
      <c r="D1020" s="2" t="str">
        <f t="shared" si="47"/>
        <v/>
      </c>
      <c r="E1020" s="2" t="str">
        <f>IF(A1020="","",MAX(0,(C1020-MIN(D1020,C1020))*'Mortgage Inputs'!$B$15))</f>
        <v/>
      </c>
      <c r="F1020" s="2" t="str">
        <f>IF(A1020="","",IF(AND('Offset Inputs'!$B$5&gt;='Mortgage Inputs'!$B$5,'Mortgage Inputs'!$B$5&gt;0),C1020,MIN(C1020,MAX(0,'Mortgage Inputs'!$B$17-E1020))))</f>
        <v/>
      </c>
      <c r="G1020" s="2" t="str">
        <f t="shared" si="45"/>
        <v/>
      </c>
      <c r="H1020" s="2" t="str">
        <f>IF(A1020="","",IF(AND('Offset Inputs'!$B$5&gt;='Mortgage Inputs'!$B$5,'Mortgage Inputs'!$B$5&gt;0),'Offset Inputs'!$B$5-'Mortgage Inputs'!$B$5,D1020+'Offset Inputs'!$B$6))</f>
        <v/>
      </c>
    </row>
    <row r="1021" spans="1:8" ht="22" customHeight="1">
      <c r="A1021" s="1" t="str">
        <f>IF(AND('Mortgage Inputs'!$B$12,1015&lt;=IF('Mortgage Inputs'!$B$12,'Mortgage Inputs'!$B$7,0)*12+600,ISNUMBER(G1020),G1020&gt;0.005),1015,"")</f>
        <v/>
      </c>
      <c r="B1021" s="4" t="str">
        <f>IF(A1021="","",DATE(YEAR('Mortgage Inputs'!$B$8),MONTH('Mortgage Inputs'!$B$8)+A1021,DAY('Mortgage Inputs'!$B$8)))</f>
        <v/>
      </c>
      <c r="C1021" s="2" t="str">
        <f t="shared" si="46"/>
        <v/>
      </c>
      <c r="D1021" s="2" t="str">
        <f t="shared" si="47"/>
        <v/>
      </c>
      <c r="E1021" s="2" t="str">
        <f>IF(A1021="","",MAX(0,(C1021-MIN(D1021,C1021))*'Mortgage Inputs'!$B$15))</f>
        <v/>
      </c>
      <c r="F1021" s="2" t="str">
        <f>IF(A1021="","",IF(AND('Offset Inputs'!$B$5&gt;='Mortgage Inputs'!$B$5,'Mortgage Inputs'!$B$5&gt;0),C1021,MIN(C1021,MAX(0,'Mortgage Inputs'!$B$17-E1021))))</f>
        <v/>
      </c>
      <c r="G1021" s="2" t="str">
        <f t="shared" si="45"/>
        <v/>
      </c>
      <c r="H1021" s="2" t="str">
        <f>IF(A1021="","",IF(AND('Offset Inputs'!$B$5&gt;='Mortgage Inputs'!$B$5,'Mortgage Inputs'!$B$5&gt;0),'Offset Inputs'!$B$5-'Mortgage Inputs'!$B$5,D1021+'Offset Inputs'!$B$6))</f>
        <v/>
      </c>
    </row>
    <row r="1022" spans="1:8" ht="22" customHeight="1">
      <c r="A1022" s="1" t="str">
        <f>IF(AND('Mortgage Inputs'!$B$12,1016&lt;=IF('Mortgage Inputs'!$B$12,'Mortgage Inputs'!$B$7,0)*12+600,ISNUMBER(G1021),G1021&gt;0.005),1016,"")</f>
        <v/>
      </c>
      <c r="B1022" s="4" t="str">
        <f>IF(A1022="","",DATE(YEAR('Mortgage Inputs'!$B$8),MONTH('Mortgage Inputs'!$B$8)+A1022,DAY('Mortgage Inputs'!$B$8)))</f>
        <v/>
      </c>
      <c r="C1022" s="2" t="str">
        <f t="shared" si="46"/>
        <v/>
      </c>
      <c r="D1022" s="2" t="str">
        <f t="shared" si="47"/>
        <v/>
      </c>
      <c r="E1022" s="2" t="str">
        <f>IF(A1022="","",MAX(0,(C1022-MIN(D1022,C1022))*'Mortgage Inputs'!$B$15))</f>
        <v/>
      </c>
      <c r="F1022" s="2" t="str">
        <f>IF(A1022="","",IF(AND('Offset Inputs'!$B$5&gt;='Mortgage Inputs'!$B$5,'Mortgage Inputs'!$B$5&gt;0),C1022,MIN(C1022,MAX(0,'Mortgage Inputs'!$B$17-E1022))))</f>
        <v/>
      </c>
      <c r="G1022" s="2" t="str">
        <f t="shared" si="45"/>
        <v/>
      </c>
      <c r="H1022" s="2" t="str">
        <f>IF(A1022="","",IF(AND('Offset Inputs'!$B$5&gt;='Mortgage Inputs'!$B$5,'Mortgage Inputs'!$B$5&gt;0),'Offset Inputs'!$B$5-'Mortgage Inputs'!$B$5,D1022+'Offset Inputs'!$B$6))</f>
        <v/>
      </c>
    </row>
    <row r="1023" spans="1:8" ht="22" customHeight="1">
      <c r="A1023" s="1" t="str">
        <f>IF(AND('Mortgage Inputs'!$B$12,1017&lt;=IF('Mortgage Inputs'!$B$12,'Mortgage Inputs'!$B$7,0)*12+600,ISNUMBER(G1022),G1022&gt;0.005),1017,"")</f>
        <v/>
      </c>
      <c r="B1023" s="4" t="str">
        <f>IF(A1023="","",DATE(YEAR('Mortgage Inputs'!$B$8),MONTH('Mortgage Inputs'!$B$8)+A1023,DAY('Mortgage Inputs'!$B$8)))</f>
        <v/>
      </c>
      <c r="C1023" s="2" t="str">
        <f t="shared" si="46"/>
        <v/>
      </c>
      <c r="D1023" s="2" t="str">
        <f t="shared" si="47"/>
        <v/>
      </c>
      <c r="E1023" s="2" t="str">
        <f>IF(A1023="","",MAX(0,(C1023-MIN(D1023,C1023))*'Mortgage Inputs'!$B$15))</f>
        <v/>
      </c>
      <c r="F1023" s="2" t="str">
        <f>IF(A1023="","",IF(AND('Offset Inputs'!$B$5&gt;='Mortgage Inputs'!$B$5,'Mortgage Inputs'!$B$5&gt;0),C1023,MIN(C1023,MAX(0,'Mortgage Inputs'!$B$17-E1023))))</f>
        <v/>
      </c>
      <c r="G1023" s="2" t="str">
        <f t="shared" si="45"/>
        <v/>
      </c>
      <c r="H1023" s="2" t="str">
        <f>IF(A1023="","",IF(AND('Offset Inputs'!$B$5&gt;='Mortgage Inputs'!$B$5,'Mortgage Inputs'!$B$5&gt;0),'Offset Inputs'!$B$5-'Mortgage Inputs'!$B$5,D1023+'Offset Inputs'!$B$6))</f>
        <v/>
      </c>
    </row>
    <row r="1024" spans="1:8" ht="22" customHeight="1">
      <c r="A1024" s="1" t="str">
        <f>IF(AND('Mortgage Inputs'!$B$12,1018&lt;=IF('Mortgage Inputs'!$B$12,'Mortgage Inputs'!$B$7,0)*12+600,ISNUMBER(G1023),G1023&gt;0.005),1018,"")</f>
        <v/>
      </c>
      <c r="B1024" s="4" t="str">
        <f>IF(A1024="","",DATE(YEAR('Mortgage Inputs'!$B$8),MONTH('Mortgage Inputs'!$B$8)+A1024,DAY('Mortgage Inputs'!$B$8)))</f>
        <v/>
      </c>
      <c r="C1024" s="2" t="str">
        <f t="shared" si="46"/>
        <v/>
      </c>
      <c r="D1024" s="2" t="str">
        <f t="shared" si="47"/>
        <v/>
      </c>
      <c r="E1024" s="2" t="str">
        <f>IF(A1024="","",MAX(0,(C1024-MIN(D1024,C1024))*'Mortgage Inputs'!$B$15))</f>
        <v/>
      </c>
      <c r="F1024" s="2" t="str">
        <f>IF(A1024="","",IF(AND('Offset Inputs'!$B$5&gt;='Mortgage Inputs'!$B$5,'Mortgage Inputs'!$B$5&gt;0),C1024,MIN(C1024,MAX(0,'Mortgage Inputs'!$B$17-E1024))))</f>
        <v/>
      </c>
      <c r="G1024" s="2" t="str">
        <f t="shared" si="45"/>
        <v/>
      </c>
      <c r="H1024" s="2" t="str">
        <f>IF(A1024="","",IF(AND('Offset Inputs'!$B$5&gt;='Mortgage Inputs'!$B$5,'Mortgage Inputs'!$B$5&gt;0),'Offset Inputs'!$B$5-'Mortgage Inputs'!$B$5,D1024+'Offset Inputs'!$B$6))</f>
        <v/>
      </c>
    </row>
    <row r="1025" spans="1:8" ht="22" customHeight="1">
      <c r="A1025" s="1" t="str">
        <f>IF(AND('Mortgage Inputs'!$B$12,1019&lt;=IF('Mortgage Inputs'!$B$12,'Mortgage Inputs'!$B$7,0)*12+600,ISNUMBER(G1024),G1024&gt;0.005),1019,"")</f>
        <v/>
      </c>
      <c r="B1025" s="4" t="str">
        <f>IF(A1025="","",DATE(YEAR('Mortgage Inputs'!$B$8),MONTH('Mortgage Inputs'!$B$8)+A1025,DAY('Mortgage Inputs'!$B$8)))</f>
        <v/>
      </c>
      <c r="C1025" s="2" t="str">
        <f t="shared" si="46"/>
        <v/>
      </c>
      <c r="D1025" s="2" t="str">
        <f t="shared" si="47"/>
        <v/>
      </c>
      <c r="E1025" s="2" t="str">
        <f>IF(A1025="","",MAX(0,(C1025-MIN(D1025,C1025))*'Mortgage Inputs'!$B$15))</f>
        <v/>
      </c>
      <c r="F1025" s="2" t="str">
        <f>IF(A1025="","",IF(AND('Offset Inputs'!$B$5&gt;='Mortgage Inputs'!$B$5,'Mortgage Inputs'!$B$5&gt;0),C1025,MIN(C1025,MAX(0,'Mortgage Inputs'!$B$17-E1025))))</f>
        <v/>
      </c>
      <c r="G1025" s="2" t="str">
        <f t="shared" si="45"/>
        <v/>
      </c>
      <c r="H1025" s="2" t="str">
        <f>IF(A1025="","",IF(AND('Offset Inputs'!$B$5&gt;='Mortgage Inputs'!$B$5,'Mortgage Inputs'!$B$5&gt;0),'Offset Inputs'!$B$5-'Mortgage Inputs'!$B$5,D1025+'Offset Inputs'!$B$6))</f>
        <v/>
      </c>
    </row>
    <row r="1026" spans="1:8" ht="22" customHeight="1">
      <c r="A1026" s="1" t="str">
        <f>IF(AND('Mortgage Inputs'!$B$12,1020&lt;=IF('Mortgage Inputs'!$B$12,'Mortgage Inputs'!$B$7,0)*12+600,ISNUMBER(G1025),G1025&gt;0.005),1020,"")</f>
        <v/>
      </c>
      <c r="B1026" s="4" t="str">
        <f>IF(A1026="","",DATE(YEAR('Mortgage Inputs'!$B$8),MONTH('Mortgage Inputs'!$B$8)+A1026,DAY('Mortgage Inputs'!$B$8)))</f>
        <v/>
      </c>
      <c r="C1026" s="2" t="str">
        <f t="shared" si="46"/>
        <v/>
      </c>
      <c r="D1026" s="2" t="str">
        <f t="shared" si="47"/>
        <v/>
      </c>
      <c r="E1026" s="2" t="str">
        <f>IF(A1026="","",MAX(0,(C1026-MIN(D1026,C1026))*'Mortgage Inputs'!$B$15))</f>
        <v/>
      </c>
      <c r="F1026" s="2" t="str">
        <f>IF(A1026="","",IF(AND('Offset Inputs'!$B$5&gt;='Mortgage Inputs'!$B$5,'Mortgage Inputs'!$B$5&gt;0),C1026,MIN(C1026,MAX(0,'Mortgage Inputs'!$B$17-E1026))))</f>
        <v/>
      </c>
      <c r="G1026" s="2" t="str">
        <f t="shared" si="45"/>
        <v/>
      </c>
      <c r="H1026" s="2" t="str">
        <f>IF(A1026="","",IF(AND('Offset Inputs'!$B$5&gt;='Mortgage Inputs'!$B$5,'Mortgage Inputs'!$B$5&gt;0),'Offset Inputs'!$B$5-'Mortgage Inputs'!$B$5,D1026+'Offset Inputs'!$B$6))</f>
        <v/>
      </c>
    </row>
    <row r="1027" spans="1:8" ht="22" customHeight="1">
      <c r="A1027" s="1" t="str">
        <f>IF(AND('Mortgage Inputs'!$B$12,1021&lt;=IF('Mortgage Inputs'!$B$12,'Mortgage Inputs'!$B$7,0)*12+600,ISNUMBER(G1026),G1026&gt;0.005),1021,"")</f>
        <v/>
      </c>
      <c r="B1027" s="4" t="str">
        <f>IF(A1027="","",DATE(YEAR('Mortgage Inputs'!$B$8),MONTH('Mortgage Inputs'!$B$8)+A1027,DAY('Mortgage Inputs'!$B$8)))</f>
        <v/>
      </c>
      <c r="C1027" s="2" t="str">
        <f t="shared" si="46"/>
        <v/>
      </c>
      <c r="D1027" s="2" t="str">
        <f t="shared" si="47"/>
        <v/>
      </c>
      <c r="E1027" s="2" t="str">
        <f>IF(A1027="","",MAX(0,(C1027-MIN(D1027,C1027))*'Mortgage Inputs'!$B$15))</f>
        <v/>
      </c>
      <c r="F1027" s="2" t="str">
        <f>IF(A1027="","",IF(AND('Offset Inputs'!$B$5&gt;='Mortgage Inputs'!$B$5,'Mortgage Inputs'!$B$5&gt;0),C1027,MIN(C1027,MAX(0,'Mortgage Inputs'!$B$17-E1027))))</f>
        <v/>
      </c>
      <c r="G1027" s="2" t="str">
        <f t="shared" si="45"/>
        <v/>
      </c>
      <c r="H1027" s="2" t="str">
        <f>IF(A1027="","",IF(AND('Offset Inputs'!$B$5&gt;='Mortgage Inputs'!$B$5,'Mortgage Inputs'!$B$5&gt;0),'Offset Inputs'!$B$5-'Mortgage Inputs'!$B$5,D1027+'Offset Inputs'!$B$6))</f>
        <v/>
      </c>
    </row>
    <row r="1028" spans="1:8" ht="22" customHeight="1">
      <c r="A1028" s="1" t="str">
        <f>IF(AND('Mortgage Inputs'!$B$12,1022&lt;=IF('Mortgage Inputs'!$B$12,'Mortgage Inputs'!$B$7,0)*12+600,ISNUMBER(G1027),G1027&gt;0.005),1022,"")</f>
        <v/>
      </c>
      <c r="B1028" s="4" t="str">
        <f>IF(A1028="","",DATE(YEAR('Mortgage Inputs'!$B$8),MONTH('Mortgage Inputs'!$B$8)+A1028,DAY('Mortgage Inputs'!$B$8)))</f>
        <v/>
      </c>
      <c r="C1028" s="2" t="str">
        <f t="shared" si="46"/>
        <v/>
      </c>
      <c r="D1028" s="2" t="str">
        <f t="shared" si="47"/>
        <v/>
      </c>
      <c r="E1028" s="2" t="str">
        <f>IF(A1028="","",MAX(0,(C1028-MIN(D1028,C1028))*'Mortgage Inputs'!$B$15))</f>
        <v/>
      </c>
      <c r="F1028" s="2" t="str">
        <f>IF(A1028="","",IF(AND('Offset Inputs'!$B$5&gt;='Mortgage Inputs'!$B$5,'Mortgage Inputs'!$B$5&gt;0),C1028,MIN(C1028,MAX(0,'Mortgage Inputs'!$B$17-E1028))))</f>
        <v/>
      </c>
      <c r="G1028" s="2" t="str">
        <f t="shared" si="45"/>
        <v/>
      </c>
      <c r="H1028" s="2" t="str">
        <f>IF(A1028="","",IF(AND('Offset Inputs'!$B$5&gt;='Mortgage Inputs'!$B$5,'Mortgage Inputs'!$B$5&gt;0),'Offset Inputs'!$B$5-'Mortgage Inputs'!$B$5,D1028+'Offset Inputs'!$B$6))</f>
        <v/>
      </c>
    </row>
    <row r="1029" spans="1:8" ht="22" customHeight="1">
      <c r="A1029" s="1" t="str">
        <f>IF(AND('Mortgage Inputs'!$B$12,1023&lt;=IF('Mortgage Inputs'!$B$12,'Mortgage Inputs'!$B$7,0)*12+600,ISNUMBER(G1028),G1028&gt;0.005),1023,"")</f>
        <v/>
      </c>
      <c r="B1029" s="4" t="str">
        <f>IF(A1029="","",DATE(YEAR('Mortgage Inputs'!$B$8),MONTH('Mortgage Inputs'!$B$8)+A1029,DAY('Mortgage Inputs'!$B$8)))</f>
        <v/>
      </c>
      <c r="C1029" s="2" t="str">
        <f t="shared" si="46"/>
        <v/>
      </c>
      <c r="D1029" s="2" t="str">
        <f t="shared" si="47"/>
        <v/>
      </c>
      <c r="E1029" s="2" t="str">
        <f>IF(A1029="","",MAX(0,(C1029-MIN(D1029,C1029))*'Mortgage Inputs'!$B$15))</f>
        <v/>
      </c>
      <c r="F1029" s="2" t="str">
        <f>IF(A1029="","",IF(AND('Offset Inputs'!$B$5&gt;='Mortgage Inputs'!$B$5,'Mortgage Inputs'!$B$5&gt;0),C1029,MIN(C1029,MAX(0,'Mortgage Inputs'!$B$17-E1029))))</f>
        <v/>
      </c>
      <c r="G1029" s="2" t="str">
        <f t="shared" si="45"/>
        <v/>
      </c>
      <c r="H1029" s="2" t="str">
        <f>IF(A1029="","",IF(AND('Offset Inputs'!$B$5&gt;='Mortgage Inputs'!$B$5,'Mortgage Inputs'!$B$5&gt;0),'Offset Inputs'!$B$5-'Mortgage Inputs'!$B$5,D1029+'Offset Inputs'!$B$6))</f>
        <v/>
      </c>
    </row>
    <row r="1030" spans="1:8" ht="22" customHeight="1">
      <c r="A1030" s="1" t="str">
        <f>IF(AND('Mortgage Inputs'!$B$12,1024&lt;=IF('Mortgage Inputs'!$B$12,'Mortgage Inputs'!$B$7,0)*12+600,ISNUMBER(G1029),G1029&gt;0.005),1024,"")</f>
        <v/>
      </c>
      <c r="B1030" s="4" t="str">
        <f>IF(A1030="","",DATE(YEAR('Mortgage Inputs'!$B$8),MONTH('Mortgage Inputs'!$B$8)+A1030,DAY('Mortgage Inputs'!$B$8)))</f>
        <v/>
      </c>
      <c r="C1030" s="2" t="str">
        <f t="shared" si="46"/>
        <v/>
      </c>
      <c r="D1030" s="2" t="str">
        <f t="shared" si="47"/>
        <v/>
      </c>
      <c r="E1030" s="2" t="str">
        <f>IF(A1030="","",MAX(0,(C1030-MIN(D1030,C1030))*'Mortgage Inputs'!$B$15))</f>
        <v/>
      </c>
      <c r="F1030" s="2" t="str">
        <f>IF(A1030="","",IF(AND('Offset Inputs'!$B$5&gt;='Mortgage Inputs'!$B$5,'Mortgage Inputs'!$B$5&gt;0),C1030,MIN(C1030,MAX(0,'Mortgage Inputs'!$B$17-E1030))))</f>
        <v/>
      </c>
      <c r="G1030" s="2" t="str">
        <f t="shared" si="45"/>
        <v/>
      </c>
      <c r="H1030" s="2" t="str">
        <f>IF(A1030="","",IF(AND('Offset Inputs'!$B$5&gt;='Mortgage Inputs'!$B$5,'Mortgage Inputs'!$B$5&gt;0),'Offset Inputs'!$B$5-'Mortgage Inputs'!$B$5,D1030+'Offset Inputs'!$B$6))</f>
        <v/>
      </c>
    </row>
    <row r="1031" spans="1:8" ht="22" customHeight="1">
      <c r="A1031" s="1" t="str">
        <f>IF(AND('Mortgage Inputs'!$B$12,1025&lt;=IF('Mortgage Inputs'!$B$12,'Mortgage Inputs'!$B$7,0)*12+600,ISNUMBER(G1030),G1030&gt;0.005),1025,"")</f>
        <v/>
      </c>
      <c r="B1031" s="4" t="str">
        <f>IF(A1031="","",DATE(YEAR('Mortgage Inputs'!$B$8),MONTH('Mortgage Inputs'!$B$8)+A1031,DAY('Mortgage Inputs'!$B$8)))</f>
        <v/>
      </c>
      <c r="C1031" s="2" t="str">
        <f t="shared" si="46"/>
        <v/>
      </c>
      <c r="D1031" s="2" t="str">
        <f t="shared" si="47"/>
        <v/>
      </c>
      <c r="E1031" s="2" t="str">
        <f>IF(A1031="","",MAX(0,(C1031-MIN(D1031,C1031))*'Mortgage Inputs'!$B$15))</f>
        <v/>
      </c>
      <c r="F1031" s="2" t="str">
        <f>IF(A1031="","",IF(AND('Offset Inputs'!$B$5&gt;='Mortgage Inputs'!$B$5,'Mortgage Inputs'!$B$5&gt;0),C1031,MIN(C1031,MAX(0,'Mortgage Inputs'!$B$17-E1031))))</f>
        <v/>
      </c>
      <c r="G1031" s="2" t="str">
        <f t="shared" ref="G1031:G1086" si="48">IF(A1031="","",MAX(0,C1031-F1031))</f>
        <v/>
      </c>
      <c r="H1031" s="2" t="str">
        <f>IF(A1031="","",IF(AND('Offset Inputs'!$B$5&gt;='Mortgage Inputs'!$B$5,'Mortgage Inputs'!$B$5&gt;0),'Offset Inputs'!$B$5-'Mortgage Inputs'!$B$5,D1031+'Offset Inputs'!$B$6))</f>
        <v/>
      </c>
    </row>
    <row r="1032" spans="1:8" ht="22" customHeight="1">
      <c r="A1032" s="1" t="str">
        <f>IF(AND('Mortgage Inputs'!$B$12,1026&lt;=IF('Mortgage Inputs'!$B$12,'Mortgage Inputs'!$B$7,0)*12+600,ISNUMBER(G1031),G1031&gt;0.005),1026,"")</f>
        <v/>
      </c>
      <c r="B1032" s="4" t="str">
        <f>IF(A1032="","",DATE(YEAR('Mortgage Inputs'!$B$8),MONTH('Mortgage Inputs'!$B$8)+A1032,DAY('Mortgage Inputs'!$B$8)))</f>
        <v/>
      </c>
      <c r="C1032" s="2" t="str">
        <f t="shared" ref="C1032:C1086" si="49">IF(A1032="","",G1031)</f>
        <v/>
      </c>
      <c r="D1032" s="2" t="str">
        <f t="shared" ref="D1032:D1086" si="50">IF(A1032="","",H1031)</f>
        <v/>
      </c>
      <c r="E1032" s="2" t="str">
        <f>IF(A1032="","",MAX(0,(C1032-MIN(D1032,C1032))*'Mortgage Inputs'!$B$15))</f>
        <v/>
      </c>
      <c r="F1032" s="2" t="str">
        <f>IF(A1032="","",IF(AND('Offset Inputs'!$B$5&gt;='Mortgage Inputs'!$B$5,'Mortgage Inputs'!$B$5&gt;0),C1032,MIN(C1032,MAX(0,'Mortgage Inputs'!$B$17-E1032))))</f>
        <v/>
      </c>
      <c r="G1032" s="2" t="str">
        <f t="shared" si="48"/>
        <v/>
      </c>
      <c r="H1032" s="2" t="str">
        <f>IF(A1032="","",IF(AND('Offset Inputs'!$B$5&gt;='Mortgage Inputs'!$B$5,'Mortgage Inputs'!$B$5&gt;0),'Offset Inputs'!$B$5-'Mortgage Inputs'!$B$5,D1032+'Offset Inputs'!$B$6))</f>
        <v/>
      </c>
    </row>
    <row r="1033" spans="1:8" ht="22" customHeight="1">
      <c r="A1033" s="1" t="str">
        <f>IF(AND('Mortgage Inputs'!$B$12,1027&lt;=IF('Mortgage Inputs'!$B$12,'Mortgage Inputs'!$B$7,0)*12+600,ISNUMBER(G1032),G1032&gt;0.005),1027,"")</f>
        <v/>
      </c>
      <c r="B1033" s="4" t="str">
        <f>IF(A1033="","",DATE(YEAR('Mortgage Inputs'!$B$8),MONTH('Mortgage Inputs'!$B$8)+A1033,DAY('Mortgage Inputs'!$B$8)))</f>
        <v/>
      </c>
      <c r="C1033" s="2" t="str">
        <f t="shared" si="49"/>
        <v/>
      </c>
      <c r="D1033" s="2" t="str">
        <f t="shared" si="50"/>
        <v/>
      </c>
      <c r="E1033" s="2" t="str">
        <f>IF(A1033="","",MAX(0,(C1033-MIN(D1033,C1033))*'Mortgage Inputs'!$B$15))</f>
        <v/>
      </c>
      <c r="F1033" s="2" t="str">
        <f>IF(A1033="","",IF(AND('Offset Inputs'!$B$5&gt;='Mortgage Inputs'!$B$5,'Mortgage Inputs'!$B$5&gt;0),C1033,MIN(C1033,MAX(0,'Mortgage Inputs'!$B$17-E1033))))</f>
        <v/>
      </c>
      <c r="G1033" s="2" t="str">
        <f t="shared" si="48"/>
        <v/>
      </c>
      <c r="H1033" s="2" t="str">
        <f>IF(A1033="","",IF(AND('Offset Inputs'!$B$5&gt;='Mortgage Inputs'!$B$5,'Mortgage Inputs'!$B$5&gt;0),'Offset Inputs'!$B$5-'Mortgage Inputs'!$B$5,D1033+'Offset Inputs'!$B$6))</f>
        <v/>
      </c>
    </row>
    <row r="1034" spans="1:8" ht="22" customHeight="1">
      <c r="A1034" s="1" t="str">
        <f>IF(AND('Mortgage Inputs'!$B$12,1028&lt;=IF('Mortgage Inputs'!$B$12,'Mortgage Inputs'!$B$7,0)*12+600,ISNUMBER(G1033),G1033&gt;0.005),1028,"")</f>
        <v/>
      </c>
      <c r="B1034" s="4" t="str">
        <f>IF(A1034="","",DATE(YEAR('Mortgage Inputs'!$B$8),MONTH('Mortgage Inputs'!$B$8)+A1034,DAY('Mortgage Inputs'!$B$8)))</f>
        <v/>
      </c>
      <c r="C1034" s="2" t="str">
        <f t="shared" si="49"/>
        <v/>
      </c>
      <c r="D1034" s="2" t="str">
        <f t="shared" si="50"/>
        <v/>
      </c>
      <c r="E1034" s="2" t="str">
        <f>IF(A1034="","",MAX(0,(C1034-MIN(D1034,C1034))*'Mortgage Inputs'!$B$15))</f>
        <v/>
      </c>
      <c r="F1034" s="2" t="str">
        <f>IF(A1034="","",IF(AND('Offset Inputs'!$B$5&gt;='Mortgage Inputs'!$B$5,'Mortgage Inputs'!$B$5&gt;0),C1034,MIN(C1034,MAX(0,'Mortgage Inputs'!$B$17-E1034))))</f>
        <v/>
      </c>
      <c r="G1034" s="2" t="str">
        <f t="shared" si="48"/>
        <v/>
      </c>
      <c r="H1034" s="2" t="str">
        <f>IF(A1034="","",IF(AND('Offset Inputs'!$B$5&gt;='Mortgage Inputs'!$B$5,'Mortgage Inputs'!$B$5&gt;0),'Offset Inputs'!$B$5-'Mortgage Inputs'!$B$5,D1034+'Offset Inputs'!$B$6))</f>
        <v/>
      </c>
    </row>
    <row r="1035" spans="1:8" ht="22" customHeight="1">
      <c r="A1035" s="1" t="str">
        <f>IF(AND('Mortgage Inputs'!$B$12,1029&lt;=IF('Mortgage Inputs'!$B$12,'Mortgage Inputs'!$B$7,0)*12+600,ISNUMBER(G1034),G1034&gt;0.005),1029,"")</f>
        <v/>
      </c>
      <c r="B1035" s="4" t="str">
        <f>IF(A1035="","",DATE(YEAR('Mortgage Inputs'!$B$8),MONTH('Mortgage Inputs'!$B$8)+A1035,DAY('Mortgage Inputs'!$B$8)))</f>
        <v/>
      </c>
      <c r="C1035" s="2" t="str">
        <f t="shared" si="49"/>
        <v/>
      </c>
      <c r="D1035" s="2" t="str">
        <f t="shared" si="50"/>
        <v/>
      </c>
      <c r="E1035" s="2" t="str">
        <f>IF(A1035="","",MAX(0,(C1035-MIN(D1035,C1035))*'Mortgage Inputs'!$B$15))</f>
        <v/>
      </c>
      <c r="F1035" s="2" t="str">
        <f>IF(A1035="","",IF(AND('Offset Inputs'!$B$5&gt;='Mortgage Inputs'!$B$5,'Mortgage Inputs'!$B$5&gt;0),C1035,MIN(C1035,MAX(0,'Mortgage Inputs'!$B$17-E1035))))</f>
        <v/>
      </c>
      <c r="G1035" s="2" t="str">
        <f t="shared" si="48"/>
        <v/>
      </c>
      <c r="H1035" s="2" t="str">
        <f>IF(A1035="","",IF(AND('Offset Inputs'!$B$5&gt;='Mortgage Inputs'!$B$5,'Mortgage Inputs'!$B$5&gt;0),'Offset Inputs'!$B$5-'Mortgage Inputs'!$B$5,D1035+'Offset Inputs'!$B$6))</f>
        <v/>
      </c>
    </row>
    <row r="1036" spans="1:8" ht="22" customHeight="1">
      <c r="A1036" s="1" t="str">
        <f>IF(AND('Mortgage Inputs'!$B$12,1030&lt;=IF('Mortgage Inputs'!$B$12,'Mortgage Inputs'!$B$7,0)*12+600,ISNUMBER(G1035),G1035&gt;0.005),1030,"")</f>
        <v/>
      </c>
      <c r="B1036" s="4" t="str">
        <f>IF(A1036="","",DATE(YEAR('Mortgage Inputs'!$B$8),MONTH('Mortgage Inputs'!$B$8)+A1036,DAY('Mortgage Inputs'!$B$8)))</f>
        <v/>
      </c>
      <c r="C1036" s="2" t="str">
        <f t="shared" si="49"/>
        <v/>
      </c>
      <c r="D1036" s="2" t="str">
        <f t="shared" si="50"/>
        <v/>
      </c>
      <c r="E1036" s="2" t="str">
        <f>IF(A1036="","",MAX(0,(C1036-MIN(D1036,C1036))*'Mortgage Inputs'!$B$15))</f>
        <v/>
      </c>
      <c r="F1036" s="2" t="str">
        <f>IF(A1036="","",IF(AND('Offset Inputs'!$B$5&gt;='Mortgage Inputs'!$B$5,'Mortgage Inputs'!$B$5&gt;0),C1036,MIN(C1036,MAX(0,'Mortgage Inputs'!$B$17-E1036))))</f>
        <v/>
      </c>
      <c r="G1036" s="2" t="str">
        <f t="shared" si="48"/>
        <v/>
      </c>
      <c r="H1036" s="2" t="str">
        <f>IF(A1036="","",IF(AND('Offset Inputs'!$B$5&gt;='Mortgage Inputs'!$B$5,'Mortgage Inputs'!$B$5&gt;0),'Offset Inputs'!$B$5-'Mortgage Inputs'!$B$5,D1036+'Offset Inputs'!$B$6))</f>
        <v/>
      </c>
    </row>
    <row r="1037" spans="1:8" ht="22" customHeight="1">
      <c r="A1037" s="1" t="str">
        <f>IF(AND('Mortgage Inputs'!$B$12,1031&lt;=IF('Mortgage Inputs'!$B$12,'Mortgage Inputs'!$B$7,0)*12+600,ISNUMBER(G1036),G1036&gt;0.005),1031,"")</f>
        <v/>
      </c>
      <c r="B1037" s="4" t="str">
        <f>IF(A1037="","",DATE(YEAR('Mortgage Inputs'!$B$8),MONTH('Mortgage Inputs'!$B$8)+A1037,DAY('Mortgage Inputs'!$B$8)))</f>
        <v/>
      </c>
      <c r="C1037" s="2" t="str">
        <f t="shared" si="49"/>
        <v/>
      </c>
      <c r="D1037" s="2" t="str">
        <f t="shared" si="50"/>
        <v/>
      </c>
      <c r="E1037" s="2" t="str">
        <f>IF(A1037="","",MAX(0,(C1037-MIN(D1037,C1037))*'Mortgage Inputs'!$B$15))</f>
        <v/>
      </c>
      <c r="F1037" s="2" t="str">
        <f>IF(A1037="","",IF(AND('Offset Inputs'!$B$5&gt;='Mortgage Inputs'!$B$5,'Mortgage Inputs'!$B$5&gt;0),C1037,MIN(C1037,MAX(0,'Mortgage Inputs'!$B$17-E1037))))</f>
        <v/>
      </c>
      <c r="G1037" s="2" t="str">
        <f t="shared" si="48"/>
        <v/>
      </c>
      <c r="H1037" s="2" t="str">
        <f>IF(A1037="","",IF(AND('Offset Inputs'!$B$5&gt;='Mortgage Inputs'!$B$5,'Mortgage Inputs'!$B$5&gt;0),'Offset Inputs'!$B$5-'Mortgage Inputs'!$B$5,D1037+'Offset Inputs'!$B$6))</f>
        <v/>
      </c>
    </row>
    <row r="1038" spans="1:8" ht="22" customHeight="1">
      <c r="A1038" s="1" t="str">
        <f>IF(AND('Mortgage Inputs'!$B$12,1032&lt;=IF('Mortgage Inputs'!$B$12,'Mortgage Inputs'!$B$7,0)*12+600,ISNUMBER(G1037),G1037&gt;0.005),1032,"")</f>
        <v/>
      </c>
      <c r="B1038" s="4" t="str">
        <f>IF(A1038="","",DATE(YEAR('Mortgage Inputs'!$B$8),MONTH('Mortgage Inputs'!$B$8)+A1038,DAY('Mortgage Inputs'!$B$8)))</f>
        <v/>
      </c>
      <c r="C1038" s="2" t="str">
        <f t="shared" si="49"/>
        <v/>
      </c>
      <c r="D1038" s="2" t="str">
        <f t="shared" si="50"/>
        <v/>
      </c>
      <c r="E1038" s="2" t="str">
        <f>IF(A1038="","",MAX(0,(C1038-MIN(D1038,C1038))*'Mortgage Inputs'!$B$15))</f>
        <v/>
      </c>
      <c r="F1038" s="2" t="str">
        <f>IF(A1038="","",IF(AND('Offset Inputs'!$B$5&gt;='Mortgage Inputs'!$B$5,'Mortgage Inputs'!$B$5&gt;0),C1038,MIN(C1038,MAX(0,'Mortgage Inputs'!$B$17-E1038))))</f>
        <v/>
      </c>
      <c r="G1038" s="2" t="str">
        <f t="shared" si="48"/>
        <v/>
      </c>
      <c r="H1038" s="2" t="str">
        <f>IF(A1038="","",IF(AND('Offset Inputs'!$B$5&gt;='Mortgage Inputs'!$B$5,'Mortgage Inputs'!$B$5&gt;0),'Offset Inputs'!$B$5-'Mortgage Inputs'!$B$5,D1038+'Offset Inputs'!$B$6))</f>
        <v/>
      </c>
    </row>
    <row r="1039" spans="1:8" ht="22" customHeight="1">
      <c r="A1039" s="1" t="str">
        <f>IF(AND('Mortgage Inputs'!$B$12,1033&lt;=IF('Mortgage Inputs'!$B$12,'Mortgage Inputs'!$B$7,0)*12+600,ISNUMBER(G1038),G1038&gt;0.005),1033,"")</f>
        <v/>
      </c>
      <c r="B1039" s="4" t="str">
        <f>IF(A1039="","",DATE(YEAR('Mortgage Inputs'!$B$8),MONTH('Mortgage Inputs'!$B$8)+A1039,DAY('Mortgage Inputs'!$B$8)))</f>
        <v/>
      </c>
      <c r="C1039" s="2" t="str">
        <f t="shared" si="49"/>
        <v/>
      </c>
      <c r="D1039" s="2" t="str">
        <f t="shared" si="50"/>
        <v/>
      </c>
      <c r="E1039" s="2" t="str">
        <f>IF(A1039="","",MAX(0,(C1039-MIN(D1039,C1039))*'Mortgage Inputs'!$B$15))</f>
        <v/>
      </c>
      <c r="F1039" s="2" t="str">
        <f>IF(A1039="","",IF(AND('Offset Inputs'!$B$5&gt;='Mortgage Inputs'!$B$5,'Mortgage Inputs'!$B$5&gt;0),C1039,MIN(C1039,MAX(0,'Mortgage Inputs'!$B$17-E1039))))</f>
        <v/>
      </c>
      <c r="G1039" s="2" t="str">
        <f t="shared" si="48"/>
        <v/>
      </c>
      <c r="H1039" s="2" t="str">
        <f>IF(A1039="","",IF(AND('Offset Inputs'!$B$5&gt;='Mortgage Inputs'!$B$5,'Mortgage Inputs'!$B$5&gt;0),'Offset Inputs'!$B$5-'Mortgage Inputs'!$B$5,D1039+'Offset Inputs'!$B$6))</f>
        <v/>
      </c>
    </row>
    <row r="1040" spans="1:8" ht="22" customHeight="1">
      <c r="A1040" s="1" t="str">
        <f>IF(AND('Mortgage Inputs'!$B$12,1034&lt;=IF('Mortgage Inputs'!$B$12,'Mortgage Inputs'!$B$7,0)*12+600,ISNUMBER(G1039),G1039&gt;0.005),1034,"")</f>
        <v/>
      </c>
      <c r="B1040" s="4" t="str">
        <f>IF(A1040="","",DATE(YEAR('Mortgage Inputs'!$B$8),MONTH('Mortgage Inputs'!$B$8)+A1040,DAY('Mortgage Inputs'!$B$8)))</f>
        <v/>
      </c>
      <c r="C1040" s="2" t="str">
        <f t="shared" si="49"/>
        <v/>
      </c>
      <c r="D1040" s="2" t="str">
        <f t="shared" si="50"/>
        <v/>
      </c>
      <c r="E1040" s="2" t="str">
        <f>IF(A1040="","",MAX(0,(C1040-MIN(D1040,C1040))*'Mortgage Inputs'!$B$15))</f>
        <v/>
      </c>
      <c r="F1040" s="2" t="str">
        <f>IF(A1040="","",IF(AND('Offset Inputs'!$B$5&gt;='Mortgage Inputs'!$B$5,'Mortgage Inputs'!$B$5&gt;0),C1040,MIN(C1040,MAX(0,'Mortgage Inputs'!$B$17-E1040))))</f>
        <v/>
      </c>
      <c r="G1040" s="2" t="str">
        <f t="shared" si="48"/>
        <v/>
      </c>
      <c r="H1040" s="2" t="str">
        <f>IF(A1040="","",IF(AND('Offset Inputs'!$B$5&gt;='Mortgage Inputs'!$B$5,'Mortgage Inputs'!$B$5&gt;0),'Offset Inputs'!$B$5-'Mortgage Inputs'!$B$5,D1040+'Offset Inputs'!$B$6))</f>
        <v/>
      </c>
    </row>
    <row r="1041" spans="1:8" ht="22" customHeight="1">
      <c r="A1041" s="1" t="str">
        <f>IF(AND('Mortgage Inputs'!$B$12,1035&lt;=IF('Mortgage Inputs'!$B$12,'Mortgage Inputs'!$B$7,0)*12+600,ISNUMBER(G1040),G1040&gt;0.005),1035,"")</f>
        <v/>
      </c>
      <c r="B1041" s="4" t="str">
        <f>IF(A1041="","",DATE(YEAR('Mortgage Inputs'!$B$8),MONTH('Mortgage Inputs'!$B$8)+A1041,DAY('Mortgage Inputs'!$B$8)))</f>
        <v/>
      </c>
      <c r="C1041" s="2" t="str">
        <f t="shared" si="49"/>
        <v/>
      </c>
      <c r="D1041" s="2" t="str">
        <f t="shared" si="50"/>
        <v/>
      </c>
      <c r="E1041" s="2" t="str">
        <f>IF(A1041="","",MAX(0,(C1041-MIN(D1041,C1041))*'Mortgage Inputs'!$B$15))</f>
        <v/>
      </c>
      <c r="F1041" s="2" t="str">
        <f>IF(A1041="","",IF(AND('Offset Inputs'!$B$5&gt;='Mortgage Inputs'!$B$5,'Mortgage Inputs'!$B$5&gt;0),C1041,MIN(C1041,MAX(0,'Mortgage Inputs'!$B$17-E1041))))</f>
        <v/>
      </c>
      <c r="G1041" s="2" t="str">
        <f t="shared" si="48"/>
        <v/>
      </c>
      <c r="H1041" s="2" t="str">
        <f>IF(A1041="","",IF(AND('Offset Inputs'!$B$5&gt;='Mortgage Inputs'!$B$5,'Mortgage Inputs'!$B$5&gt;0),'Offset Inputs'!$B$5-'Mortgage Inputs'!$B$5,D1041+'Offset Inputs'!$B$6))</f>
        <v/>
      </c>
    </row>
    <row r="1042" spans="1:8" ht="22" customHeight="1">
      <c r="A1042" s="1" t="str">
        <f>IF(AND('Mortgage Inputs'!$B$12,1036&lt;=IF('Mortgage Inputs'!$B$12,'Mortgage Inputs'!$B$7,0)*12+600,ISNUMBER(G1041),G1041&gt;0.005),1036,"")</f>
        <v/>
      </c>
      <c r="B1042" s="4" t="str">
        <f>IF(A1042="","",DATE(YEAR('Mortgage Inputs'!$B$8),MONTH('Mortgage Inputs'!$B$8)+A1042,DAY('Mortgage Inputs'!$B$8)))</f>
        <v/>
      </c>
      <c r="C1042" s="2" t="str">
        <f t="shared" si="49"/>
        <v/>
      </c>
      <c r="D1042" s="2" t="str">
        <f t="shared" si="50"/>
        <v/>
      </c>
      <c r="E1042" s="2" t="str">
        <f>IF(A1042="","",MAX(0,(C1042-MIN(D1042,C1042))*'Mortgage Inputs'!$B$15))</f>
        <v/>
      </c>
      <c r="F1042" s="2" t="str">
        <f>IF(A1042="","",IF(AND('Offset Inputs'!$B$5&gt;='Mortgage Inputs'!$B$5,'Mortgage Inputs'!$B$5&gt;0),C1042,MIN(C1042,MAX(0,'Mortgage Inputs'!$B$17-E1042))))</f>
        <v/>
      </c>
      <c r="G1042" s="2" t="str">
        <f t="shared" si="48"/>
        <v/>
      </c>
      <c r="H1042" s="2" t="str">
        <f>IF(A1042="","",IF(AND('Offset Inputs'!$B$5&gt;='Mortgage Inputs'!$B$5,'Mortgage Inputs'!$B$5&gt;0),'Offset Inputs'!$B$5-'Mortgage Inputs'!$B$5,D1042+'Offset Inputs'!$B$6))</f>
        <v/>
      </c>
    </row>
    <row r="1043" spans="1:8" ht="22" customHeight="1">
      <c r="A1043" s="1" t="str">
        <f>IF(AND('Mortgage Inputs'!$B$12,1037&lt;=IF('Mortgage Inputs'!$B$12,'Mortgage Inputs'!$B$7,0)*12+600,ISNUMBER(G1042),G1042&gt;0.005),1037,"")</f>
        <v/>
      </c>
      <c r="B1043" s="4" t="str">
        <f>IF(A1043="","",DATE(YEAR('Mortgage Inputs'!$B$8),MONTH('Mortgage Inputs'!$B$8)+A1043,DAY('Mortgage Inputs'!$B$8)))</f>
        <v/>
      </c>
      <c r="C1043" s="2" t="str">
        <f t="shared" si="49"/>
        <v/>
      </c>
      <c r="D1043" s="2" t="str">
        <f t="shared" si="50"/>
        <v/>
      </c>
      <c r="E1043" s="2" t="str">
        <f>IF(A1043="","",MAX(0,(C1043-MIN(D1043,C1043))*'Mortgage Inputs'!$B$15))</f>
        <v/>
      </c>
      <c r="F1043" s="2" t="str">
        <f>IF(A1043="","",IF(AND('Offset Inputs'!$B$5&gt;='Mortgage Inputs'!$B$5,'Mortgage Inputs'!$B$5&gt;0),C1043,MIN(C1043,MAX(0,'Mortgage Inputs'!$B$17-E1043))))</f>
        <v/>
      </c>
      <c r="G1043" s="2" t="str">
        <f t="shared" si="48"/>
        <v/>
      </c>
      <c r="H1043" s="2" t="str">
        <f>IF(A1043="","",IF(AND('Offset Inputs'!$B$5&gt;='Mortgage Inputs'!$B$5,'Mortgage Inputs'!$B$5&gt;0),'Offset Inputs'!$B$5-'Mortgage Inputs'!$B$5,D1043+'Offset Inputs'!$B$6))</f>
        <v/>
      </c>
    </row>
    <row r="1044" spans="1:8" ht="22" customHeight="1">
      <c r="A1044" s="1" t="str">
        <f>IF(AND('Mortgage Inputs'!$B$12,1038&lt;=IF('Mortgage Inputs'!$B$12,'Mortgage Inputs'!$B$7,0)*12+600,ISNUMBER(G1043),G1043&gt;0.005),1038,"")</f>
        <v/>
      </c>
      <c r="B1044" s="4" t="str">
        <f>IF(A1044="","",DATE(YEAR('Mortgage Inputs'!$B$8),MONTH('Mortgage Inputs'!$B$8)+A1044,DAY('Mortgage Inputs'!$B$8)))</f>
        <v/>
      </c>
      <c r="C1044" s="2" t="str">
        <f t="shared" si="49"/>
        <v/>
      </c>
      <c r="D1044" s="2" t="str">
        <f t="shared" si="50"/>
        <v/>
      </c>
      <c r="E1044" s="2" t="str">
        <f>IF(A1044="","",MAX(0,(C1044-MIN(D1044,C1044))*'Mortgage Inputs'!$B$15))</f>
        <v/>
      </c>
      <c r="F1044" s="2" t="str">
        <f>IF(A1044="","",IF(AND('Offset Inputs'!$B$5&gt;='Mortgage Inputs'!$B$5,'Mortgage Inputs'!$B$5&gt;0),C1044,MIN(C1044,MAX(0,'Mortgage Inputs'!$B$17-E1044))))</f>
        <v/>
      </c>
      <c r="G1044" s="2" t="str">
        <f t="shared" si="48"/>
        <v/>
      </c>
      <c r="H1044" s="2" t="str">
        <f>IF(A1044="","",IF(AND('Offset Inputs'!$B$5&gt;='Mortgage Inputs'!$B$5,'Mortgage Inputs'!$B$5&gt;0),'Offset Inputs'!$B$5-'Mortgage Inputs'!$B$5,D1044+'Offset Inputs'!$B$6))</f>
        <v/>
      </c>
    </row>
    <row r="1045" spans="1:8" ht="22" customHeight="1">
      <c r="A1045" s="1" t="str">
        <f>IF(AND('Mortgage Inputs'!$B$12,1039&lt;=IF('Mortgage Inputs'!$B$12,'Mortgage Inputs'!$B$7,0)*12+600,ISNUMBER(G1044),G1044&gt;0.005),1039,"")</f>
        <v/>
      </c>
      <c r="B1045" s="4" t="str">
        <f>IF(A1045="","",DATE(YEAR('Mortgage Inputs'!$B$8),MONTH('Mortgage Inputs'!$B$8)+A1045,DAY('Mortgage Inputs'!$B$8)))</f>
        <v/>
      </c>
      <c r="C1045" s="2" t="str">
        <f t="shared" si="49"/>
        <v/>
      </c>
      <c r="D1045" s="2" t="str">
        <f t="shared" si="50"/>
        <v/>
      </c>
      <c r="E1045" s="2" t="str">
        <f>IF(A1045="","",MAX(0,(C1045-MIN(D1045,C1045))*'Mortgage Inputs'!$B$15))</f>
        <v/>
      </c>
      <c r="F1045" s="2" t="str">
        <f>IF(A1045="","",IF(AND('Offset Inputs'!$B$5&gt;='Mortgage Inputs'!$B$5,'Mortgage Inputs'!$B$5&gt;0),C1045,MIN(C1045,MAX(0,'Mortgage Inputs'!$B$17-E1045))))</f>
        <v/>
      </c>
      <c r="G1045" s="2" t="str">
        <f t="shared" si="48"/>
        <v/>
      </c>
      <c r="H1045" s="2" t="str">
        <f>IF(A1045="","",IF(AND('Offset Inputs'!$B$5&gt;='Mortgage Inputs'!$B$5,'Mortgage Inputs'!$B$5&gt;0),'Offset Inputs'!$B$5-'Mortgage Inputs'!$B$5,D1045+'Offset Inputs'!$B$6))</f>
        <v/>
      </c>
    </row>
    <row r="1046" spans="1:8" ht="22" customHeight="1">
      <c r="A1046" s="1" t="str">
        <f>IF(AND('Mortgage Inputs'!$B$12,1040&lt;=IF('Mortgage Inputs'!$B$12,'Mortgage Inputs'!$B$7,0)*12+600,ISNUMBER(G1045),G1045&gt;0.005),1040,"")</f>
        <v/>
      </c>
      <c r="B1046" s="4" t="str">
        <f>IF(A1046="","",DATE(YEAR('Mortgage Inputs'!$B$8),MONTH('Mortgage Inputs'!$B$8)+A1046,DAY('Mortgage Inputs'!$B$8)))</f>
        <v/>
      </c>
      <c r="C1046" s="2" t="str">
        <f t="shared" si="49"/>
        <v/>
      </c>
      <c r="D1046" s="2" t="str">
        <f t="shared" si="50"/>
        <v/>
      </c>
      <c r="E1046" s="2" t="str">
        <f>IF(A1046="","",MAX(0,(C1046-MIN(D1046,C1046))*'Mortgage Inputs'!$B$15))</f>
        <v/>
      </c>
      <c r="F1046" s="2" t="str">
        <f>IF(A1046="","",IF(AND('Offset Inputs'!$B$5&gt;='Mortgage Inputs'!$B$5,'Mortgage Inputs'!$B$5&gt;0),C1046,MIN(C1046,MAX(0,'Mortgage Inputs'!$B$17-E1046))))</f>
        <v/>
      </c>
      <c r="G1046" s="2" t="str">
        <f t="shared" si="48"/>
        <v/>
      </c>
      <c r="H1046" s="2" t="str">
        <f>IF(A1046="","",IF(AND('Offset Inputs'!$B$5&gt;='Mortgage Inputs'!$B$5,'Mortgage Inputs'!$B$5&gt;0),'Offset Inputs'!$B$5-'Mortgage Inputs'!$B$5,D1046+'Offset Inputs'!$B$6))</f>
        <v/>
      </c>
    </row>
    <row r="1047" spans="1:8" ht="22" customHeight="1">
      <c r="A1047" s="1" t="str">
        <f>IF(AND('Mortgage Inputs'!$B$12,1041&lt;=IF('Mortgage Inputs'!$B$12,'Mortgage Inputs'!$B$7,0)*12+600,ISNUMBER(G1046),G1046&gt;0.005),1041,"")</f>
        <v/>
      </c>
      <c r="B1047" s="4" t="str">
        <f>IF(A1047="","",DATE(YEAR('Mortgage Inputs'!$B$8),MONTH('Mortgage Inputs'!$B$8)+A1047,DAY('Mortgage Inputs'!$B$8)))</f>
        <v/>
      </c>
      <c r="C1047" s="2" t="str">
        <f t="shared" si="49"/>
        <v/>
      </c>
      <c r="D1047" s="2" t="str">
        <f t="shared" si="50"/>
        <v/>
      </c>
      <c r="E1047" s="2" t="str">
        <f>IF(A1047="","",MAX(0,(C1047-MIN(D1047,C1047))*'Mortgage Inputs'!$B$15))</f>
        <v/>
      </c>
      <c r="F1047" s="2" t="str">
        <f>IF(A1047="","",IF(AND('Offset Inputs'!$B$5&gt;='Mortgage Inputs'!$B$5,'Mortgage Inputs'!$B$5&gt;0),C1047,MIN(C1047,MAX(0,'Mortgage Inputs'!$B$17-E1047))))</f>
        <v/>
      </c>
      <c r="G1047" s="2" t="str">
        <f t="shared" si="48"/>
        <v/>
      </c>
      <c r="H1047" s="2" t="str">
        <f>IF(A1047="","",IF(AND('Offset Inputs'!$B$5&gt;='Mortgage Inputs'!$B$5,'Mortgage Inputs'!$B$5&gt;0),'Offset Inputs'!$B$5-'Mortgage Inputs'!$B$5,D1047+'Offset Inputs'!$B$6))</f>
        <v/>
      </c>
    </row>
    <row r="1048" spans="1:8" ht="22" customHeight="1">
      <c r="A1048" s="1" t="str">
        <f>IF(AND('Mortgage Inputs'!$B$12,1042&lt;=IF('Mortgage Inputs'!$B$12,'Mortgage Inputs'!$B$7,0)*12+600,ISNUMBER(G1047),G1047&gt;0.005),1042,"")</f>
        <v/>
      </c>
      <c r="B1048" s="4" t="str">
        <f>IF(A1048="","",DATE(YEAR('Mortgage Inputs'!$B$8),MONTH('Mortgage Inputs'!$B$8)+A1048,DAY('Mortgage Inputs'!$B$8)))</f>
        <v/>
      </c>
      <c r="C1048" s="2" t="str">
        <f t="shared" si="49"/>
        <v/>
      </c>
      <c r="D1048" s="2" t="str">
        <f t="shared" si="50"/>
        <v/>
      </c>
      <c r="E1048" s="2" t="str">
        <f>IF(A1048="","",MAX(0,(C1048-MIN(D1048,C1048))*'Mortgage Inputs'!$B$15))</f>
        <v/>
      </c>
      <c r="F1048" s="2" t="str">
        <f>IF(A1048="","",IF(AND('Offset Inputs'!$B$5&gt;='Mortgage Inputs'!$B$5,'Mortgage Inputs'!$B$5&gt;0),C1048,MIN(C1048,MAX(0,'Mortgage Inputs'!$B$17-E1048))))</f>
        <v/>
      </c>
      <c r="G1048" s="2" t="str">
        <f t="shared" si="48"/>
        <v/>
      </c>
      <c r="H1048" s="2" t="str">
        <f>IF(A1048="","",IF(AND('Offset Inputs'!$B$5&gt;='Mortgage Inputs'!$B$5,'Mortgage Inputs'!$B$5&gt;0),'Offset Inputs'!$B$5-'Mortgage Inputs'!$B$5,D1048+'Offset Inputs'!$B$6))</f>
        <v/>
      </c>
    </row>
    <row r="1049" spans="1:8" ht="22" customHeight="1">
      <c r="A1049" s="1" t="str">
        <f>IF(AND('Mortgage Inputs'!$B$12,1043&lt;=IF('Mortgage Inputs'!$B$12,'Mortgage Inputs'!$B$7,0)*12+600,ISNUMBER(G1048),G1048&gt;0.005),1043,"")</f>
        <v/>
      </c>
      <c r="B1049" s="4" t="str">
        <f>IF(A1049="","",DATE(YEAR('Mortgage Inputs'!$B$8),MONTH('Mortgage Inputs'!$B$8)+A1049,DAY('Mortgage Inputs'!$B$8)))</f>
        <v/>
      </c>
      <c r="C1049" s="2" t="str">
        <f t="shared" si="49"/>
        <v/>
      </c>
      <c r="D1049" s="2" t="str">
        <f t="shared" si="50"/>
        <v/>
      </c>
      <c r="E1049" s="2" t="str">
        <f>IF(A1049="","",MAX(0,(C1049-MIN(D1049,C1049))*'Mortgage Inputs'!$B$15))</f>
        <v/>
      </c>
      <c r="F1049" s="2" t="str">
        <f>IF(A1049="","",IF(AND('Offset Inputs'!$B$5&gt;='Mortgage Inputs'!$B$5,'Mortgage Inputs'!$B$5&gt;0),C1049,MIN(C1049,MAX(0,'Mortgage Inputs'!$B$17-E1049))))</f>
        <v/>
      </c>
      <c r="G1049" s="2" t="str">
        <f t="shared" si="48"/>
        <v/>
      </c>
      <c r="H1049" s="2" t="str">
        <f>IF(A1049="","",IF(AND('Offset Inputs'!$B$5&gt;='Mortgage Inputs'!$B$5,'Mortgage Inputs'!$B$5&gt;0),'Offset Inputs'!$B$5-'Mortgage Inputs'!$B$5,D1049+'Offset Inputs'!$B$6))</f>
        <v/>
      </c>
    </row>
    <row r="1050" spans="1:8" ht="22" customHeight="1">
      <c r="A1050" s="1" t="str">
        <f>IF(AND('Mortgage Inputs'!$B$12,1044&lt;=IF('Mortgage Inputs'!$B$12,'Mortgage Inputs'!$B$7,0)*12+600,ISNUMBER(G1049),G1049&gt;0.005),1044,"")</f>
        <v/>
      </c>
      <c r="B1050" s="4" t="str">
        <f>IF(A1050="","",DATE(YEAR('Mortgage Inputs'!$B$8),MONTH('Mortgage Inputs'!$B$8)+A1050,DAY('Mortgage Inputs'!$B$8)))</f>
        <v/>
      </c>
      <c r="C1050" s="2" t="str">
        <f t="shared" si="49"/>
        <v/>
      </c>
      <c r="D1050" s="2" t="str">
        <f t="shared" si="50"/>
        <v/>
      </c>
      <c r="E1050" s="2" t="str">
        <f>IF(A1050="","",MAX(0,(C1050-MIN(D1050,C1050))*'Mortgage Inputs'!$B$15))</f>
        <v/>
      </c>
      <c r="F1050" s="2" t="str">
        <f>IF(A1050="","",IF(AND('Offset Inputs'!$B$5&gt;='Mortgage Inputs'!$B$5,'Mortgage Inputs'!$B$5&gt;0),C1050,MIN(C1050,MAX(0,'Mortgage Inputs'!$B$17-E1050))))</f>
        <v/>
      </c>
      <c r="G1050" s="2" t="str">
        <f t="shared" si="48"/>
        <v/>
      </c>
      <c r="H1050" s="2" t="str">
        <f>IF(A1050="","",IF(AND('Offset Inputs'!$B$5&gt;='Mortgage Inputs'!$B$5,'Mortgage Inputs'!$B$5&gt;0),'Offset Inputs'!$B$5-'Mortgage Inputs'!$B$5,D1050+'Offset Inputs'!$B$6))</f>
        <v/>
      </c>
    </row>
    <row r="1051" spans="1:8" ht="22" customHeight="1">
      <c r="A1051" s="1" t="str">
        <f>IF(AND('Mortgage Inputs'!$B$12,1045&lt;=IF('Mortgage Inputs'!$B$12,'Mortgage Inputs'!$B$7,0)*12+600,ISNUMBER(G1050),G1050&gt;0.005),1045,"")</f>
        <v/>
      </c>
      <c r="B1051" s="4" t="str">
        <f>IF(A1051="","",DATE(YEAR('Mortgage Inputs'!$B$8),MONTH('Mortgage Inputs'!$B$8)+A1051,DAY('Mortgage Inputs'!$B$8)))</f>
        <v/>
      </c>
      <c r="C1051" s="2" t="str">
        <f t="shared" si="49"/>
        <v/>
      </c>
      <c r="D1051" s="2" t="str">
        <f t="shared" si="50"/>
        <v/>
      </c>
      <c r="E1051" s="2" t="str">
        <f>IF(A1051="","",MAX(0,(C1051-MIN(D1051,C1051))*'Mortgage Inputs'!$B$15))</f>
        <v/>
      </c>
      <c r="F1051" s="2" t="str">
        <f>IF(A1051="","",IF(AND('Offset Inputs'!$B$5&gt;='Mortgage Inputs'!$B$5,'Mortgage Inputs'!$B$5&gt;0),C1051,MIN(C1051,MAX(0,'Mortgage Inputs'!$B$17-E1051))))</f>
        <v/>
      </c>
      <c r="G1051" s="2" t="str">
        <f t="shared" si="48"/>
        <v/>
      </c>
      <c r="H1051" s="2" t="str">
        <f>IF(A1051="","",IF(AND('Offset Inputs'!$B$5&gt;='Mortgage Inputs'!$B$5,'Mortgage Inputs'!$B$5&gt;0),'Offset Inputs'!$B$5-'Mortgage Inputs'!$B$5,D1051+'Offset Inputs'!$B$6))</f>
        <v/>
      </c>
    </row>
    <row r="1052" spans="1:8" ht="22" customHeight="1">
      <c r="A1052" s="1" t="str">
        <f>IF(AND('Mortgage Inputs'!$B$12,1046&lt;=IF('Mortgage Inputs'!$B$12,'Mortgage Inputs'!$B$7,0)*12+600,ISNUMBER(G1051),G1051&gt;0.005),1046,"")</f>
        <v/>
      </c>
      <c r="B1052" s="4" t="str">
        <f>IF(A1052="","",DATE(YEAR('Mortgage Inputs'!$B$8),MONTH('Mortgage Inputs'!$B$8)+A1052,DAY('Mortgage Inputs'!$B$8)))</f>
        <v/>
      </c>
      <c r="C1052" s="2" t="str">
        <f t="shared" si="49"/>
        <v/>
      </c>
      <c r="D1052" s="2" t="str">
        <f t="shared" si="50"/>
        <v/>
      </c>
      <c r="E1052" s="2" t="str">
        <f>IF(A1052="","",MAX(0,(C1052-MIN(D1052,C1052))*'Mortgage Inputs'!$B$15))</f>
        <v/>
      </c>
      <c r="F1052" s="2" t="str">
        <f>IF(A1052="","",IF(AND('Offset Inputs'!$B$5&gt;='Mortgage Inputs'!$B$5,'Mortgage Inputs'!$B$5&gt;0),C1052,MIN(C1052,MAX(0,'Mortgage Inputs'!$B$17-E1052))))</f>
        <v/>
      </c>
      <c r="G1052" s="2" t="str">
        <f t="shared" si="48"/>
        <v/>
      </c>
      <c r="H1052" s="2" t="str">
        <f>IF(A1052="","",IF(AND('Offset Inputs'!$B$5&gt;='Mortgage Inputs'!$B$5,'Mortgage Inputs'!$B$5&gt;0),'Offset Inputs'!$B$5-'Mortgage Inputs'!$B$5,D1052+'Offset Inputs'!$B$6))</f>
        <v/>
      </c>
    </row>
    <row r="1053" spans="1:8" ht="22" customHeight="1">
      <c r="A1053" s="1" t="str">
        <f>IF(AND('Mortgage Inputs'!$B$12,1047&lt;=IF('Mortgage Inputs'!$B$12,'Mortgage Inputs'!$B$7,0)*12+600,ISNUMBER(G1052),G1052&gt;0.005),1047,"")</f>
        <v/>
      </c>
      <c r="B1053" s="4" t="str">
        <f>IF(A1053="","",DATE(YEAR('Mortgage Inputs'!$B$8),MONTH('Mortgage Inputs'!$B$8)+A1053,DAY('Mortgage Inputs'!$B$8)))</f>
        <v/>
      </c>
      <c r="C1053" s="2" t="str">
        <f t="shared" si="49"/>
        <v/>
      </c>
      <c r="D1053" s="2" t="str">
        <f t="shared" si="50"/>
        <v/>
      </c>
      <c r="E1053" s="2" t="str">
        <f>IF(A1053="","",MAX(0,(C1053-MIN(D1053,C1053))*'Mortgage Inputs'!$B$15))</f>
        <v/>
      </c>
      <c r="F1053" s="2" t="str">
        <f>IF(A1053="","",IF(AND('Offset Inputs'!$B$5&gt;='Mortgage Inputs'!$B$5,'Mortgage Inputs'!$B$5&gt;0),C1053,MIN(C1053,MAX(0,'Mortgage Inputs'!$B$17-E1053))))</f>
        <v/>
      </c>
      <c r="G1053" s="2" t="str">
        <f t="shared" si="48"/>
        <v/>
      </c>
      <c r="H1053" s="2" t="str">
        <f>IF(A1053="","",IF(AND('Offset Inputs'!$B$5&gt;='Mortgage Inputs'!$B$5,'Mortgage Inputs'!$B$5&gt;0),'Offset Inputs'!$B$5-'Mortgage Inputs'!$B$5,D1053+'Offset Inputs'!$B$6))</f>
        <v/>
      </c>
    </row>
    <row r="1054" spans="1:8" ht="22" customHeight="1">
      <c r="A1054" s="1" t="str">
        <f>IF(AND('Mortgage Inputs'!$B$12,1048&lt;=IF('Mortgage Inputs'!$B$12,'Mortgage Inputs'!$B$7,0)*12+600,ISNUMBER(G1053),G1053&gt;0.005),1048,"")</f>
        <v/>
      </c>
      <c r="B1054" s="4" t="str">
        <f>IF(A1054="","",DATE(YEAR('Mortgage Inputs'!$B$8),MONTH('Mortgage Inputs'!$B$8)+A1054,DAY('Mortgage Inputs'!$B$8)))</f>
        <v/>
      </c>
      <c r="C1054" s="2" t="str">
        <f t="shared" si="49"/>
        <v/>
      </c>
      <c r="D1054" s="2" t="str">
        <f t="shared" si="50"/>
        <v/>
      </c>
      <c r="E1054" s="2" t="str">
        <f>IF(A1054="","",MAX(0,(C1054-MIN(D1054,C1054))*'Mortgage Inputs'!$B$15))</f>
        <v/>
      </c>
      <c r="F1054" s="2" t="str">
        <f>IF(A1054="","",IF(AND('Offset Inputs'!$B$5&gt;='Mortgage Inputs'!$B$5,'Mortgage Inputs'!$B$5&gt;0),C1054,MIN(C1054,MAX(0,'Mortgage Inputs'!$B$17-E1054))))</f>
        <v/>
      </c>
      <c r="G1054" s="2" t="str">
        <f t="shared" si="48"/>
        <v/>
      </c>
      <c r="H1054" s="2" t="str">
        <f>IF(A1054="","",IF(AND('Offset Inputs'!$B$5&gt;='Mortgage Inputs'!$B$5,'Mortgage Inputs'!$B$5&gt;0),'Offset Inputs'!$B$5-'Mortgage Inputs'!$B$5,D1054+'Offset Inputs'!$B$6))</f>
        <v/>
      </c>
    </row>
    <row r="1055" spans="1:8" ht="22" customHeight="1">
      <c r="A1055" s="1" t="str">
        <f>IF(AND('Mortgage Inputs'!$B$12,1049&lt;=IF('Mortgage Inputs'!$B$12,'Mortgage Inputs'!$B$7,0)*12+600,ISNUMBER(G1054),G1054&gt;0.005),1049,"")</f>
        <v/>
      </c>
      <c r="B1055" s="4" t="str">
        <f>IF(A1055="","",DATE(YEAR('Mortgage Inputs'!$B$8),MONTH('Mortgage Inputs'!$B$8)+A1055,DAY('Mortgage Inputs'!$B$8)))</f>
        <v/>
      </c>
      <c r="C1055" s="2" t="str">
        <f t="shared" si="49"/>
        <v/>
      </c>
      <c r="D1055" s="2" t="str">
        <f t="shared" si="50"/>
        <v/>
      </c>
      <c r="E1055" s="2" t="str">
        <f>IF(A1055="","",MAX(0,(C1055-MIN(D1055,C1055))*'Mortgage Inputs'!$B$15))</f>
        <v/>
      </c>
      <c r="F1055" s="2" t="str">
        <f>IF(A1055="","",IF(AND('Offset Inputs'!$B$5&gt;='Mortgage Inputs'!$B$5,'Mortgage Inputs'!$B$5&gt;0),C1055,MIN(C1055,MAX(0,'Mortgage Inputs'!$B$17-E1055))))</f>
        <v/>
      </c>
      <c r="G1055" s="2" t="str">
        <f t="shared" si="48"/>
        <v/>
      </c>
      <c r="H1055" s="2" t="str">
        <f>IF(A1055="","",IF(AND('Offset Inputs'!$B$5&gt;='Mortgage Inputs'!$B$5,'Mortgage Inputs'!$B$5&gt;0),'Offset Inputs'!$B$5-'Mortgage Inputs'!$B$5,D1055+'Offset Inputs'!$B$6))</f>
        <v/>
      </c>
    </row>
    <row r="1056" spans="1:8" ht="22" customHeight="1">
      <c r="A1056" s="1" t="str">
        <f>IF(AND('Mortgage Inputs'!$B$12,1050&lt;=IF('Mortgage Inputs'!$B$12,'Mortgage Inputs'!$B$7,0)*12+600,ISNUMBER(G1055),G1055&gt;0.005),1050,"")</f>
        <v/>
      </c>
      <c r="B1056" s="4" t="str">
        <f>IF(A1056="","",DATE(YEAR('Mortgage Inputs'!$B$8),MONTH('Mortgage Inputs'!$B$8)+A1056,DAY('Mortgage Inputs'!$B$8)))</f>
        <v/>
      </c>
      <c r="C1056" s="2" t="str">
        <f t="shared" si="49"/>
        <v/>
      </c>
      <c r="D1056" s="2" t="str">
        <f t="shared" si="50"/>
        <v/>
      </c>
      <c r="E1056" s="2" t="str">
        <f>IF(A1056="","",MAX(0,(C1056-MIN(D1056,C1056))*'Mortgage Inputs'!$B$15))</f>
        <v/>
      </c>
      <c r="F1056" s="2" t="str">
        <f>IF(A1056="","",IF(AND('Offset Inputs'!$B$5&gt;='Mortgage Inputs'!$B$5,'Mortgage Inputs'!$B$5&gt;0),C1056,MIN(C1056,MAX(0,'Mortgage Inputs'!$B$17-E1056))))</f>
        <v/>
      </c>
      <c r="G1056" s="2" t="str">
        <f t="shared" si="48"/>
        <v/>
      </c>
      <c r="H1056" s="2" t="str">
        <f>IF(A1056="","",IF(AND('Offset Inputs'!$B$5&gt;='Mortgage Inputs'!$B$5,'Mortgage Inputs'!$B$5&gt;0),'Offset Inputs'!$B$5-'Mortgage Inputs'!$B$5,D1056+'Offset Inputs'!$B$6))</f>
        <v/>
      </c>
    </row>
    <row r="1057" spans="1:8" ht="22" customHeight="1">
      <c r="A1057" s="1" t="str">
        <f>IF(AND('Mortgage Inputs'!$B$12,1051&lt;=IF('Mortgage Inputs'!$B$12,'Mortgage Inputs'!$B$7,0)*12+600,ISNUMBER(G1056),G1056&gt;0.005),1051,"")</f>
        <v/>
      </c>
      <c r="B1057" s="4" t="str">
        <f>IF(A1057="","",DATE(YEAR('Mortgage Inputs'!$B$8),MONTH('Mortgage Inputs'!$B$8)+A1057,DAY('Mortgage Inputs'!$B$8)))</f>
        <v/>
      </c>
      <c r="C1057" s="2" t="str">
        <f t="shared" si="49"/>
        <v/>
      </c>
      <c r="D1057" s="2" t="str">
        <f t="shared" si="50"/>
        <v/>
      </c>
      <c r="E1057" s="2" t="str">
        <f>IF(A1057="","",MAX(0,(C1057-MIN(D1057,C1057))*'Mortgage Inputs'!$B$15))</f>
        <v/>
      </c>
      <c r="F1057" s="2" t="str">
        <f>IF(A1057="","",IF(AND('Offset Inputs'!$B$5&gt;='Mortgage Inputs'!$B$5,'Mortgage Inputs'!$B$5&gt;0),C1057,MIN(C1057,MAX(0,'Mortgage Inputs'!$B$17-E1057))))</f>
        <v/>
      </c>
      <c r="G1057" s="2" t="str">
        <f t="shared" si="48"/>
        <v/>
      </c>
      <c r="H1057" s="2" t="str">
        <f>IF(A1057="","",IF(AND('Offset Inputs'!$B$5&gt;='Mortgage Inputs'!$B$5,'Mortgage Inputs'!$B$5&gt;0),'Offset Inputs'!$B$5-'Mortgage Inputs'!$B$5,D1057+'Offset Inputs'!$B$6))</f>
        <v/>
      </c>
    </row>
    <row r="1058" spans="1:8" ht="22" customHeight="1">
      <c r="A1058" s="1" t="str">
        <f>IF(AND('Mortgage Inputs'!$B$12,1052&lt;=IF('Mortgage Inputs'!$B$12,'Mortgage Inputs'!$B$7,0)*12+600,ISNUMBER(G1057),G1057&gt;0.005),1052,"")</f>
        <v/>
      </c>
      <c r="B1058" s="4" t="str">
        <f>IF(A1058="","",DATE(YEAR('Mortgage Inputs'!$B$8),MONTH('Mortgage Inputs'!$B$8)+A1058,DAY('Mortgage Inputs'!$B$8)))</f>
        <v/>
      </c>
      <c r="C1058" s="2" t="str">
        <f t="shared" si="49"/>
        <v/>
      </c>
      <c r="D1058" s="2" t="str">
        <f t="shared" si="50"/>
        <v/>
      </c>
      <c r="E1058" s="2" t="str">
        <f>IF(A1058="","",MAX(0,(C1058-MIN(D1058,C1058))*'Mortgage Inputs'!$B$15))</f>
        <v/>
      </c>
      <c r="F1058" s="2" t="str">
        <f>IF(A1058="","",IF(AND('Offset Inputs'!$B$5&gt;='Mortgage Inputs'!$B$5,'Mortgage Inputs'!$B$5&gt;0),C1058,MIN(C1058,MAX(0,'Mortgage Inputs'!$B$17-E1058))))</f>
        <v/>
      </c>
      <c r="G1058" s="2" t="str">
        <f t="shared" si="48"/>
        <v/>
      </c>
      <c r="H1058" s="2" t="str">
        <f>IF(A1058="","",IF(AND('Offset Inputs'!$B$5&gt;='Mortgage Inputs'!$B$5,'Mortgage Inputs'!$B$5&gt;0),'Offset Inputs'!$B$5-'Mortgage Inputs'!$B$5,D1058+'Offset Inputs'!$B$6))</f>
        <v/>
      </c>
    </row>
    <row r="1059" spans="1:8" ht="22" customHeight="1">
      <c r="A1059" s="1" t="str">
        <f>IF(AND('Mortgage Inputs'!$B$12,1053&lt;=IF('Mortgage Inputs'!$B$12,'Mortgage Inputs'!$B$7,0)*12+600,ISNUMBER(G1058),G1058&gt;0.005),1053,"")</f>
        <v/>
      </c>
      <c r="B1059" s="4" t="str">
        <f>IF(A1059="","",DATE(YEAR('Mortgage Inputs'!$B$8),MONTH('Mortgage Inputs'!$B$8)+A1059,DAY('Mortgage Inputs'!$B$8)))</f>
        <v/>
      </c>
      <c r="C1059" s="2" t="str">
        <f t="shared" si="49"/>
        <v/>
      </c>
      <c r="D1059" s="2" t="str">
        <f t="shared" si="50"/>
        <v/>
      </c>
      <c r="E1059" s="2" t="str">
        <f>IF(A1059="","",MAX(0,(C1059-MIN(D1059,C1059))*'Mortgage Inputs'!$B$15))</f>
        <v/>
      </c>
      <c r="F1059" s="2" t="str">
        <f>IF(A1059="","",IF(AND('Offset Inputs'!$B$5&gt;='Mortgage Inputs'!$B$5,'Mortgage Inputs'!$B$5&gt;0),C1059,MIN(C1059,MAX(0,'Mortgage Inputs'!$B$17-E1059))))</f>
        <v/>
      </c>
      <c r="G1059" s="2" t="str">
        <f t="shared" si="48"/>
        <v/>
      </c>
      <c r="H1059" s="2" t="str">
        <f>IF(A1059="","",IF(AND('Offset Inputs'!$B$5&gt;='Mortgage Inputs'!$B$5,'Mortgage Inputs'!$B$5&gt;0),'Offset Inputs'!$B$5-'Mortgage Inputs'!$B$5,D1059+'Offset Inputs'!$B$6))</f>
        <v/>
      </c>
    </row>
    <row r="1060" spans="1:8" ht="22" customHeight="1">
      <c r="A1060" s="1" t="str">
        <f>IF(AND('Mortgage Inputs'!$B$12,1054&lt;=IF('Mortgage Inputs'!$B$12,'Mortgage Inputs'!$B$7,0)*12+600,ISNUMBER(G1059),G1059&gt;0.005),1054,"")</f>
        <v/>
      </c>
      <c r="B1060" s="4" t="str">
        <f>IF(A1060="","",DATE(YEAR('Mortgage Inputs'!$B$8),MONTH('Mortgage Inputs'!$B$8)+A1060,DAY('Mortgage Inputs'!$B$8)))</f>
        <v/>
      </c>
      <c r="C1060" s="2" t="str">
        <f t="shared" si="49"/>
        <v/>
      </c>
      <c r="D1060" s="2" t="str">
        <f t="shared" si="50"/>
        <v/>
      </c>
      <c r="E1060" s="2" t="str">
        <f>IF(A1060="","",MAX(0,(C1060-MIN(D1060,C1060))*'Mortgage Inputs'!$B$15))</f>
        <v/>
      </c>
      <c r="F1060" s="2" t="str">
        <f>IF(A1060="","",IF(AND('Offset Inputs'!$B$5&gt;='Mortgage Inputs'!$B$5,'Mortgage Inputs'!$B$5&gt;0),C1060,MIN(C1060,MAX(0,'Mortgage Inputs'!$B$17-E1060))))</f>
        <v/>
      </c>
      <c r="G1060" s="2" t="str">
        <f t="shared" si="48"/>
        <v/>
      </c>
      <c r="H1060" s="2" t="str">
        <f>IF(A1060="","",IF(AND('Offset Inputs'!$B$5&gt;='Mortgage Inputs'!$B$5,'Mortgage Inputs'!$B$5&gt;0),'Offset Inputs'!$B$5-'Mortgage Inputs'!$B$5,D1060+'Offset Inputs'!$B$6))</f>
        <v/>
      </c>
    </row>
    <row r="1061" spans="1:8" ht="22" customHeight="1">
      <c r="A1061" s="1" t="str">
        <f>IF(AND('Mortgage Inputs'!$B$12,1055&lt;=IF('Mortgage Inputs'!$B$12,'Mortgage Inputs'!$B$7,0)*12+600,ISNUMBER(G1060),G1060&gt;0.005),1055,"")</f>
        <v/>
      </c>
      <c r="B1061" s="4" t="str">
        <f>IF(A1061="","",DATE(YEAR('Mortgage Inputs'!$B$8),MONTH('Mortgage Inputs'!$B$8)+A1061,DAY('Mortgage Inputs'!$B$8)))</f>
        <v/>
      </c>
      <c r="C1061" s="2" t="str">
        <f t="shared" si="49"/>
        <v/>
      </c>
      <c r="D1061" s="2" t="str">
        <f t="shared" si="50"/>
        <v/>
      </c>
      <c r="E1061" s="2" t="str">
        <f>IF(A1061="","",MAX(0,(C1061-MIN(D1061,C1061))*'Mortgage Inputs'!$B$15))</f>
        <v/>
      </c>
      <c r="F1061" s="2" t="str">
        <f>IF(A1061="","",IF(AND('Offset Inputs'!$B$5&gt;='Mortgage Inputs'!$B$5,'Mortgage Inputs'!$B$5&gt;0),C1061,MIN(C1061,MAX(0,'Mortgage Inputs'!$B$17-E1061))))</f>
        <v/>
      </c>
      <c r="G1061" s="2" t="str">
        <f t="shared" si="48"/>
        <v/>
      </c>
      <c r="H1061" s="2" t="str">
        <f>IF(A1061="","",IF(AND('Offset Inputs'!$B$5&gt;='Mortgage Inputs'!$B$5,'Mortgage Inputs'!$B$5&gt;0),'Offset Inputs'!$B$5-'Mortgage Inputs'!$B$5,D1061+'Offset Inputs'!$B$6))</f>
        <v/>
      </c>
    </row>
    <row r="1062" spans="1:8" ht="22" customHeight="1">
      <c r="A1062" s="1" t="str">
        <f>IF(AND('Mortgage Inputs'!$B$12,1056&lt;=IF('Mortgage Inputs'!$B$12,'Mortgage Inputs'!$B$7,0)*12+600,ISNUMBER(G1061),G1061&gt;0.005),1056,"")</f>
        <v/>
      </c>
      <c r="B1062" s="4" t="str">
        <f>IF(A1062="","",DATE(YEAR('Mortgage Inputs'!$B$8),MONTH('Mortgage Inputs'!$B$8)+A1062,DAY('Mortgage Inputs'!$B$8)))</f>
        <v/>
      </c>
      <c r="C1062" s="2" t="str">
        <f t="shared" si="49"/>
        <v/>
      </c>
      <c r="D1062" s="2" t="str">
        <f t="shared" si="50"/>
        <v/>
      </c>
      <c r="E1062" s="2" t="str">
        <f>IF(A1062="","",MAX(0,(C1062-MIN(D1062,C1062))*'Mortgage Inputs'!$B$15))</f>
        <v/>
      </c>
      <c r="F1062" s="2" t="str">
        <f>IF(A1062="","",IF(AND('Offset Inputs'!$B$5&gt;='Mortgage Inputs'!$B$5,'Mortgage Inputs'!$B$5&gt;0),C1062,MIN(C1062,MAX(0,'Mortgage Inputs'!$B$17-E1062))))</f>
        <v/>
      </c>
      <c r="G1062" s="2" t="str">
        <f t="shared" si="48"/>
        <v/>
      </c>
      <c r="H1062" s="2" t="str">
        <f>IF(A1062="","",IF(AND('Offset Inputs'!$B$5&gt;='Mortgage Inputs'!$B$5,'Mortgage Inputs'!$B$5&gt;0),'Offset Inputs'!$B$5-'Mortgage Inputs'!$B$5,D1062+'Offset Inputs'!$B$6))</f>
        <v/>
      </c>
    </row>
    <row r="1063" spans="1:8" ht="22" customHeight="1">
      <c r="A1063" s="1" t="str">
        <f>IF(AND('Mortgage Inputs'!$B$12,1057&lt;=IF('Mortgage Inputs'!$B$12,'Mortgage Inputs'!$B$7,0)*12+600,ISNUMBER(G1062),G1062&gt;0.005),1057,"")</f>
        <v/>
      </c>
      <c r="B1063" s="4" t="str">
        <f>IF(A1063="","",DATE(YEAR('Mortgage Inputs'!$B$8),MONTH('Mortgage Inputs'!$B$8)+A1063,DAY('Mortgage Inputs'!$B$8)))</f>
        <v/>
      </c>
      <c r="C1063" s="2" t="str">
        <f t="shared" si="49"/>
        <v/>
      </c>
      <c r="D1063" s="2" t="str">
        <f t="shared" si="50"/>
        <v/>
      </c>
      <c r="E1063" s="2" t="str">
        <f>IF(A1063="","",MAX(0,(C1063-MIN(D1063,C1063))*'Mortgage Inputs'!$B$15))</f>
        <v/>
      </c>
      <c r="F1063" s="2" t="str">
        <f>IF(A1063="","",IF(AND('Offset Inputs'!$B$5&gt;='Mortgage Inputs'!$B$5,'Mortgage Inputs'!$B$5&gt;0),C1063,MIN(C1063,MAX(0,'Mortgage Inputs'!$B$17-E1063))))</f>
        <v/>
      </c>
      <c r="G1063" s="2" t="str">
        <f t="shared" si="48"/>
        <v/>
      </c>
      <c r="H1063" s="2" t="str">
        <f>IF(A1063="","",IF(AND('Offset Inputs'!$B$5&gt;='Mortgage Inputs'!$B$5,'Mortgage Inputs'!$B$5&gt;0),'Offset Inputs'!$B$5-'Mortgage Inputs'!$B$5,D1063+'Offset Inputs'!$B$6))</f>
        <v/>
      </c>
    </row>
    <row r="1064" spans="1:8" ht="22" customHeight="1">
      <c r="A1064" s="1" t="str">
        <f>IF(AND('Mortgage Inputs'!$B$12,1058&lt;=IF('Mortgage Inputs'!$B$12,'Mortgage Inputs'!$B$7,0)*12+600,ISNUMBER(G1063),G1063&gt;0.005),1058,"")</f>
        <v/>
      </c>
      <c r="B1064" s="4" t="str">
        <f>IF(A1064="","",DATE(YEAR('Mortgage Inputs'!$B$8),MONTH('Mortgage Inputs'!$B$8)+A1064,DAY('Mortgage Inputs'!$B$8)))</f>
        <v/>
      </c>
      <c r="C1064" s="2" t="str">
        <f t="shared" si="49"/>
        <v/>
      </c>
      <c r="D1064" s="2" t="str">
        <f t="shared" si="50"/>
        <v/>
      </c>
      <c r="E1064" s="2" t="str">
        <f>IF(A1064="","",MAX(0,(C1064-MIN(D1064,C1064))*'Mortgage Inputs'!$B$15))</f>
        <v/>
      </c>
      <c r="F1064" s="2" t="str">
        <f>IF(A1064="","",IF(AND('Offset Inputs'!$B$5&gt;='Mortgage Inputs'!$B$5,'Mortgage Inputs'!$B$5&gt;0),C1064,MIN(C1064,MAX(0,'Mortgage Inputs'!$B$17-E1064))))</f>
        <v/>
      </c>
      <c r="G1064" s="2" t="str">
        <f t="shared" si="48"/>
        <v/>
      </c>
      <c r="H1064" s="2" t="str">
        <f>IF(A1064="","",IF(AND('Offset Inputs'!$B$5&gt;='Mortgage Inputs'!$B$5,'Mortgage Inputs'!$B$5&gt;0),'Offset Inputs'!$B$5-'Mortgage Inputs'!$B$5,D1064+'Offset Inputs'!$B$6))</f>
        <v/>
      </c>
    </row>
    <row r="1065" spans="1:8" ht="22" customHeight="1">
      <c r="A1065" s="1" t="str">
        <f>IF(AND('Mortgage Inputs'!$B$12,1059&lt;=IF('Mortgage Inputs'!$B$12,'Mortgage Inputs'!$B$7,0)*12+600,ISNUMBER(G1064),G1064&gt;0.005),1059,"")</f>
        <v/>
      </c>
      <c r="B1065" s="4" t="str">
        <f>IF(A1065="","",DATE(YEAR('Mortgage Inputs'!$B$8),MONTH('Mortgage Inputs'!$B$8)+A1065,DAY('Mortgage Inputs'!$B$8)))</f>
        <v/>
      </c>
      <c r="C1065" s="2" t="str">
        <f t="shared" si="49"/>
        <v/>
      </c>
      <c r="D1065" s="2" t="str">
        <f t="shared" si="50"/>
        <v/>
      </c>
      <c r="E1065" s="2" t="str">
        <f>IF(A1065="","",MAX(0,(C1065-MIN(D1065,C1065))*'Mortgage Inputs'!$B$15))</f>
        <v/>
      </c>
      <c r="F1065" s="2" t="str">
        <f>IF(A1065="","",IF(AND('Offset Inputs'!$B$5&gt;='Mortgage Inputs'!$B$5,'Mortgage Inputs'!$B$5&gt;0),C1065,MIN(C1065,MAX(0,'Mortgage Inputs'!$B$17-E1065))))</f>
        <v/>
      </c>
      <c r="G1065" s="2" t="str">
        <f t="shared" si="48"/>
        <v/>
      </c>
      <c r="H1065" s="2" t="str">
        <f>IF(A1065="","",IF(AND('Offset Inputs'!$B$5&gt;='Mortgage Inputs'!$B$5,'Mortgage Inputs'!$B$5&gt;0),'Offset Inputs'!$B$5-'Mortgage Inputs'!$B$5,D1065+'Offset Inputs'!$B$6))</f>
        <v/>
      </c>
    </row>
    <row r="1066" spans="1:8" ht="22" customHeight="1">
      <c r="A1066" s="1" t="str">
        <f>IF(AND('Mortgage Inputs'!$B$12,1060&lt;=IF('Mortgage Inputs'!$B$12,'Mortgage Inputs'!$B$7,0)*12+600,ISNUMBER(G1065),G1065&gt;0.005),1060,"")</f>
        <v/>
      </c>
      <c r="B1066" s="4" t="str">
        <f>IF(A1066="","",DATE(YEAR('Mortgage Inputs'!$B$8),MONTH('Mortgage Inputs'!$B$8)+A1066,DAY('Mortgage Inputs'!$B$8)))</f>
        <v/>
      </c>
      <c r="C1066" s="2" t="str">
        <f t="shared" si="49"/>
        <v/>
      </c>
      <c r="D1066" s="2" t="str">
        <f t="shared" si="50"/>
        <v/>
      </c>
      <c r="E1066" s="2" t="str">
        <f>IF(A1066="","",MAX(0,(C1066-MIN(D1066,C1066))*'Mortgage Inputs'!$B$15))</f>
        <v/>
      </c>
      <c r="F1066" s="2" t="str">
        <f>IF(A1066="","",IF(AND('Offset Inputs'!$B$5&gt;='Mortgage Inputs'!$B$5,'Mortgage Inputs'!$B$5&gt;0),C1066,MIN(C1066,MAX(0,'Mortgage Inputs'!$B$17-E1066))))</f>
        <v/>
      </c>
      <c r="G1066" s="2" t="str">
        <f t="shared" si="48"/>
        <v/>
      </c>
      <c r="H1066" s="2" t="str">
        <f>IF(A1066="","",IF(AND('Offset Inputs'!$B$5&gt;='Mortgage Inputs'!$B$5,'Mortgage Inputs'!$B$5&gt;0),'Offset Inputs'!$B$5-'Mortgage Inputs'!$B$5,D1066+'Offset Inputs'!$B$6))</f>
        <v/>
      </c>
    </row>
    <row r="1067" spans="1:8" ht="22" customHeight="1">
      <c r="A1067" s="1" t="str">
        <f>IF(AND('Mortgage Inputs'!$B$12,1061&lt;=IF('Mortgage Inputs'!$B$12,'Mortgage Inputs'!$B$7,0)*12+600,ISNUMBER(G1066),G1066&gt;0.005),1061,"")</f>
        <v/>
      </c>
      <c r="B1067" s="4" t="str">
        <f>IF(A1067="","",DATE(YEAR('Mortgage Inputs'!$B$8),MONTH('Mortgage Inputs'!$B$8)+A1067,DAY('Mortgage Inputs'!$B$8)))</f>
        <v/>
      </c>
      <c r="C1067" s="2" t="str">
        <f t="shared" si="49"/>
        <v/>
      </c>
      <c r="D1067" s="2" t="str">
        <f t="shared" si="50"/>
        <v/>
      </c>
      <c r="E1067" s="2" t="str">
        <f>IF(A1067="","",MAX(0,(C1067-MIN(D1067,C1067))*'Mortgage Inputs'!$B$15))</f>
        <v/>
      </c>
      <c r="F1067" s="2" t="str">
        <f>IF(A1067="","",IF(AND('Offset Inputs'!$B$5&gt;='Mortgage Inputs'!$B$5,'Mortgage Inputs'!$B$5&gt;0),C1067,MIN(C1067,MAX(0,'Mortgage Inputs'!$B$17-E1067))))</f>
        <v/>
      </c>
      <c r="G1067" s="2" t="str">
        <f t="shared" si="48"/>
        <v/>
      </c>
      <c r="H1067" s="2" t="str">
        <f>IF(A1067="","",IF(AND('Offset Inputs'!$B$5&gt;='Mortgage Inputs'!$B$5,'Mortgage Inputs'!$B$5&gt;0),'Offset Inputs'!$B$5-'Mortgage Inputs'!$B$5,D1067+'Offset Inputs'!$B$6))</f>
        <v/>
      </c>
    </row>
    <row r="1068" spans="1:8" ht="22" customHeight="1">
      <c r="A1068" s="1" t="str">
        <f>IF(AND('Mortgage Inputs'!$B$12,1062&lt;=IF('Mortgage Inputs'!$B$12,'Mortgage Inputs'!$B$7,0)*12+600,ISNUMBER(G1067),G1067&gt;0.005),1062,"")</f>
        <v/>
      </c>
      <c r="B1068" s="4" t="str">
        <f>IF(A1068="","",DATE(YEAR('Mortgage Inputs'!$B$8),MONTH('Mortgage Inputs'!$B$8)+A1068,DAY('Mortgage Inputs'!$B$8)))</f>
        <v/>
      </c>
      <c r="C1068" s="2" t="str">
        <f t="shared" si="49"/>
        <v/>
      </c>
      <c r="D1068" s="2" t="str">
        <f t="shared" si="50"/>
        <v/>
      </c>
      <c r="E1068" s="2" t="str">
        <f>IF(A1068="","",MAX(0,(C1068-MIN(D1068,C1068))*'Mortgage Inputs'!$B$15))</f>
        <v/>
      </c>
      <c r="F1068" s="2" t="str">
        <f>IF(A1068="","",IF(AND('Offset Inputs'!$B$5&gt;='Mortgage Inputs'!$B$5,'Mortgage Inputs'!$B$5&gt;0),C1068,MIN(C1068,MAX(0,'Mortgage Inputs'!$B$17-E1068))))</f>
        <v/>
      </c>
      <c r="G1068" s="2" t="str">
        <f t="shared" si="48"/>
        <v/>
      </c>
      <c r="H1068" s="2" t="str">
        <f>IF(A1068="","",IF(AND('Offset Inputs'!$B$5&gt;='Mortgage Inputs'!$B$5,'Mortgage Inputs'!$B$5&gt;0),'Offset Inputs'!$B$5-'Mortgage Inputs'!$B$5,D1068+'Offset Inputs'!$B$6))</f>
        <v/>
      </c>
    </row>
    <row r="1069" spans="1:8" ht="22" customHeight="1">
      <c r="A1069" s="1" t="str">
        <f>IF(AND('Mortgage Inputs'!$B$12,1063&lt;=IF('Mortgage Inputs'!$B$12,'Mortgage Inputs'!$B$7,0)*12+600,ISNUMBER(G1068),G1068&gt;0.005),1063,"")</f>
        <v/>
      </c>
      <c r="B1069" s="4" t="str">
        <f>IF(A1069="","",DATE(YEAR('Mortgage Inputs'!$B$8),MONTH('Mortgage Inputs'!$B$8)+A1069,DAY('Mortgage Inputs'!$B$8)))</f>
        <v/>
      </c>
      <c r="C1069" s="2" t="str">
        <f t="shared" si="49"/>
        <v/>
      </c>
      <c r="D1069" s="2" t="str">
        <f t="shared" si="50"/>
        <v/>
      </c>
      <c r="E1069" s="2" t="str">
        <f>IF(A1069="","",MAX(0,(C1069-MIN(D1069,C1069))*'Mortgage Inputs'!$B$15))</f>
        <v/>
      </c>
      <c r="F1069" s="2" t="str">
        <f>IF(A1069="","",IF(AND('Offset Inputs'!$B$5&gt;='Mortgage Inputs'!$B$5,'Mortgage Inputs'!$B$5&gt;0),C1069,MIN(C1069,MAX(0,'Mortgage Inputs'!$B$17-E1069))))</f>
        <v/>
      </c>
      <c r="G1069" s="2" t="str">
        <f t="shared" si="48"/>
        <v/>
      </c>
      <c r="H1069" s="2" t="str">
        <f>IF(A1069="","",IF(AND('Offset Inputs'!$B$5&gt;='Mortgage Inputs'!$B$5,'Mortgage Inputs'!$B$5&gt;0),'Offset Inputs'!$B$5-'Mortgage Inputs'!$B$5,D1069+'Offset Inputs'!$B$6))</f>
        <v/>
      </c>
    </row>
    <row r="1070" spans="1:8" ht="22" customHeight="1">
      <c r="A1070" s="1" t="str">
        <f>IF(AND('Mortgage Inputs'!$B$12,1064&lt;=IF('Mortgage Inputs'!$B$12,'Mortgage Inputs'!$B$7,0)*12+600,ISNUMBER(G1069),G1069&gt;0.005),1064,"")</f>
        <v/>
      </c>
      <c r="B1070" s="4" t="str">
        <f>IF(A1070="","",DATE(YEAR('Mortgage Inputs'!$B$8),MONTH('Mortgage Inputs'!$B$8)+A1070,DAY('Mortgage Inputs'!$B$8)))</f>
        <v/>
      </c>
      <c r="C1070" s="2" t="str">
        <f t="shared" si="49"/>
        <v/>
      </c>
      <c r="D1070" s="2" t="str">
        <f t="shared" si="50"/>
        <v/>
      </c>
      <c r="E1070" s="2" t="str">
        <f>IF(A1070="","",MAX(0,(C1070-MIN(D1070,C1070))*'Mortgage Inputs'!$B$15))</f>
        <v/>
      </c>
      <c r="F1070" s="2" t="str">
        <f>IF(A1070="","",IF(AND('Offset Inputs'!$B$5&gt;='Mortgage Inputs'!$B$5,'Mortgage Inputs'!$B$5&gt;0),C1070,MIN(C1070,MAX(0,'Mortgage Inputs'!$B$17-E1070))))</f>
        <v/>
      </c>
      <c r="G1070" s="2" t="str">
        <f t="shared" si="48"/>
        <v/>
      </c>
      <c r="H1070" s="2" t="str">
        <f>IF(A1070="","",IF(AND('Offset Inputs'!$B$5&gt;='Mortgage Inputs'!$B$5,'Mortgage Inputs'!$B$5&gt;0),'Offset Inputs'!$B$5-'Mortgage Inputs'!$B$5,D1070+'Offset Inputs'!$B$6))</f>
        <v/>
      </c>
    </row>
    <row r="1071" spans="1:8" ht="22" customHeight="1">
      <c r="A1071" s="1" t="str">
        <f>IF(AND('Mortgage Inputs'!$B$12,1065&lt;=IF('Mortgage Inputs'!$B$12,'Mortgage Inputs'!$B$7,0)*12+600,ISNUMBER(G1070),G1070&gt;0.005),1065,"")</f>
        <v/>
      </c>
      <c r="B1071" s="4" t="str">
        <f>IF(A1071="","",DATE(YEAR('Mortgage Inputs'!$B$8),MONTH('Mortgage Inputs'!$B$8)+A1071,DAY('Mortgage Inputs'!$B$8)))</f>
        <v/>
      </c>
      <c r="C1071" s="2" t="str">
        <f t="shared" si="49"/>
        <v/>
      </c>
      <c r="D1071" s="2" t="str">
        <f t="shared" si="50"/>
        <v/>
      </c>
      <c r="E1071" s="2" t="str">
        <f>IF(A1071="","",MAX(0,(C1071-MIN(D1071,C1071))*'Mortgage Inputs'!$B$15))</f>
        <v/>
      </c>
      <c r="F1071" s="2" t="str">
        <f>IF(A1071="","",IF(AND('Offset Inputs'!$B$5&gt;='Mortgage Inputs'!$B$5,'Mortgage Inputs'!$B$5&gt;0),C1071,MIN(C1071,MAX(0,'Mortgage Inputs'!$B$17-E1071))))</f>
        <v/>
      </c>
      <c r="G1071" s="2" t="str">
        <f t="shared" si="48"/>
        <v/>
      </c>
      <c r="H1071" s="2" t="str">
        <f>IF(A1071="","",IF(AND('Offset Inputs'!$B$5&gt;='Mortgage Inputs'!$B$5,'Mortgage Inputs'!$B$5&gt;0),'Offset Inputs'!$B$5-'Mortgage Inputs'!$B$5,D1071+'Offset Inputs'!$B$6))</f>
        <v/>
      </c>
    </row>
    <row r="1072" spans="1:8" ht="22" customHeight="1">
      <c r="A1072" s="1" t="str">
        <f>IF(AND('Mortgage Inputs'!$B$12,1066&lt;=IF('Mortgage Inputs'!$B$12,'Mortgage Inputs'!$B$7,0)*12+600,ISNUMBER(G1071),G1071&gt;0.005),1066,"")</f>
        <v/>
      </c>
      <c r="B1072" s="4" t="str">
        <f>IF(A1072="","",DATE(YEAR('Mortgage Inputs'!$B$8),MONTH('Mortgage Inputs'!$B$8)+A1072,DAY('Mortgage Inputs'!$B$8)))</f>
        <v/>
      </c>
      <c r="C1072" s="2" t="str">
        <f t="shared" si="49"/>
        <v/>
      </c>
      <c r="D1072" s="2" t="str">
        <f t="shared" si="50"/>
        <v/>
      </c>
      <c r="E1072" s="2" t="str">
        <f>IF(A1072="","",MAX(0,(C1072-MIN(D1072,C1072))*'Mortgage Inputs'!$B$15))</f>
        <v/>
      </c>
      <c r="F1072" s="2" t="str">
        <f>IF(A1072="","",IF(AND('Offset Inputs'!$B$5&gt;='Mortgage Inputs'!$B$5,'Mortgage Inputs'!$B$5&gt;0),C1072,MIN(C1072,MAX(0,'Mortgage Inputs'!$B$17-E1072))))</f>
        <v/>
      </c>
      <c r="G1072" s="2" t="str">
        <f t="shared" si="48"/>
        <v/>
      </c>
      <c r="H1072" s="2" t="str">
        <f>IF(A1072="","",IF(AND('Offset Inputs'!$B$5&gt;='Mortgage Inputs'!$B$5,'Mortgage Inputs'!$B$5&gt;0),'Offset Inputs'!$B$5-'Mortgage Inputs'!$B$5,D1072+'Offset Inputs'!$B$6))</f>
        <v/>
      </c>
    </row>
    <row r="1073" spans="1:8" ht="22" customHeight="1">
      <c r="A1073" s="1" t="str">
        <f>IF(AND('Mortgage Inputs'!$B$12,1067&lt;=IF('Mortgage Inputs'!$B$12,'Mortgage Inputs'!$B$7,0)*12+600,ISNUMBER(G1072),G1072&gt;0.005),1067,"")</f>
        <v/>
      </c>
      <c r="B1073" s="4" t="str">
        <f>IF(A1073="","",DATE(YEAR('Mortgage Inputs'!$B$8),MONTH('Mortgage Inputs'!$B$8)+A1073,DAY('Mortgage Inputs'!$B$8)))</f>
        <v/>
      </c>
      <c r="C1073" s="2" t="str">
        <f t="shared" si="49"/>
        <v/>
      </c>
      <c r="D1073" s="2" t="str">
        <f t="shared" si="50"/>
        <v/>
      </c>
      <c r="E1073" s="2" t="str">
        <f>IF(A1073="","",MAX(0,(C1073-MIN(D1073,C1073))*'Mortgage Inputs'!$B$15))</f>
        <v/>
      </c>
      <c r="F1073" s="2" t="str">
        <f>IF(A1073="","",IF(AND('Offset Inputs'!$B$5&gt;='Mortgage Inputs'!$B$5,'Mortgage Inputs'!$B$5&gt;0),C1073,MIN(C1073,MAX(0,'Mortgage Inputs'!$B$17-E1073))))</f>
        <v/>
      </c>
      <c r="G1073" s="2" t="str">
        <f t="shared" si="48"/>
        <v/>
      </c>
      <c r="H1073" s="2" t="str">
        <f>IF(A1073="","",IF(AND('Offset Inputs'!$B$5&gt;='Mortgage Inputs'!$B$5,'Mortgage Inputs'!$B$5&gt;0),'Offset Inputs'!$B$5-'Mortgage Inputs'!$B$5,D1073+'Offset Inputs'!$B$6))</f>
        <v/>
      </c>
    </row>
    <row r="1074" spans="1:8" ht="22" customHeight="1">
      <c r="A1074" s="1" t="str">
        <f>IF(AND('Mortgage Inputs'!$B$12,1068&lt;=IF('Mortgage Inputs'!$B$12,'Mortgage Inputs'!$B$7,0)*12+600,ISNUMBER(G1073),G1073&gt;0.005),1068,"")</f>
        <v/>
      </c>
      <c r="B1074" s="4" t="str">
        <f>IF(A1074="","",DATE(YEAR('Mortgage Inputs'!$B$8),MONTH('Mortgage Inputs'!$B$8)+A1074,DAY('Mortgage Inputs'!$B$8)))</f>
        <v/>
      </c>
      <c r="C1074" s="2" t="str">
        <f t="shared" si="49"/>
        <v/>
      </c>
      <c r="D1074" s="2" t="str">
        <f t="shared" si="50"/>
        <v/>
      </c>
      <c r="E1074" s="2" t="str">
        <f>IF(A1074="","",MAX(0,(C1074-MIN(D1074,C1074))*'Mortgage Inputs'!$B$15))</f>
        <v/>
      </c>
      <c r="F1074" s="2" t="str">
        <f>IF(A1074="","",IF(AND('Offset Inputs'!$B$5&gt;='Mortgage Inputs'!$B$5,'Mortgage Inputs'!$B$5&gt;0),C1074,MIN(C1074,MAX(0,'Mortgage Inputs'!$B$17-E1074))))</f>
        <v/>
      </c>
      <c r="G1074" s="2" t="str">
        <f t="shared" si="48"/>
        <v/>
      </c>
      <c r="H1074" s="2" t="str">
        <f>IF(A1074="","",IF(AND('Offset Inputs'!$B$5&gt;='Mortgage Inputs'!$B$5,'Mortgage Inputs'!$B$5&gt;0),'Offset Inputs'!$B$5-'Mortgage Inputs'!$B$5,D1074+'Offset Inputs'!$B$6))</f>
        <v/>
      </c>
    </row>
    <row r="1075" spans="1:8" ht="22" customHeight="1">
      <c r="A1075" s="1" t="str">
        <f>IF(AND('Mortgage Inputs'!$B$12,1069&lt;=IF('Mortgage Inputs'!$B$12,'Mortgage Inputs'!$B$7,0)*12+600,ISNUMBER(G1074),G1074&gt;0.005),1069,"")</f>
        <v/>
      </c>
      <c r="B1075" s="4" t="str">
        <f>IF(A1075="","",DATE(YEAR('Mortgage Inputs'!$B$8),MONTH('Mortgage Inputs'!$B$8)+A1075,DAY('Mortgage Inputs'!$B$8)))</f>
        <v/>
      </c>
      <c r="C1075" s="2" t="str">
        <f t="shared" si="49"/>
        <v/>
      </c>
      <c r="D1075" s="2" t="str">
        <f t="shared" si="50"/>
        <v/>
      </c>
      <c r="E1075" s="2" t="str">
        <f>IF(A1075="","",MAX(0,(C1075-MIN(D1075,C1075))*'Mortgage Inputs'!$B$15))</f>
        <v/>
      </c>
      <c r="F1075" s="2" t="str">
        <f>IF(A1075="","",IF(AND('Offset Inputs'!$B$5&gt;='Mortgage Inputs'!$B$5,'Mortgage Inputs'!$B$5&gt;0),C1075,MIN(C1075,MAX(0,'Mortgage Inputs'!$B$17-E1075))))</f>
        <v/>
      </c>
      <c r="G1075" s="2" t="str">
        <f t="shared" si="48"/>
        <v/>
      </c>
      <c r="H1075" s="2" t="str">
        <f>IF(A1075="","",IF(AND('Offset Inputs'!$B$5&gt;='Mortgage Inputs'!$B$5,'Mortgage Inputs'!$B$5&gt;0),'Offset Inputs'!$B$5-'Mortgage Inputs'!$B$5,D1075+'Offset Inputs'!$B$6))</f>
        <v/>
      </c>
    </row>
    <row r="1076" spans="1:8" ht="22" customHeight="1">
      <c r="A1076" s="1" t="str">
        <f>IF(AND('Mortgage Inputs'!$B$12,1070&lt;=IF('Mortgage Inputs'!$B$12,'Mortgage Inputs'!$B$7,0)*12+600,ISNUMBER(G1075),G1075&gt;0.005),1070,"")</f>
        <v/>
      </c>
      <c r="B1076" s="4" t="str">
        <f>IF(A1076="","",DATE(YEAR('Mortgage Inputs'!$B$8),MONTH('Mortgage Inputs'!$B$8)+A1076,DAY('Mortgage Inputs'!$B$8)))</f>
        <v/>
      </c>
      <c r="C1076" s="2" t="str">
        <f t="shared" si="49"/>
        <v/>
      </c>
      <c r="D1076" s="2" t="str">
        <f t="shared" si="50"/>
        <v/>
      </c>
      <c r="E1076" s="2" t="str">
        <f>IF(A1076="","",MAX(0,(C1076-MIN(D1076,C1076))*'Mortgage Inputs'!$B$15))</f>
        <v/>
      </c>
      <c r="F1076" s="2" t="str">
        <f>IF(A1076="","",IF(AND('Offset Inputs'!$B$5&gt;='Mortgage Inputs'!$B$5,'Mortgage Inputs'!$B$5&gt;0),C1076,MIN(C1076,MAX(0,'Mortgage Inputs'!$B$17-E1076))))</f>
        <v/>
      </c>
      <c r="G1076" s="2" t="str">
        <f t="shared" si="48"/>
        <v/>
      </c>
      <c r="H1076" s="2" t="str">
        <f>IF(A1076="","",IF(AND('Offset Inputs'!$B$5&gt;='Mortgage Inputs'!$B$5,'Mortgage Inputs'!$B$5&gt;0),'Offset Inputs'!$B$5-'Mortgage Inputs'!$B$5,D1076+'Offset Inputs'!$B$6))</f>
        <v/>
      </c>
    </row>
    <row r="1077" spans="1:8" ht="22" customHeight="1">
      <c r="A1077" s="1" t="str">
        <f>IF(AND('Mortgage Inputs'!$B$12,1071&lt;=IF('Mortgage Inputs'!$B$12,'Mortgage Inputs'!$B$7,0)*12+600,ISNUMBER(G1076),G1076&gt;0.005),1071,"")</f>
        <v/>
      </c>
      <c r="B1077" s="4" t="str">
        <f>IF(A1077="","",DATE(YEAR('Mortgage Inputs'!$B$8),MONTH('Mortgage Inputs'!$B$8)+A1077,DAY('Mortgage Inputs'!$B$8)))</f>
        <v/>
      </c>
      <c r="C1077" s="2" t="str">
        <f t="shared" si="49"/>
        <v/>
      </c>
      <c r="D1077" s="2" t="str">
        <f t="shared" si="50"/>
        <v/>
      </c>
      <c r="E1077" s="2" t="str">
        <f>IF(A1077="","",MAX(0,(C1077-MIN(D1077,C1077))*'Mortgage Inputs'!$B$15))</f>
        <v/>
      </c>
      <c r="F1077" s="2" t="str">
        <f>IF(A1077="","",IF(AND('Offset Inputs'!$B$5&gt;='Mortgage Inputs'!$B$5,'Mortgage Inputs'!$B$5&gt;0),C1077,MIN(C1077,MAX(0,'Mortgage Inputs'!$B$17-E1077))))</f>
        <v/>
      </c>
      <c r="G1077" s="2" t="str">
        <f t="shared" si="48"/>
        <v/>
      </c>
      <c r="H1077" s="2" t="str">
        <f>IF(A1077="","",IF(AND('Offset Inputs'!$B$5&gt;='Mortgage Inputs'!$B$5,'Mortgage Inputs'!$B$5&gt;0),'Offset Inputs'!$B$5-'Mortgage Inputs'!$B$5,D1077+'Offset Inputs'!$B$6))</f>
        <v/>
      </c>
    </row>
    <row r="1078" spans="1:8" ht="22" customHeight="1">
      <c r="A1078" s="1" t="str">
        <f>IF(AND('Mortgage Inputs'!$B$12,1072&lt;=IF('Mortgage Inputs'!$B$12,'Mortgage Inputs'!$B$7,0)*12+600,ISNUMBER(G1077),G1077&gt;0.005),1072,"")</f>
        <v/>
      </c>
      <c r="B1078" s="4" t="str">
        <f>IF(A1078="","",DATE(YEAR('Mortgage Inputs'!$B$8),MONTH('Mortgage Inputs'!$B$8)+A1078,DAY('Mortgage Inputs'!$B$8)))</f>
        <v/>
      </c>
      <c r="C1078" s="2" t="str">
        <f t="shared" si="49"/>
        <v/>
      </c>
      <c r="D1078" s="2" t="str">
        <f t="shared" si="50"/>
        <v/>
      </c>
      <c r="E1078" s="2" t="str">
        <f>IF(A1078="","",MAX(0,(C1078-MIN(D1078,C1078))*'Mortgage Inputs'!$B$15))</f>
        <v/>
      </c>
      <c r="F1078" s="2" t="str">
        <f>IF(A1078="","",IF(AND('Offset Inputs'!$B$5&gt;='Mortgage Inputs'!$B$5,'Mortgage Inputs'!$B$5&gt;0),C1078,MIN(C1078,MAX(0,'Mortgage Inputs'!$B$17-E1078))))</f>
        <v/>
      </c>
      <c r="G1078" s="2" t="str">
        <f t="shared" si="48"/>
        <v/>
      </c>
      <c r="H1078" s="2" t="str">
        <f>IF(A1078="","",IF(AND('Offset Inputs'!$B$5&gt;='Mortgage Inputs'!$B$5,'Mortgage Inputs'!$B$5&gt;0),'Offset Inputs'!$B$5-'Mortgage Inputs'!$B$5,D1078+'Offset Inputs'!$B$6))</f>
        <v/>
      </c>
    </row>
    <row r="1079" spans="1:8" ht="22" customHeight="1">
      <c r="A1079" s="1" t="str">
        <f>IF(AND('Mortgage Inputs'!$B$12,1073&lt;=IF('Mortgage Inputs'!$B$12,'Mortgage Inputs'!$B$7,0)*12+600,ISNUMBER(G1078),G1078&gt;0.005),1073,"")</f>
        <v/>
      </c>
      <c r="B1079" s="4" t="str">
        <f>IF(A1079="","",DATE(YEAR('Mortgage Inputs'!$B$8),MONTH('Mortgage Inputs'!$B$8)+A1079,DAY('Mortgage Inputs'!$B$8)))</f>
        <v/>
      </c>
      <c r="C1079" s="2" t="str">
        <f t="shared" si="49"/>
        <v/>
      </c>
      <c r="D1079" s="2" t="str">
        <f t="shared" si="50"/>
        <v/>
      </c>
      <c r="E1079" s="2" t="str">
        <f>IF(A1079="","",MAX(0,(C1079-MIN(D1079,C1079))*'Mortgage Inputs'!$B$15))</f>
        <v/>
      </c>
      <c r="F1079" s="2" t="str">
        <f>IF(A1079="","",IF(AND('Offset Inputs'!$B$5&gt;='Mortgage Inputs'!$B$5,'Mortgage Inputs'!$B$5&gt;0),C1079,MIN(C1079,MAX(0,'Mortgage Inputs'!$B$17-E1079))))</f>
        <v/>
      </c>
      <c r="G1079" s="2" t="str">
        <f t="shared" si="48"/>
        <v/>
      </c>
      <c r="H1079" s="2" t="str">
        <f>IF(A1079="","",IF(AND('Offset Inputs'!$B$5&gt;='Mortgage Inputs'!$B$5,'Mortgage Inputs'!$B$5&gt;0),'Offset Inputs'!$B$5-'Mortgage Inputs'!$B$5,D1079+'Offset Inputs'!$B$6))</f>
        <v/>
      </c>
    </row>
    <row r="1080" spans="1:8" ht="22" customHeight="1">
      <c r="A1080" s="1" t="str">
        <f>IF(AND('Mortgage Inputs'!$B$12,1074&lt;=IF('Mortgage Inputs'!$B$12,'Mortgage Inputs'!$B$7,0)*12+600,ISNUMBER(G1079),G1079&gt;0.005),1074,"")</f>
        <v/>
      </c>
      <c r="B1080" s="4" t="str">
        <f>IF(A1080="","",DATE(YEAR('Mortgage Inputs'!$B$8),MONTH('Mortgage Inputs'!$B$8)+A1080,DAY('Mortgage Inputs'!$B$8)))</f>
        <v/>
      </c>
      <c r="C1080" s="2" t="str">
        <f t="shared" si="49"/>
        <v/>
      </c>
      <c r="D1080" s="2" t="str">
        <f t="shared" si="50"/>
        <v/>
      </c>
      <c r="E1080" s="2" t="str">
        <f>IF(A1080="","",MAX(0,(C1080-MIN(D1080,C1080))*'Mortgage Inputs'!$B$15))</f>
        <v/>
      </c>
      <c r="F1080" s="2" t="str">
        <f>IF(A1080="","",IF(AND('Offset Inputs'!$B$5&gt;='Mortgage Inputs'!$B$5,'Mortgage Inputs'!$B$5&gt;0),C1080,MIN(C1080,MAX(0,'Mortgage Inputs'!$B$17-E1080))))</f>
        <v/>
      </c>
      <c r="G1080" s="2" t="str">
        <f t="shared" si="48"/>
        <v/>
      </c>
      <c r="H1080" s="2" t="str">
        <f>IF(A1080="","",IF(AND('Offset Inputs'!$B$5&gt;='Mortgage Inputs'!$B$5,'Mortgage Inputs'!$B$5&gt;0),'Offset Inputs'!$B$5-'Mortgage Inputs'!$B$5,D1080+'Offset Inputs'!$B$6))</f>
        <v/>
      </c>
    </row>
    <row r="1081" spans="1:8" ht="22" customHeight="1">
      <c r="A1081" s="1" t="str">
        <f>IF(AND('Mortgage Inputs'!$B$12,1075&lt;=IF('Mortgage Inputs'!$B$12,'Mortgage Inputs'!$B$7,0)*12+600,ISNUMBER(G1080),G1080&gt;0.005),1075,"")</f>
        <v/>
      </c>
      <c r="B1081" s="4" t="str">
        <f>IF(A1081="","",DATE(YEAR('Mortgage Inputs'!$B$8),MONTH('Mortgage Inputs'!$B$8)+A1081,DAY('Mortgage Inputs'!$B$8)))</f>
        <v/>
      </c>
      <c r="C1081" s="2" t="str">
        <f t="shared" si="49"/>
        <v/>
      </c>
      <c r="D1081" s="2" t="str">
        <f t="shared" si="50"/>
        <v/>
      </c>
      <c r="E1081" s="2" t="str">
        <f>IF(A1081="","",MAX(0,(C1081-MIN(D1081,C1081))*'Mortgage Inputs'!$B$15))</f>
        <v/>
      </c>
      <c r="F1081" s="2" t="str">
        <f>IF(A1081="","",IF(AND('Offset Inputs'!$B$5&gt;='Mortgage Inputs'!$B$5,'Mortgage Inputs'!$B$5&gt;0),C1081,MIN(C1081,MAX(0,'Mortgage Inputs'!$B$17-E1081))))</f>
        <v/>
      </c>
      <c r="G1081" s="2" t="str">
        <f t="shared" si="48"/>
        <v/>
      </c>
      <c r="H1081" s="2" t="str">
        <f>IF(A1081="","",IF(AND('Offset Inputs'!$B$5&gt;='Mortgage Inputs'!$B$5,'Mortgage Inputs'!$B$5&gt;0),'Offset Inputs'!$B$5-'Mortgage Inputs'!$B$5,D1081+'Offset Inputs'!$B$6))</f>
        <v/>
      </c>
    </row>
    <row r="1082" spans="1:8" ht="22" customHeight="1">
      <c r="A1082" s="1" t="str">
        <f>IF(AND('Mortgage Inputs'!$B$12,1076&lt;=IF('Mortgage Inputs'!$B$12,'Mortgage Inputs'!$B$7,0)*12+600,ISNUMBER(G1081),G1081&gt;0.005),1076,"")</f>
        <v/>
      </c>
      <c r="B1082" s="4" t="str">
        <f>IF(A1082="","",DATE(YEAR('Mortgage Inputs'!$B$8),MONTH('Mortgage Inputs'!$B$8)+A1082,DAY('Mortgage Inputs'!$B$8)))</f>
        <v/>
      </c>
      <c r="C1082" s="2" t="str">
        <f t="shared" si="49"/>
        <v/>
      </c>
      <c r="D1082" s="2" t="str">
        <f t="shared" si="50"/>
        <v/>
      </c>
      <c r="E1082" s="2" t="str">
        <f>IF(A1082="","",MAX(0,(C1082-MIN(D1082,C1082))*'Mortgage Inputs'!$B$15))</f>
        <v/>
      </c>
      <c r="F1082" s="2" t="str">
        <f>IF(A1082="","",IF(AND('Offset Inputs'!$B$5&gt;='Mortgage Inputs'!$B$5,'Mortgage Inputs'!$B$5&gt;0),C1082,MIN(C1082,MAX(0,'Mortgage Inputs'!$B$17-E1082))))</f>
        <v/>
      </c>
      <c r="G1082" s="2" t="str">
        <f t="shared" si="48"/>
        <v/>
      </c>
      <c r="H1082" s="2" t="str">
        <f>IF(A1082="","",IF(AND('Offset Inputs'!$B$5&gt;='Mortgage Inputs'!$B$5,'Mortgage Inputs'!$B$5&gt;0),'Offset Inputs'!$B$5-'Mortgage Inputs'!$B$5,D1082+'Offset Inputs'!$B$6))</f>
        <v/>
      </c>
    </row>
    <row r="1083" spans="1:8" ht="22" customHeight="1">
      <c r="A1083" s="1" t="str">
        <f>IF(AND('Mortgage Inputs'!$B$12,1077&lt;=IF('Mortgage Inputs'!$B$12,'Mortgage Inputs'!$B$7,0)*12+600,ISNUMBER(G1082),G1082&gt;0.005),1077,"")</f>
        <v/>
      </c>
      <c r="B1083" s="4" t="str">
        <f>IF(A1083="","",DATE(YEAR('Mortgage Inputs'!$B$8),MONTH('Mortgage Inputs'!$B$8)+A1083,DAY('Mortgage Inputs'!$B$8)))</f>
        <v/>
      </c>
      <c r="C1083" s="2" t="str">
        <f t="shared" si="49"/>
        <v/>
      </c>
      <c r="D1083" s="2" t="str">
        <f t="shared" si="50"/>
        <v/>
      </c>
      <c r="E1083" s="2" t="str">
        <f>IF(A1083="","",MAX(0,(C1083-MIN(D1083,C1083))*'Mortgage Inputs'!$B$15))</f>
        <v/>
      </c>
      <c r="F1083" s="2" t="str">
        <f>IF(A1083="","",IF(AND('Offset Inputs'!$B$5&gt;='Mortgage Inputs'!$B$5,'Mortgage Inputs'!$B$5&gt;0),C1083,MIN(C1083,MAX(0,'Mortgage Inputs'!$B$17-E1083))))</f>
        <v/>
      </c>
      <c r="G1083" s="2" t="str">
        <f t="shared" si="48"/>
        <v/>
      </c>
      <c r="H1083" s="2" t="str">
        <f>IF(A1083="","",IF(AND('Offset Inputs'!$B$5&gt;='Mortgage Inputs'!$B$5,'Mortgage Inputs'!$B$5&gt;0),'Offset Inputs'!$B$5-'Mortgage Inputs'!$B$5,D1083+'Offset Inputs'!$B$6))</f>
        <v/>
      </c>
    </row>
    <row r="1084" spans="1:8" ht="22" customHeight="1">
      <c r="A1084" s="1" t="str">
        <f>IF(AND('Mortgage Inputs'!$B$12,1078&lt;=IF('Mortgage Inputs'!$B$12,'Mortgage Inputs'!$B$7,0)*12+600,ISNUMBER(G1083),G1083&gt;0.005),1078,"")</f>
        <v/>
      </c>
      <c r="B1084" s="4" t="str">
        <f>IF(A1084="","",DATE(YEAR('Mortgage Inputs'!$B$8),MONTH('Mortgage Inputs'!$B$8)+A1084,DAY('Mortgage Inputs'!$B$8)))</f>
        <v/>
      </c>
      <c r="C1084" s="2" t="str">
        <f t="shared" si="49"/>
        <v/>
      </c>
      <c r="D1084" s="2" t="str">
        <f t="shared" si="50"/>
        <v/>
      </c>
      <c r="E1084" s="2" t="str">
        <f>IF(A1084="","",MAX(0,(C1084-MIN(D1084,C1084))*'Mortgage Inputs'!$B$15))</f>
        <v/>
      </c>
      <c r="F1084" s="2" t="str">
        <f>IF(A1084="","",IF(AND('Offset Inputs'!$B$5&gt;='Mortgage Inputs'!$B$5,'Mortgage Inputs'!$B$5&gt;0),C1084,MIN(C1084,MAX(0,'Mortgage Inputs'!$B$17-E1084))))</f>
        <v/>
      </c>
      <c r="G1084" s="2" t="str">
        <f t="shared" si="48"/>
        <v/>
      </c>
      <c r="H1084" s="2" t="str">
        <f>IF(A1084="","",IF(AND('Offset Inputs'!$B$5&gt;='Mortgage Inputs'!$B$5,'Mortgage Inputs'!$B$5&gt;0),'Offset Inputs'!$B$5-'Mortgage Inputs'!$B$5,D1084+'Offset Inputs'!$B$6))</f>
        <v/>
      </c>
    </row>
    <row r="1085" spans="1:8" ht="22" customHeight="1">
      <c r="A1085" s="1" t="str">
        <f>IF(AND('Mortgage Inputs'!$B$12,1079&lt;=IF('Mortgage Inputs'!$B$12,'Mortgage Inputs'!$B$7,0)*12+600,ISNUMBER(G1084),G1084&gt;0.005),1079,"")</f>
        <v/>
      </c>
      <c r="B1085" s="4" t="str">
        <f>IF(A1085="","",DATE(YEAR('Mortgage Inputs'!$B$8),MONTH('Mortgage Inputs'!$B$8)+A1085,DAY('Mortgage Inputs'!$B$8)))</f>
        <v/>
      </c>
      <c r="C1085" s="2" t="str">
        <f t="shared" si="49"/>
        <v/>
      </c>
      <c r="D1085" s="2" t="str">
        <f t="shared" si="50"/>
        <v/>
      </c>
      <c r="E1085" s="2" t="str">
        <f>IF(A1085="","",MAX(0,(C1085-MIN(D1085,C1085))*'Mortgage Inputs'!$B$15))</f>
        <v/>
      </c>
      <c r="F1085" s="2" t="str">
        <f>IF(A1085="","",IF(AND('Offset Inputs'!$B$5&gt;='Mortgage Inputs'!$B$5,'Mortgage Inputs'!$B$5&gt;0),C1085,MIN(C1085,MAX(0,'Mortgage Inputs'!$B$17-E1085))))</f>
        <v/>
      </c>
      <c r="G1085" s="2" t="str">
        <f t="shared" si="48"/>
        <v/>
      </c>
      <c r="H1085" s="2" t="str">
        <f>IF(A1085="","",IF(AND('Offset Inputs'!$B$5&gt;='Mortgage Inputs'!$B$5,'Mortgage Inputs'!$B$5&gt;0),'Offset Inputs'!$B$5-'Mortgage Inputs'!$B$5,D1085+'Offset Inputs'!$B$6))</f>
        <v/>
      </c>
    </row>
    <row r="1086" spans="1:8" ht="22" customHeight="1">
      <c r="A1086" s="1" t="str">
        <f>IF(AND('Mortgage Inputs'!$B$12,1080&lt;=IF('Mortgage Inputs'!$B$12,'Mortgage Inputs'!$B$7,0)*12+600,ISNUMBER(G1085),G1085&gt;0.005),1080,"")</f>
        <v/>
      </c>
      <c r="B1086" s="4" t="str">
        <f>IF(A1086="","",DATE(YEAR('Mortgage Inputs'!$B$8),MONTH('Mortgage Inputs'!$B$8)+A1086,DAY('Mortgage Inputs'!$B$8)))</f>
        <v/>
      </c>
      <c r="C1086" s="2" t="str">
        <f t="shared" si="49"/>
        <v/>
      </c>
      <c r="D1086" s="2" t="str">
        <f t="shared" si="50"/>
        <v/>
      </c>
      <c r="E1086" s="2" t="str">
        <f>IF(A1086="","",MAX(0,(C1086-MIN(D1086,C1086))*'Mortgage Inputs'!$B$15))</f>
        <v/>
      </c>
      <c r="F1086" s="2" t="str">
        <f>IF(A1086="","",IF(AND('Offset Inputs'!$B$5&gt;='Mortgage Inputs'!$B$5,'Mortgage Inputs'!$B$5&gt;0),C1086,MIN(C1086,MAX(0,'Mortgage Inputs'!$B$17-E1086))))</f>
        <v/>
      </c>
      <c r="G1086" s="2" t="str">
        <f t="shared" si="48"/>
        <v/>
      </c>
      <c r="H1086" s="2" t="str">
        <f>IF(A1086="","",IF(AND('Offset Inputs'!$B$5&gt;='Mortgage Inputs'!$B$5,'Mortgage Inputs'!$B$5&gt;0),'Offset Inputs'!$B$5-'Mortgage Inputs'!$B$5,D1086+'Offset Inputs'!$B$6))</f>
        <v/>
      </c>
    </row>
  </sheetData>
  <sheetProtection sheet="1" objects="1" scenarios="1"/>
  <mergeCells count="1">
    <mergeCell ref="A1:H2"/>
  </mergeCells>
  <pageMargins left="0.39370078740157477" right="0.39370078740157477" top="0.39370078740157477" bottom="0.39370078740157477" header="0.3" footer="0.3"/>
  <pageSetup paperSize="9" scale="96" fitToHeight="0" orientation="landscape" r:id="rId1"/>
  <headerFooter>
    <oddFooter>&amp;CCalcy | Page &amp;P&amp;Rcalcy.com.au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EAF4EE"/>
    <pageSetUpPr fitToPage="1"/>
  </sheetPr>
  <dimension ref="A1:H1086"/>
  <sheetViews>
    <sheetView showGridLines="0" zoomScaleNormal="100" workbookViewId="0">
      <pane ySplit="6" topLeftCell="A7" activePane="bottomLeft" state="frozen"/>
      <selection pane="bottomLeft" sqref="A1:H2"/>
    </sheetView>
  </sheetViews>
  <sheetFormatPr defaultRowHeight="14.15"/>
  <cols>
    <col min="1" max="1" width="28" customWidth="1"/>
    <col min="2" max="8" width="16" customWidth="1"/>
  </cols>
  <sheetData>
    <row r="1" spans="1:8" ht="22" customHeight="1">
      <c r="A1" s="12" t="s">
        <v>46</v>
      </c>
      <c r="B1" s="12" t="s">
        <v>46</v>
      </c>
      <c r="C1" s="12" t="s">
        <v>46</v>
      </c>
      <c r="D1" s="12" t="s">
        <v>46</v>
      </c>
      <c r="E1" s="12" t="s">
        <v>46</v>
      </c>
      <c r="F1" s="12" t="s">
        <v>46</v>
      </c>
      <c r="G1" s="12" t="s">
        <v>46</v>
      </c>
      <c r="H1" s="12" t="s">
        <v>46</v>
      </c>
    </row>
    <row r="2" spans="1:8" ht="22" customHeight="1">
      <c r="A2" s="12" t="s">
        <v>46</v>
      </c>
      <c r="B2" s="12" t="s">
        <v>46</v>
      </c>
      <c r="C2" s="12" t="s">
        <v>46</v>
      </c>
      <c r="D2" s="12" t="s">
        <v>46</v>
      </c>
      <c r="E2" s="12" t="s">
        <v>46</v>
      </c>
      <c r="F2" s="12" t="s">
        <v>46</v>
      </c>
      <c r="G2" s="12" t="s">
        <v>46</v>
      </c>
      <c r="H2" s="12" t="s">
        <v>46</v>
      </c>
    </row>
    <row r="3" spans="1:8" ht="22" customHeight="1">
      <c r="A3" s="1"/>
      <c r="B3" s="1"/>
      <c r="C3" s="1"/>
      <c r="D3" s="1"/>
      <c r="E3" s="1"/>
      <c r="F3" s="1"/>
      <c r="G3" s="1"/>
      <c r="H3" s="1"/>
    </row>
    <row r="4" spans="1:8" ht="22" customHeight="1">
      <c r="A4" s="1"/>
      <c r="B4" s="1"/>
      <c r="C4" s="1"/>
      <c r="D4" s="1"/>
      <c r="E4" s="1"/>
      <c r="F4" s="1"/>
      <c r="G4" s="1"/>
      <c r="H4" s="1"/>
    </row>
    <row r="5" spans="1:8" ht="22" customHeight="1">
      <c r="A5" s="1"/>
      <c r="B5" s="1"/>
      <c r="C5" s="1"/>
      <c r="D5" s="1"/>
      <c r="E5" s="1"/>
      <c r="F5" s="1"/>
      <c r="G5" s="1"/>
      <c r="H5" s="1"/>
    </row>
    <row r="6" spans="1:8" ht="32.049999999999997" customHeight="1">
      <c r="A6" s="3" t="s">
        <v>38</v>
      </c>
      <c r="B6" s="3" t="s">
        <v>47</v>
      </c>
      <c r="C6" s="3" t="s">
        <v>42</v>
      </c>
      <c r="D6" s="3" t="s">
        <v>43</v>
      </c>
      <c r="E6" s="3" t="s">
        <v>48</v>
      </c>
      <c r="F6" s="3" t="s">
        <v>45</v>
      </c>
      <c r="G6" s="1"/>
      <c r="H6" s="1"/>
    </row>
    <row r="7" spans="1:8" ht="22" customHeight="1">
      <c r="A7" s="1">
        <f>IF(AND('Mortgage Inputs'!$B$12,1&lt;=IF('Mortgage Inputs'!$B$12,'Mortgage Inputs'!$B$7,0)*12+600,ISNUMBER('Mortgage Inputs'!$B$5),'Mortgage Inputs'!$B$5&gt;0.005),1,"")</f>
        <v>1</v>
      </c>
      <c r="B7" s="2">
        <f>IF(A7="","",'Mortgage Inputs'!$B$5)</f>
        <v>650000</v>
      </c>
      <c r="C7" s="2">
        <f>IF(A7="","",B7*'Mortgage Inputs'!$B$15)</f>
        <v>3461.25</v>
      </c>
      <c r="D7" s="2">
        <f>IF(A7="","",MIN(B7,MAX(0,'Mortgage Inputs'!$B$17-C7)))</f>
        <v>600.28336780735344</v>
      </c>
      <c r="E7" s="2">
        <f t="shared" ref="E7:E70" si="0">IF(A7="","",MAX(0,B7-D7))</f>
        <v>649399.71663219261</v>
      </c>
      <c r="F7" s="2">
        <f>IF('Monthly Projection'!A7="",0,'Monthly Projection'!G7)</f>
        <v>649133.46663219261</v>
      </c>
      <c r="G7" s="1"/>
      <c r="H7" s="1"/>
    </row>
    <row r="8" spans="1:8" ht="22" customHeight="1">
      <c r="A8" s="1">
        <f>IF(AND('Mortgage Inputs'!$B$12,2&lt;=IF('Mortgage Inputs'!$B$12,'Mortgage Inputs'!$B$7,0)*12+600,ISNUMBER(E7),E7&gt;0.005),2,"")</f>
        <v>2</v>
      </c>
      <c r="B8" s="2">
        <f t="shared" ref="B8:B71" si="1">IF(A8="","",E7)</f>
        <v>649399.71663219261</v>
      </c>
      <c r="C8" s="2">
        <f>IF(A8="","",B8*'Mortgage Inputs'!$B$15)</f>
        <v>3458.0534910664255</v>
      </c>
      <c r="D8" s="2">
        <f>IF(A8="","",MIN(B8,MAX(0,'Mortgage Inputs'!$B$17-C8)))</f>
        <v>603.47987674092792</v>
      </c>
      <c r="E8" s="2">
        <f t="shared" si="0"/>
        <v>648796.23675545165</v>
      </c>
      <c r="F8" s="2">
        <f>IF('Monthly Projection'!A8="",0,'Monthly Projection'!G8)</f>
        <v>648259.65647420171</v>
      </c>
      <c r="G8" s="1"/>
      <c r="H8" s="1"/>
    </row>
    <row r="9" spans="1:8" ht="22" customHeight="1">
      <c r="A9" s="1">
        <f>IF(AND('Mortgage Inputs'!$B$12,3&lt;=IF('Mortgage Inputs'!$B$12,'Mortgage Inputs'!$B$7,0)*12+600,ISNUMBER(E8),E8&gt;0.005),3,"")</f>
        <v>3</v>
      </c>
      <c r="B9" s="2">
        <f t="shared" si="1"/>
        <v>648796.23675545165</v>
      </c>
      <c r="C9" s="2">
        <f>IF(A9="","",B9*'Mortgage Inputs'!$B$15)</f>
        <v>3454.8399607227798</v>
      </c>
      <c r="D9" s="2">
        <f>IF(A9="","",MIN(B9,MAX(0,'Mortgage Inputs'!$B$17-C9)))</f>
        <v>606.69340708457366</v>
      </c>
      <c r="E9" s="2">
        <f t="shared" si="0"/>
        <v>648189.54334836709</v>
      </c>
      <c r="F9" s="2">
        <f>IF('Monthly Projection'!A9="",0,'Monthly Projection'!G9)</f>
        <v>647378.53077711945</v>
      </c>
      <c r="G9" s="1"/>
      <c r="H9" s="1"/>
    </row>
    <row r="10" spans="1:8" ht="22" customHeight="1">
      <c r="A10" s="1">
        <f>IF(AND('Mortgage Inputs'!$B$12,4&lt;=IF('Mortgage Inputs'!$B$12,'Mortgage Inputs'!$B$7,0)*12+600,ISNUMBER(E9),E9&gt;0.005),4,"")</f>
        <v>4</v>
      </c>
      <c r="B10" s="2">
        <f t="shared" si="1"/>
        <v>648189.54334836709</v>
      </c>
      <c r="C10" s="2">
        <f>IF(A10="","",B10*'Mortgage Inputs'!$B$15)</f>
        <v>3451.6093183300545</v>
      </c>
      <c r="D10" s="2">
        <f>IF(A10="","",MIN(B10,MAX(0,'Mortgage Inputs'!$B$17-C10)))</f>
        <v>609.92404947729892</v>
      </c>
      <c r="E10" s="2">
        <f t="shared" si="0"/>
        <v>647579.61929888977</v>
      </c>
      <c r="F10" s="2">
        <f>IF('Monthly Projection'!A10="",0,'Monthly Projection'!G10)</f>
        <v>646490.0505857002</v>
      </c>
      <c r="G10" s="1"/>
      <c r="H10" s="1"/>
    </row>
    <row r="11" spans="1:8" ht="22" customHeight="1">
      <c r="A11" s="1">
        <f>IF(AND('Mortgage Inputs'!$B$12,5&lt;=IF('Mortgage Inputs'!$B$12,'Mortgage Inputs'!$B$7,0)*12+600,ISNUMBER(E10),E10&gt;0.005),5,"")</f>
        <v>5</v>
      </c>
      <c r="B11" s="2">
        <f t="shared" si="1"/>
        <v>647579.61929888977</v>
      </c>
      <c r="C11" s="2">
        <f>IF(A11="","",B11*'Mortgage Inputs'!$B$15)</f>
        <v>3448.3614727665881</v>
      </c>
      <c r="D11" s="2">
        <f>IF(A11="","",MIN(B11,MAX(0,'Mortgage Inputs'!$B$17-C11)))</f>
        <v>613.17189504076532</v>
      </c>
      <c r="E11" s="2">
        <f t="shared" si="0"/>
        <v>646966.44740384899</v>
      </c>
      <c r="F11" s="2">
        <f>IF('Monthly Projection'!A11="",0,'Monthly Projection'!G11)</f>
        <v>645594.1767372617</v>
      </c>
      <c r="G11" s="1"/>
      <c r="H11" s="1"/>
    </row>
    <row r="12" spans="1:8" ht="22" customHeight="1">
      <c r="A12" s="1">
        <f>IF(AND('Mortgage Inputs'!$B$12,6&lt;=IF('Mortgage Inputs'!$B$12,'Mortgage Inputs'!$B$7,0)*12+600,ISNUMBER(E11),E11&gt;0.005),6,"")</f>
        <v>6</v>
      </c>
      <c r="B12" s="2">
        <f t="shared" si="1"/>
        <v>646966.44740384899</v>
      </c>
      <c r="C12" s="2">
        <f>IF(A12="","",B12*'Mortgage Inputs'!$B$15)</f>
        <v>3445.0963324254958</v>
      </c>
      <c r="D12" s="2">
        <f>IF(A12="","",MIN(B12,MAX(0,'Mortgage Inputs'!$B$17-C12)))</f>
        <v>616.43703538185764</v>
      </c>
      <c r="E12" s="2">
        <f t="shared" si="0"/>
        <v>646350.01036846708</v>
      </c>
      <c r="F12" s="2">
        <f>IF('Monthly Projection'!A12="",0,'Monthly Projection'!G12)</f>
        <v>644690.86986058031</v>
      </c>
      <c r="G12" s="1"/>
      <c r="H12" s="1"/>
    </row>
    <row r="13" spans="1:8" ht="22" customHeight="1">
      <c r="A13" s="1">
        <f>IF(AND('Mortgage Inputs'!$B$12,7&lt;=IF('Mortgage Inputs'!$B$12,'Mortgage Inputs'!$B$7,0)*12+600,ISNUMBER(E12),E12&gt;0.005),7,"")</f>
        <v>7</v>
      </c>
      <c r="B13" s="2">
        <f t="shared" si="1"/>
        <v>646350.01036846708</v>
      </c>
      <c r="C13" s="2">
        <f>IF(A13="","",B13*'Mortgage Inputs'!$B$15)</f>
        <v>3441.8138052120871</v>
      </c>
      <c r="D13" s="2">
        <f>IF(A13="","",MIN(B13,MAX(0,'Mortgage Inputs'!$B$17-C13)))</f>
        <v>619.71956259526632</v>
      </c>
      <c r="E13" s="2">
        <f t="shared" si="0"/>
        <v>645730.29080587183</v>
      </c>
      <c r="F13" s="2">
        <f>IF('Monthly Projection'!A13="",0,'Monthly Projection'!G13)</f>
        <v>643780.09037478059</v>
      </c>
      <c r="G13" s="1"/>
      <c r="H13" s="1"/>
    </row>
    <row r="14" spans="1:8" ht="22" customHeight="1">
      <c r="A14" s="1">
        <f>IF(AND('Mortgage Inputs'!$B$12,8&lt;=IF('Mortgage Inputs'!$B$12,'Mortgage Inputs'!$B$7,0)*12+600,ISNUMBER(E13),E13&gt;0.005),8,"")</f>
        <v>8</v>
      </c>
      <c r="B14" s="2">
        <f t="shared" si="1"/>
        <v>645730.29080587183</v>
      </c>
      <c r="C14" s="2">
        <f>IF(A14="","",B14*'Mortgage Inputs'!$B$15)</f>
        <v>3438.5137985412675</v>
      </c>
      <c r="D14" s="2">
        <f>IF(A14="","",MIN(B14,MAX(0,'Mortgage Inputs'!$B$17-C14)))</f>
        <v>623.01956926608591</v>
      </c>
      <c r="E14" s="2">
        <f t="shared" si="0"/>
        <v>645107.27123660571</v>
      </c>
      <c r="F14" s="2">
        <f>IF('Monthly Projection'!A14="",0,'Monthly Projection'!G14)</f>
        <v>642861.79848821892</v>
      </c>
      <c r="G14" s="1"/>
      <c r="H14" s="1"/>
    </row>
    <row r="15" spans="1:8" ht="22" customHeight="1">
      <c r="A15" s="1">
        <f>IF(AND('Mortgage Inputs'!$B$12,9&lt;=IF('Mortgage Inputs'!$B$12,'Mortgage Inputs'!$B$7,0)*12+600,ISNUMBER(E14),E14&gt;0.005),9,"")</f>
        <v>9</v>
      </c>
      <c r="B15" s="2">
        <f t="shared" si="1"/>
        <v>645107.27123660571</v>
      </c>
      <c r="C15" s="2">
        <f>IF(A15="","",B15*'Mortgage Inputs'!$B$15)</f>
        <v>3435.1962193349254</v>
      </c>
      <c r="D15" s="2">
        <f>IF(A15="","",MIN(B15,MAX(0,'Mortgage Inputs'!$B$17-C15)))</f>
        <v>626.337148472428</v>
      </c>
      <c r="E15" s="2">
        <f t="shared" si="0"/>
        <v>644480.93408813328</v>
      </c>
      <c r="F15" s="2">
        <f>IF('Monthly Projection'!A15="",0,'Monthly Projection'!G15)</f>
        <v>641935.95419736137</v>
      </c>
      <c r="G15" s="1"/>
      <c r="H15" s="1"/>
    </row>
    <row r="16" spans="1:8" ht="22" customHeight="1">
      <c r="A16" s="1">
        <f>IF(AND('Mortgage Inputs'!$B$12,10&lt;=IF('Mortgage Inputs'!$B$12,'Mortgage Inputs'!$B$7,0)*12+600,ISNUMBER(E15),E15&gt;0.005),10,"")</f>
        <v>10</v>
      </c>
      <c r="B16" s="2">
        <f t="shared" si="1"/>
        <v>644480.93408813328</v>
      </c>
      <c r="C16" s="2">
        <f>IF(A16="","",B16*'Mortgage Inputs'!$B$15)</f>
        <v>3431.8609740193097</v>
      </c>
      <c r="D16" s="2">
        <f>IF(A16="","",MIN(B16,MAX(0,'Mortgage Inputs'!$B$17-C16)))</f>
        <v>629.67239378804379</v>
      </c>
      <c r="E16" s="2">
        <f t="shared" si="0"/>
        <v>643851.26169434527</v>
      </c>
      <c r="F16" s="2">
        <f>IF('Monthly Projection'!A16="",0,'Monthly Projection'!G16)</f>
        <v>641002.51728565502</v>
      </c>
      <c r="G16" s="1"/>
      <c r="H16" s="1"/>
    </row>
    <row r="17" spans="1:8" ht="22" customHeight="1">
      <c r="A17" s="1">
        <f>IF(AND('Mortgage Inputs'!$B$12,11&lt;=IF('Mortgage Inputs'!$B$12,'Mortgage Inputs'!$B$7,0)*12+600,ISNUMBER(E16),E16&gt;0.005),11,"")</f>
        <v>11</v>
      </c>
      <c r="B17" s="2">
        <f t="shared" si="1"/>
        <v>643851.26169434527</v>
      </c>
      <c r="C17" s="2">
        <f>IF(A17="","",B17*'Mortgage Inputs'!$B$15)</f>
        <v>3428.5079685223886</v>
      </c>
      <c r="D17" s="2">
        <f>IF(A17="","",MIN(B17,MAX(0,'Mortgage Inputs'!$B$17-C17)))</f>
        <v>633.02539928496481</v>
      </c>
      <c r="E17" s="2">
        <f t="shared" si="0"/>
        <v>643218.23629506025</v>
      </c>
      <c r="F17" s="2">
        <f>IF('Monthly Projection'!A17="",0,'Monthly Projection'!G17)</f>
        <v>640061.44732239377</v>
      </c>
      <c r="G17" s="1"/>
      <c r="H17" s="1"/>
    </row>
    <row r="18" spans="1:8" ht="22" customHeight="1">
      <c r="A18" s="1">
        <f>IF(AND('Mortgage Inputs'!$B$12,12&lt;=IF('Mortgage Inputs'!$B$12,'Mortgage Inputs'!$B$7,0)*12+600,ISNUMBER(E17),E17&gt;0.005),12,"")</f>
        <v>12</v>
      </c>
      <c r="B18" s="2">
        <f t="shared" si="1"/>
        <v>643218.23629506025</v>
      </c>
      <c r="C18" s="2">
        <f>IF(A18="","",B18*'Mortgage Inputs'!$B$15)</f>
        <v>3425.1371082711958</v>
      </c>
      <c r="D18" s="2">
        <f>IF(A18="","",MIN(B18,MAX(0,'Mortgage Inputs'!$B$17-C18)))</f>
        <v>636.39625953615769</v>
      </c>
      <c r="E18" s="2">
        <f t="shared" si="0"/>
        <v>642581.8400355241</v>
      </c>
      <c r="F18" s="2">
        <f>IF('Monthly Projection'!A18="",0,'Monthly Projection'!G18)</f>
        <v>639112.70366157813</v>
      </c>
      <c r="G18" s="1"/>
      <c r="H18" s="1"/>
    </row>
    <row r="19" spans="1:8" ht="22" customHeight="1">
      <c r="A19" s="1">
        <f>IF(AND('Mortgage Inputs'!$B$12,13&lt;=IF('Mortgage Inputs'!$B$12,'Mortgage Inputs'!$B$7,0)*12+600,ISNUMBER(E18),E18&gt;0.005),13,"")</f>
        <v>13</v>
      </c>
      <c r="B19" s="2">
        <f t="shared" si="1"/>
        <v>642581.8400355241</v>
      </c>
      <c r="C19" s="2">
        <f>IF(A19="","",B19*'Mortgage Inputs'!$B$15)</f>
        <v>3421.7482981891658</v>
      </c>
      <c r="D19" s="2">
        <f>IF(A19="","",MIN(B19,MAX(0,'Mortgage Inputs'!$B$17-C19)))</f>
        <v>639.78506961818766</v>
      </c>
      <c r="E19" s="2">
        <f t="shared" si="0"/>
        <v>641942.05496590596</v>
      </c>
      <c r="F19" s="2">
        <f>IF('Monthly Projection'!A19="",0,'Monthly Projection'!G19)</f>
        <v>638156.24544076866</v>
      </c>
      <c r="G19" s="1"/>
      <c r="H19" s="1"/>
    </row>
    <row r="20" spans="1:8" ht="22" customHeight="1">
      <c r="A20" s="1">
        <f>IF(AND('Mortgage Inputs'!$B$12,14&lt;=IF('Mortgage Inputs'!$B$12,'Mortgage Inputs'!$B$7,0)*12+600,ISNUMBER(E19),E19&gt;0.005),14,"")</f>
        <v>14</v>
      </c>
      <c r="B20" s="2">
        <f t="shared" si="1"/>
        <v>641942.05496590596</v>
      </c>
      <c r="C20" s="2">
        <f>IF(A20="","",B20*'Mortgage Inputs'!$B$15)</f>
        <v>3418.3414426934492</v>
      </c>
      <c r="D20" s="2">
        <f>IF(A20="","",MIN(B20,MAX(0,'Mortgage Inputs'!$B$17-C20)))</f>
        <v>643.19192511390429</v>
      </c>
      <c r="E20" s="2">
        <f t="shared" si="0"/>
        <v>641298.86304079206</v>
      </c>
      <c r="F20" s="2">
        <f>IF('Monthly Projection'!A20="",0,'Monthly Projection'!G20)</f>
        <v>637192.03157993336</v>
      </c>
      <c r="G20" s="1"/>
      <c r="H20" s="1"/>
    </row>
    <row r="21" spans="1:8" ht="22" customHeight="1">
      <c r="A21" s="1">
        <f>IF(AND('Mortgage Inputs'!$B$12,15&lt;=IF('Mortgage Inputs'!$B$12,'Mortgage Inputs'!$B$7,0)*12+600,ISNUMBER(E20),E20&gt;0.005),15,"")</f>
        <v>15</v>
      </c>
      <c r="B21" s="2">
        <f t="shared" si="1"/>
        <v>641298.86304079206</v>
      </c>
      <c r="C21" s="2">
        <f>IF(A21="","",B21*'Mortgage Inputs'!$B$15)</f>
        <v>3414.9164456922176</v>
      </c>
      <c r="D21" s="2">
        <f>IF(A21="","",MIN(B21,MAX(0,'Mortgage Inputs'!$B$17-C21)))</f>
        <v>646.61692211513582</v>
      </c>
      <c r="E21" s="2">
        <f t="shared" si="0"/>
        <v>640652.24611867697</v>
      </c>
      <c r="F21" s="2">
        <f>IF('Monthly Projection'!A21="",0,'Monthly Projection'!G21)</f>
        <v>636220.0207802892</v>
      </c>
      <c r="G21" s="1"/>
      <c r="H21" s="1"/>
    </row>
    <row r="22" spans="1:8" ht="22" customHeight="1">
      <c r="A22" s="1">
        <f>IF(AND('Mortgage Inputs'!$B$12,16&lt;=IF('Mortgage Inputs'!$B$12,'Mortgage Inputs'!$B$7,0)*12+600,ISNUMBER(E21),E21&gt;0.005),16,"")</f>
        <v>16</v>
      </c>
      <c r="B22" s="2">
        <f t="shared" si="1"/>
        <v>640652.24611867697</v>
      </c>
      <c r="C22" s="2">
        <f>IF(A22="","",B22*'Mortgage Inputs'!$B$15)</f>
        <v>3411.4732105819548</v>
      </c>
      <c r="D22" s="2">
        <f>IF(A22="","",MIN(B22,MAX(0,'Mortgage Inputs'!$B$17-C22)))</f>
        <v>650.0601572253986</v>
      </c>
      <c r="E22" s="2">
        <f t="shared" si="0"/>
        <v>640002.18596145161</v>
      </c>
      <c r="F22" s="2">
        <f>IF('Monthly Projection'!A22="",0,'Monthly Projection'!G22)</f>
        <v>635240.1715231369</v>
      </c>
      <c r="G22" s="1"/>
      <c r="H22" s="1"/>
    </row>
    <row r="23" spans="1:8" ht="22" customHeight="1">
      <c r="A23" s="1">
        <f>IF(AND('Mortgage Inputs'!$B$12,17&lt;=IF('Mortgage Inputs'!$B$12,'Mortgage Inputs'!$B$7,0)*12+600,ISNUMBER(E22),E22&gt;0.005),17,"")</f>
        <v>17</v>
      </c>
      <c r="B23" s="2">
        <f t="shared" si="1"/>
        <v>640002.18596145161</v>
      </c>
      <c r="C23" s="2">
        <f>IF(A23="","",B23*'Mortgage Inputs'!$B$15)</f>
        <v>3408.0116402447297</v>
      </c>
      <c r="D23" s="2">
        <f>IF(A23="","",MIN(B23,MAX(0,'Mortgage Inputs'!$B$17-C23)))</f>
        <v>653.52172756262371</v>
      </c>
      <c r="E23" s="2">
        <f t="shared" si="0"/>
        <v>639348.66423388897</v>
      </c>
      <c r="F23" s="2">
        <f>IF('Monthly Projection'!A23="",0,'Monthly Projection'!G23)</f>
        <v>634252.4420686902</v>
      </c>
      <c r="G23" s="1"/>
      <c r="H23" s="1"/>
    </row>
    <row r="24" spans="1:8" ht="22" customHeight="1">
      <c r="A24" s="1">
        <f>IF(AND('Mortgage Inputs'!$B$12,18&lt;=IF('Mortgage Inputs'!$B$12,'Mortgage Inputs'!$B$7,0)*12+600,ISNUMBER(E23),E23&gt;0.005),18,"")</f>
        <v>18</v>
      </c>
      <c r="B24" s="2">
        <f t="shared" si="1"/>
        <v>639348.66423388897</v>
      </c>
      <c r="C24" s="2">
        <f>IF(A24="","",B24*'Mortgage Inputs'!$B$15)</f>
        <v>3404.5316370454589</v>
      </c>
      <c r="D24" s="2">
        <f>IF(A24="","",MIN(B24,MAX(0,'Mortgage Inputs'!$B$17-C24)))</f>
        <v>657.00173076189458</v>
      </c>
      <c r="E24" s="2">
        <f t="shared" si="0"/>
        <v>638691.66250312713</v>
      </c>
      <c r="F24" s="2">
        <f>IF('Monthly Projection'!A24="",0,'Monthly Projection'!G24)</f>
        <v>633256.79045489861</v>
      </c>
      <c r="G24" s="1"/>
      <c r="H24" s="1"/>
    </row>
    <row r="25" spans="1:8" ht="22" customHeight="1">
      <c r="A25" s="1">
        <f>IF(AND('Mortgage Inputs'!$B$12,19&lt;=IF('Mortgage Inputs'!$B$12,'Mortgage Inputs'!$B$7,0)*12+600,ISNUMBER(E24),E24&gt;0.005),19,"")</f>
        <v>19</v>
      </c>
      <c r="B25" s="2">
        <f t="shared" si="1"/>
        <v>638691.66250312713</v>
      </c>
      <c r="C25" s="2">
        <f>IF(A25="","",B25*'Mortgage Inputs'!$B$15)</f>
        <v>3401.0331028291521</v>
      </c>
      <c r="D25" s="2">
        <f>IF(A25="","",MIN(B25,MAX(0,'Mortgage Inputs'!$B$17-C25)))</f>
        <v>660.50026497820136</v>
      </c>
      <c r="E25" s="2">
        <f t="shared" si="0"/>
        <v>638031.16223814897</v>
      </c>
      <c r="F25" s="2">
        <f>IF('Monthly Projection'!A25="",0,'Monthly Projection'!G25)</f>
        <v>632253.17449626361</v>
      </c>
      <c r="G25" s="1"/>
      <c r="H25" s="1"/>
    </row>
    <row r="26" spans="1:8" ht="22" customHeight="1">
      <c r="A26" s="1">
        <f>IF(AND('Mortgage Inputs'!$B$12,20&lt;=IF('Mortgage Inputs'!$B$12,'Mortgage Inputs'!$B$7,0)*12+600,ISNUMBER(E25),E25&gt;0.005),20,"")</f>
        <v>20</v>
      </c>
      <c r="B26" s="2">
        <f t="shared" si="1"/>
        <v>638031.16223814897</v>
      </c>
      <c r="C26" s="2">
        <f>IF(A26="","",B26*'Mortgage Inputs'!$B$15)</f>
        <v>3397.5159389181431</v>
      </c>
      <c r="D26" s="2">
        <f>IF(A26="","",MIN(B26,MAX(0,'Mortgage Inputs'!$B$17-C26)))</f>
        <v>664.01742888921035</v>
      </c>
      <c r="E26" s="2">
        <f t="shared" si="0"/>
        <v>637367.1448092598</v>
      </c>
      <c r="F26" s="2">
        <f>IF('Monthly Projection'!A26="",0,'Monthly Projection'!G26)</f>
        <v>631241.55178264889</v>
      </c>
      <c r="G26" s="1"/>
      <c r="H26" s="1"/>
    </row>
    <row r="27" spans="1:8" ht="22" customHeight="1">
      <c r="A27" s="1">
        <f>IF(AND('Mortgage Inputs'!$B$12,21&lt;=IF('Mortgage Inputs'!$B$12,'Mortgage Inputs'!$B$7,0)*12+600,ISNUMBER(E26),E26&gt;0.005),21,"")</f>
        <v>21</v>
      </c>
      <c r="B27" s="2">
        <f t="shared" si="1"/>
        <v>637367.1448092598</v>
      </c>
      <c r="C27" s="2">
        <f>IF(A27="","",B27*'Mortgage Inputs'!$B$15)</f>
        <v>3393.9800461093082</v>
      </c>
      <c r="D27" s="2">
        <f>IF(A27="","",MIN(B27,MAX(0,'Mortgage Inputs'!$B$17-C27)))</f>
        <v>667.55332169804524</v>
      </c>
      <c r="E27" s="2">
        <f t="shared" si="0"/>
        <v>636699.5914875617</v>
      </c>
      <c r="F27" s="2">
        <f>IF('Monthly Projection'!A27="",0,'Monthly Projection'!G27)</f>
        <v>630221.87967808417</v>
      </c>
      <c r="G27" s="1"/>
      <c r="H27" s="1"/>
    </row>
    <row r="28" spans="1:8" ht="22" customHeight="1">
      <c r="A28" s="1">
        <f>IF(AND('Mortgage Inputs'!$B$12,22&lt;=IF('Mortgage Inputs'!$B$12,'Mortgage Inputs'!$B$7,0)*12+600,ISNUMBER(E27),E27&gt;0.005),22,"")</f>
        <v>22</v>
      </c>
      <c r="B28" s="2">
        <f t="shared" si="1"/>
        <v>636699.5914875617</v>
      </c>
      <c r="C28" s="2">
        <f>IF(A28="","",B28*'Mortgage Inputs'!$B$15)</f>
        <v>3390.425324671266</v>
      </c>
      <c r="D28" s="2">
        <f>IF(A28="","",MIN(B28,MAX(0,'Mortgage Inputs'!$B$17-C28)))</f>
        <v>671.10804313608742</v>
      </c>
      <c r="E28" s="2">
        <f t="shared" si="0"/>
        <v>636028.48344442563</v>
      </c>
      <c r="F28" s="2">
        <f>IF('Monthly Projection'!A28="",0,'Monthly Projection'!G28)</f>
        <v>629194.11531956261</v>
      </c>
      <c r="G28" s="1"/>
      <c r="H28" s="1"/>
    </row>
    <row r="29" spans="1:8" ht="22" customHeight="1">
      <c r="A29" s="1">
        <f>IF(AND('Mortgage Inputs'!$B$12,23&lt;=IF('Mortgage Inputs'!$B$12,'Mortgage Inputs'!$B$7,0)*12+600,ISNUMBER(E28),E28&gt;0.005),23,"")</f>
        <v>23</v>
      </c>
      <c r="B29" s="2">
        <f t="shared" si="1"/>
        <v>636028.48344442563</v>
      </c>
      <c r="C29" s="2">
        <f>IF(A29="","",B29*'Mortgage Inputs'!$B$15)</f>
        <v>3386.8516743415662</v>
      </c>
      <c r="D29" s="2">
        <f>IF(A29="","",MIN(B29,MAX(0,'Mortgage Inputs'!$B$17-C29)))</f>
        <v>674.68169346578725</v>
      </c>
      <c r="E29" s="2">
        <f t="shared" si="0"/>
        <v>635353.80175095983</v>
      </c>
      <c r="F29" s="2">
        <f>IF('Monthly Projection'!A29="",0,'Monthly Projection'!G29)</f>
        <v>628158.2156158319</v>
      </c>
      <c r="G29" s="1"/>
      <c r="H29" s="1"/>
    </row>
    <row r="30" spans="1:8" ht="22" customHeight="1">
      <c r="A30" s="1">
        <f>IF(AND('Mortgage Inputs'!$B$12,24&lt;=IF('Mortgage Inputs'!$B$12,'Mortgage Inputs'!$B$7,0)*12+600,ISNUMBER(E29),E29&gt;0.005),24,"")</f>
        <v>24</v>
      </c>
      <c r="B30" s="2">
        <f t="shared" si="1"/>
        <v>635353.80175095983</v>
      </c>
      <c r="C30" s="2">
        <f>IF(A30="","",B30*'Mortgage Inputs'!$B$15)</f>
        <v>3383.2589943238609</v>
      </c>
      <c r="D30" s="2">
        <f>IF(A30="","",MIN(B30,MAX(0,'Mortgage Inputs'!$B$17-C30)))</f>
        <v>678.27437348349258</v>
      </c>
      <c r="E30" s="2">
        <f t="shared" si="0"/>
        <v>634675.52737747633</v>
      </c>
      <c r="F30" s="2">
        <f>IF('Monthly Projection'!A30="",0,'Monthly Projection'!G30)</f>
        <v>627114.13724617881</v>
      </c>
      <c r="G30" s="1"/>
      <c r="H30" s="1"/>
    </row>
    <row r="31" spans="1:8" ht="22" customHeight="1">
      <c r="A31" s="1">
        <f>IF(AND('Mortgage Inputs'!$B$12,25&lt;=IF('Mortgage Inputs'!$B$12,'Mortgage Inputs'!$B$7,0)*12+600,ISNUMBER(E30),E30&gt;0.005),25,"")</f>
        <v>25</v>
      </c>
      <c r="B31" s="2">
        <f t="shared" si="1"/>
        <v>634675.52737747633</v>
      </c>
      <c r="C31" s="2">
        <f>IF(A31="","",B31*'Mortgage Inputs'!$B$15)</f>
        <v>3379.6471832850616</v>
      </c>
      <c r="D31" s="2">
        <f>IF(A31="","",MIN(B31,MAX(0,'Mortgage Inputs'!$B$17-C31)))</f>
        <v>681.88618452229184</v>
      </c>
      <c r="E31" s="2">
        <f t="shared" si="0"/>
        <v>633993.64119295403</v>
      </c>
      <c r="F31" s="2">
        <f>IF('Monthly Projection'!A31="",0,'Monthly Projection'!G31)</f>
        <v>626061.83665920736</v>
      </c>
      <c r="G31" s="1"/>
      <c r="H31" s="1"/>
    </row>
    <row r="32" spans="1:8" ht="22" customHeight="1">
      <c r="A32" s="1">
        <f>IF(AND('Mortgage Inputs'!$B$12,26&lt;=IF('Mortgage Inputs'!$B$12,'Mortgage Inputs'!$B$7,0)*12+600,ISNUMBER(E31),E31&gt;0.005),26,"")</f>
        <v>26</v>
      </c>
      <c r="B32" s="2">
        <f t="shared" si="1"/>
        <v>633993.64119295403</v>
      </c>
      <c r="C32" s="2">
        <f>IF(A32="","",B32*'Mortgage Inputs'!$B$15)</f>
        <v>3376.01613935248</v>
      </c>
      <c r="D32" s="2">
        <f>IF(A32="","",MIN(B32,MAX(0,'Mortgage Inputs'!$B$17-C32)))</f>
        <v>685.51722845487348</v>
      </c>
      <c r="E32" s="2">
        <f t="shared" si="0"/>
        <v>633308.12396449922</v>
      </c>
      <c r="F32" s="2">
        <f>IF('Monthly Projection'!A32="",0,'Monthly Projection'!G32)</f>
        <v>625001.27007161023</v>
      </c>
      <c r="G32" s="1"/>
      <c r="H32" s="1"/>
    </row>
    <row r="33" spans="1:8" ht="22" customHeight="1">
      <c r="A33" s="1">
        <f>IF(AND('Mortgage Inputs'!$B$12,27&lt;=IF('Mortgage Inputs'!$B$12,'Mortgage Inputs'!$B$7,0)*12+600,ISNUMBER(E32),E32&gt;0.005),27,"")</f>
        <v>27</v>
      </c>
      <c r="B33" s="2">
        <f t="shared" si="1"/>
        <v>633308.12396449922</v>
      </c>
      <c r="C33" s="2">
        <f>IF(A33="","",B33*'Mortgage Inputs'!$B$15)</f>
        <v>3372.365760110958</v>
      </c>
      <c r="D33" s="2">
        <f>IF(A33="","",MIN(B33,MAX(0,'Mortgage Inputs'!$B$17-C33)))</f>
        <v>689.16760769639541</v>
      </c>
      <c r="E33" s="2">
        <f t="shared" si="0"/>
        <v>632618.95635680284</v>
      </c>
      <c r="F33" s="2">
        <f>IF('Monthly Projection'!A33="",0,'Monthly Projection'!G33)</f>
        <v>623932.39346693421</v>
      </c>
      <c r="G33" s="1"/>
      <c r="H33" s="1"/>
    </row>
    <row r="34" spans="1:8" ht="22" customHeight="1">
      <c r="A34" s="1">
        <f>IF(AND('Mortgage Inputs'!$B$12,28&lt;=IF('Mortgage Inputs'!$B$12,'Mortgage Inputs'!$B$7,0)*12+600,ISNUMBER(E33),E33&gt;0.005),28,"")</f>
        <v>28</v>
      </c>
      <c r="B34" s="2">
        <f t="shared" si="1"/>
        <v>632618.95635680284</v>
      </c>
      <c r="C34" s="2">
        <f>IF(A34="","",B34*'Mortgage Inputs'!$B$15)</f>
        <v>3368.6959425999748</v>
      </c>
      <c r="D34" s="2">
        <f>IF(A34="","",MIN(B34,MAX(0,'Mortgage Inputs'!$B$17-C34)))</f>
        <v>692.8374252073786</v>
      </c>
      <c r="E34" s="2">
        <f t="shared" si="0"/>
        <v>631926.11893159547</v>
      </c>
      <c r="F34" s="2">
        <f>IF('Monthly Projection'!A34="",0,'Monthly Projection'!G34)</f>
        <v>622855.1625943383</v>
      </c>
      <c r="G34" s="1"/>
      <c r="H34" s="1"/>
    </row>
    <row r="35" spans="1:8" ht="22" customHeight="1">
      <c r="A35" s="1">
        <f>IF(AND('Mortgage Inputs'!$B$12,29&lt;=IF('Mortgage Inputs'!$B$12,'Mortgage Inputs'!$B$7,0)*12+600,ISNUMBER(E34),E34&gt;0.005),29,"")</f>
        <v>29</v>
      </c>
      <c r="B35" s="2">
        <f t="shared" si="1"/>
        <v>631926.11893159547</v>
      </c>
      <c r="C35" s="2">
        <f>IF(A35="","",B35*'Mortgage Inputs'!$B$15)</f>
        <v>3365.006583310746</v>
      </c>
      <c r="D35" s="2">
        <f>IF(A35="","",MIN(B35,MAX(0,'Mortgage Inputs'!$B$17-C35)))</f>
        <v>696.52678449660743</v>
      </c>
      <c r="E35" s="2">
        <f t="shared" si="0"/>
        <v>631229.59214709885</v>
      </c>
      <c r="F35" s="2">
        <f>IF('Monthly Projection'!A35="",0,'Monthly Projection'!G35)</f>
        <v>621769.53296734579</v>
      </c>
      <c r="G35" s="1"/>
      <c r="H35" s="1"/>
    </row>
    <row r="36" spans="1:8" ht="22" customHeight="1">
      <c r="A36" s="1">
        <f>IF(AND('Mortgage Inputs'!$B$12,30&lt;=IF('Mortgage Inputs'!$B$12,'Mortgage Inputs'!$B$7,0)*12+600,ISNUMBER(E35),E35&gt;0.005),30,"")</f>
        <v>30</v>
      </c>
      <c r="B36" s="2">
        <f t="shared" si="1"/>
        <v>631229.59214709885</v>
      </c>
      <c r="C36" s="2">
        <f>IF(A36="","",B36*'Mortgage Inputs'!$B$15)</f>
        <v>3361.2975781833015</v>
      </c>
      <c r="D36" s="2">
        <f>IF(A36="","",MIN(B36,MAX(0,'Mortgage Inputs'!$B$17-C36)))</f>
        <v>700.2357896240519</v>
      </c>
      <c r="E36" s="2">
        <f t="shared" si="0"/>
        <v>630529.35635747481</v>
      </c>
      <c r="F36" s="2">
        <f>IF('Monthly Projection'!A36="",0,'Monthly Projection'!G36)</f>
        <v>620675.4598625896</v>
      </c>
      <c r="G36" s="1"/>
      <c r="H36" s="1"/>
    </row>
    <row r="37" spans="1:8" ht="22" customHeight="1">
      <c r="A37" s="1">
        <f>IF(AND('Mortgage Inputs'!$B$12,31&lt;=IF('Mortgage Inputs'!$B$12,'Mortgage Inputs'!$B$7,0)*12+600,ISNUMBER(E36),E36&gt;0.005),31,"")</f>
        <v>31</v>
      </c>
      <c r="B37" s="2">
        <f t="shared" si="1"/>
        <v>630529.35635747481</v>
      </c>
      <c r="C37" s="2">
        <f>IF(A37="","",B37*'Mortgage Inputs'!$B$15)</f>
        <v>3357.5688226035531</v>
      </c>
      <c r="D37" s="2">
        <f>IF(A37="","",MIN(B37,MAX(0,'Mortgage Inputs'!$B$17-C37)))</f>
        <v>703.9645452038003</v>
      </c>
      <c r="E37" s="2">
        <f t="shared" si="0"/>
        <v>629825.39181227097</v>
      </c>
      <c r="F37" s="2">
        <f>IF('Monthly Projection'!A37="",0,'Monthly Projection'!G37)</f>
        <v>619572.89831855055</v>
      </c>
      <c r="G37" s="1"/>
      <c r="H37" s="1"/>
    </row>
    <row r="38" spans="1:8" ht="22" customHeight="1">
      <c r="A38" s="1">
        <f>IF(AND('Mortgage Inputs'!$B$12,32&lt;=IF('Mortgage Inputs'!$B$12,'Mortgage Inputs'!$B$7,0)*12+600,ISNUMBER(E37),E37&gt;0.005),32,"")</f>
        <v>32</v>
      </c>
      <c r="B38" s="2">
        <f t="shared" si="1"/>
        <v>629825.39181227097</v>
      </c>
      <c r="C38" s="2">
        <f>IF(A38="","",B38*'Mortgage Inputs'!$B$15)</f>
        <v>3353.8202114003429</v>
      </c>
      <c r="D38" s="2">
        <f>IF(A38="","",MIN(B38,MAX(0,'Mortgage Inputs'!$B$17-C38)))</f>
        <v>707.7131564070105</v>
      </c>
      <c r="E38" s="2">
        <f t="shared" si="0"/>
        <v>629117.67865586397</v>
      </c>
      <c r="F38" s="2">
        <f>IF('Monthly Projection'!A38="",0,'Monthly Projection'!G38)</f>
        <v>618461.80313428945</v>
      </c>
      <c r="G38" s="1"/>
      <c r="H38" s="1"/>
    </row>
    <row r="39" spans="1:8" ht="22" customHeight="1">
      <c r="A39" s="1">
        <f>IF(AND('Mortgage Inputs'!$B$12,33&lt;=IF('Mortgage Inputs'!$B$12,'Mortgage Inputs'!$B$7,0)*12+600,ISNUMBER(E38),E38&gt;0.005),33,"")</f>
        <v>33</v>
      </c>
      <c r="B39" s="2">
        <f t="shared" si="1"/>
        <v>629117.67865586397</v>
      </c>
      <c r="C39" s="2">
        <f>IF(A39="","",B39*'Mortgage Inputs'!$B$15)</f>
        <v>3350.0516388424758</v>
      </c>
      <c r="D39" s="2">
        <f>IF(A39="","",MIN(B39,MAX(0,'Mortgage Inputs'!$B$17-C39)))</f>
        <v>711.48172896487768</v>
      </c>
      <c r="E39" s="2">
        <f t="shared" si="0"/>
        <v>628406.19692689914</v>
      </c>
      <c r="F39" s="2">
        <f>IF('Monthly Projection'!A39="",0,'Monthly Projection'!G39)</f>
        <v>617342.12886817218</v>
      </c>
      <c r="G39" s="1"/>
      <c r="H39" s="1"/>
    </row>
    <row r="40" spans="1:8" ht="22" customHeight="1">
      <c r="A40" s="1">
        <f>IF(AND('Mortgage Inputs'!$B$12,34&lt;=IF('Mortgage Inputs'!$B$12,'Mortgage Inputs'!$B$7,0)*12+600,ISNUMBER(E39),E39&gt;0.005),34,"")</f>
        <v>34</v>
      </c>
      <c r="B40" s="2">
        <f t="shared" si="1"/>
        <v>628406.19692689914</v>
      </c>
      <c r="C40" s="2">
        <f>IF(A40="","",B40*'Mortgage Inputs'!$B$15)</f>
        <v>3346.2629986357379</v>
      </c>
      <c r="D40" s="2">
        <f>IF(A40="","",MIN(B40,MAX(0,'Mortgage Inputs'!$B$17-C40)))</f>
        <v>715.27036917161558</v>
      </c>
      <c r="E40" s="2">
        <f t="shared" si="0"/>
        <v>627690.92655772751</v>
      </c>
      <c r="F40" s="2">
        <f>IF('Monthly Projection'!A40="",0,'Monthly Projection'!G40)</f>
        <v>616213.82983658789</v>
      </c>
      <c r="G40" s="1"/>
      <c r="H40" s="1"/>
    </row>
    <row r="41" spans="1:8" ht="22" customHeight="1">
      <c r="A41" s="1">
        <f>IF(AND('Mortgage Inputs'!$B$12,35&lt;=IF('Mortgage Inputs'!$B$12,'Mortgage Inputs'!$B$7,0)*12+600,ISNUMBER(E40),E40&gt;0.005),35,"")</f>
        <v>35</v>
      </c>
      <c r="B41" s="2">
        <f t="shared" si="1"/>
        <v>627690.92655772751</v>
      </c>
      <c r="C41" s="2">
        <f>IF(A41="","",B41*'Mortgage Inputs'!$B$15)</f>
        <v>3342.4541839198987</v>
      </c>
      <c r="D41" s="2">
        <f>IF(A41="","",MIN(B41,MAX(0,'Mortgage Inputs'!$B$17-C41)))</f>
        <v>719.07918388745475</v>
      </c>
      <c r="E41" s="2">
        <f t="shared" si="0"/>
        <v>626971.84737384005</v>
      </c>
      <c r="F41" s="2">
        <f>IF('Monthly Projection'!A41="",0,'Monthly Projection'!G41)</f>
        <v>615076.86011266033</v>
      </c>
      <c r="G41" s="1"/>
      <c r="H41" s="1"/>
    </row>
    <row r="42" spans="1:8" ht="22" customHeight="1">
      <c r="A42" s="1">
        <f>IF(AND('Mortgage Inputs'!$B$12,36&lt;=IF('Mortgage Inputs'!$B$12,'Mortgage Inputs'!$B$7,0)*12+600,ISNUMBER(E41),E41&gt;0.005),36,"")</f>
        <v>36</v>
      </c>
      <c r="B42" s="2">
        <f t="shared" si="1"/>
        <v>626971.84737384005</v>
      </c>
      <c r="C42" s="2">
        <f>IF(A42="","",B42*'Mortgage Inputs'!$B$15)</f>
        <v>3338.6250872656983</v>
      </c>
      <c r="D42" s="2">
        <f>IF(A42="","",MIN(B42,MAX(0,'Mortgage Inputs'!$B$17-C42)))</f>
        <v>722.90828054165513</v>
      </c>
      <c r="E42" s="2">
        <f t="shared" si="0"/>
        <v>626248.9390932984</v>
      </c>
      <c r="F42" s="2">
        <f>IF('Monthly Projection'!A42="",0,'Monthly Projection'!G42)</f>
        <v>613931.17352495284</v>
      </c>
      <c r="G42" s="1"/>
      <c r="H42" s="1"/>
    </row>
    <row r="43" spans="1:8" ht="22" customHeight="1">
      <c r="A43" s="1">
        <f>IF(AND('Mortgage Inputs'!$B$12,37&lt;=IF('Mortgage Inputs'!$B$12,'Mortgage Inputs'!$B$7,0)*12+600,ISNUMBER(E42),E42&gt;0.005),37,"")</f>
        <v>37</v>
      </c>
      <c r="B43" s="2">
        <f t="shared" si="1"/>
        <v>626248.9390932984</v>
      </c>
      <c r="C43" s="2">
        <f>IF(A43="","",B43*'Mortgage Inputs'!$B$15)</f>
        <v>3334.7756006718137</v>
      </c>
      <c r="D43" s="2">
        <f>IF(A43="","",MIN(B43,MAX(0,'Mortgage Inputs'!$B$17-C43)))</f>
        <v>726.75776713553978</v>
      </c>
      <c r="E43" s="2">
        <f t="shared" si="0"/>
        <v>625522.18132616288</v>
      </c>
      <c r="F43" s="2">
        <f>IF('Monthly Projection'!A43="",0,'Monthly Projection'!G43)</f>
        <v>612776.72365616588</v>
      </c>
      <c r="G43" s="1"/>
      <c r="H43" s="1"/>
    </row>
    <row r="44" spans="1:8" ht="22" customHeight="1">
      <c r="A44" s="1">
        <f>IF(AND('Mortgage Inputs'!$B$12,38&lt;=IF('Mortgage Inputs'!$B$12,'Mortgage Inputs'!$B$7,0)*12+600,ISNUMBER(E43),E43&gt;0.005),38,"")</f>
        <v>38</v>
      </c>
      <c r="B44" s="2">
        <f t="shared" si="1"/>
        <v>625522.18132616288</v>
      </c>
      <c r="C44" s="2">
        <f>IF(A44="","",B44*'Mortgage Inputs'!$B$15)</f>
        <v>3330.9056155618173</v>
      </c>
      <c r="D44" s="2">
        <f>IF(A44="","",MIN(B44,MAX(0,'Mortgage Inputs'!$B$17-C44)))</f>
        <v>730.62775224553616</v>
      </c>
      <c r="E44" s="2">
        <f t="shared" si="0"/>
        <v>624791.55357391736</v>
      </c>
      <c r="F44" s="2">
        <f>IF('Monthly Projection'!A44="",0,'Monthly Projection'!G44)</f>
        <v>611613.46384182759</v>
      </c>
      <c r="G44" s="1"/>
      <c r="H44" s="1"/>
    </row>
    <row r="45" spans="1:8" ht="22" customHeight="1">
      <c r="A45" s="1">
        <f>IF(AND('Mortgage Inputs'!$B$12,39&lt;=IF('Mortgage Inputs'!$B$12,'Mortgage Inputs'!$B$7,0)*12+600,ISNUMBER(E44),E44&gt;0.005),39,"")</f>
        <v>39</v>
      </c>
      <c r="B45" s="2">
        <f t="shared" si="1"/>
        <v>624791.55357391736</v>
      </c>
      <c r="C45" s="2">
        <f>IF(A45="","",B45*'Mortgage Inputs'!$B$15)</f>
        <v>3327.01502278111</v>
      </c>
      <c r="D45" s="2">
        <f>IF(A45="","",MIN(B45,MAX(0,'Mortgage Inputs'!$B$17-C45)))</f>
        <v>734.51834502624342</v>
      </c>
      <c r="E45" s="2">
        <f t="shared" si="0"/>
        <v>624057.03522889107</v>
      </c>
      <c r="F45" s="2">
        <f>IF('Monthly Projection'!A45="",0,'Monthly Projection'!G45)</f>
        <v>610441.34716897795</v>
      </c>
      <c r="G45" s="1"/>
      <c r="H45" s="1"/>
    </row>
    <row r="46" spans="1:8" ht="22" customHeight="1">
      <c r="A46" s="1">
        <f>IF(AND('Mortgage Inputs'!$B$12,40&lt;=IF('Mortgage Inputs'!$B$12,'Mortgage Inputs'!$B$7,0)*12+600,ISNUMBER(E45),E45&gt;0.005),40,"")</f>
        <v>40</v>
      </c>
      <c r="B46" s="2">
        <f t="shared" si="1"/>
        <v>624057.03522889107</v>
      </c>
      <c r="C46" s="2">
        <f>IF(A46="","",B46*'Mortgage Inputs'!$B$15)</f>
        <v>3323.1037125938446</v>
      </c>
      <c r="D46" s="2">
        <f>IF(A46="","",MIN(B46,MAX(0,'Mortgage Inputs'!$B$17-C46)))</f>
        <v>738.42965521350879</v>
      </c>
      <c r="E46" s="2">
        <f t="shared" si="0"/>
        <v>623318.60557367757</v>
      </c>
      <c r="F46" s="2">
        <f>IF('Monthly Projection'!A46="",0,'Monthly Projection'!G46)</f>
        <v>609260.32647484541</v>
      </c>
      <c r="G46" s="1"/>
      <c r="H46" s="1"/>
    </row>
    <row r="47" spans="1:8" ht="22" customHeight="1">
      <c r="A47" s="1">
        <f>IF(AND('Mortgage Inputs'!$B$12,41&lt;=IF('Mortgage Inputs'!$B$12,'Mortgage Inputs'!$B$7,0)*12+600,ISNUMBER(E46),E46&gt;0.005),41,"")</f>
        <v>41</v>
      </c>
      <c r="B47" s="2">
        <f t="shared" si="1"/>
        <v>623318.60557367757</v>
      </c>
      <c r="C47" s="2">
        <f>IF(A47="","",B47*'Mortgage Inputs'!$B$15)</f>
        <v>3319.1715746798332</v>
      </c>
      <c r="D47" s="2">
        <f>IF(A47="","",MIN(B47,MAX(0,'Mortgage Inputs'!$B$17-C47)))</f>
        <v>742.36179312752029</v>
      </c>
      <c r="E47" s="2">
        <f t="shared" si="0"/>
        <v>622576.24378055008</v>
      </c>
      <c r="F47" s="2">
        <f>IF('Monthly Projection'!A47="",0,'Monthly Projection'!G47)</f>
        <v>608070.35434551665</v>
      </c>
      <c r="G47" s="1"/>
      <c r="H47" s="1"/>
    </row>
    <row r="48" spans="1:8" ht="22" customHeight="1">
      <c r="A48" s="1">
        <f>IF(AND('Mortgage Inputs'!$B$12,42&lt;=IF('Mortgage Inputs'!$B$12,'Mortgage Inputs'!$B$7,0)*12+600,ISNUMBER(E47),E47&gt;0.005),42,"")</f>
        <v>42</v>
      </c>
      <c r="B48" s="2">
        <f t="shared" si="1"/>
        <v>622576.24378055008</v>
      </c>
      <c r="C48" s="2">
        <f>IF(A48="","",B48*'Mortgage Inputs'!$B$15)</f>
        <v>3315.218498131429</v>
      </c>
      <c r="D48" s="2">
        <f>IF(A48="","",MIN(B48,MAX(0,'Mortgage Inputs'!$B$17-C48)))</f>
        <v>746.31486967592446</v>
      </c>
      <c r="E48" s="2">
        <f t="shared" si="0"/>
        <v>621829.92891087418</v>
      </c>
      <c r="F48" s="2">
        <f>IF('Monthly Projection'!A48="",0,'Monthly Projection'!G48)</f>
        <v>606871.38311459916</v>
      </c>
      <c r="G48" s="1"/>
      <c r="H48" s="1"/>
    </row>
    <row r="49" spans="1:8" ht="22" customHeight="1">
      <c r="A49" s="1">
        <f>IF(AND('Mortgage Inputs'!$B$12,43&lt;=IF('Mortgage Inputs'!$B$12,'Mortgage Inputs'!$B$7,0)*12+600,ISNUMBER(E48),E48&gt;0.005),43,"")</f>
        <v>43</v>
      </c>
      <c r="B49" s="2">
        <f t="shared" si="1"/>
        <v>621829.92891087418</v>
      </c>
      <c r="C49" s="2">
        <f>IF(A49="","",B49*'Mortgage Inputs'!$B$15)</f>
        <v>3311.2443714504047</v>
      </c>
      <c r="D49" s="2">
        <f>IF(A49="","",MIN(B49,MAX(0,'Mortgage Inputs'!$B$17-C49)))</f>
        <v>750.2889963569487</v>
      </c>
      <c r="E49" s="2">
        <f t="shared" si="0"/>
        <v>621079.63991451717</v>
      </c>
      <c r="F49" s="2">
        <f>IF('Monthly Projection'!A49="",0,'Monthly Projection'!G49)</f>
        <v>605663.36486187705</v>
      </c>
      <c r="G49" s="1"/>
      <c r="H49" s="1"/>
    </row>
    <row r="50" spans="1:8" ht="22" customHeight="1">
      <c r="A50" s="1">
        <f>IF(AND('Mortgage Inputs'!$B$12,44&lt;=IF('Mortgage Inputs'!$B$12,'Mortgage Inputs'!$B$7,0)*12+600,ISNUMBER(E49),E49&gt;0.005),44,"")</f>
        <v>44</v>
      </c>
      <c r="B50" s="2">
        <f t="shared" si="1"/>
        <v>621079.63991451717</v>
      </c>
      <c r="C50" s="2">
        <f>IF(A50="","",B50*'Mortgage Inputs'!$B$15)</f>
        <v>3307.249082544804</v>
      </c>
      <c r="D50" s="2">
        <f>IF(A50="","",MIN(B50,MAX(0,'Mortgage Inputs'!$B$17-C50)))</f>
        <v>754.28428526254947</v>
      </c>
      <c r="E50" s="2">
        <f t="shared" si="0"/>
        <v>620325.3556292546</v>
      </c>
      <c r="F50" s="2">
        <f>IF('Monthly Projection'!A50="",0,'Monthly Projection'!G50)</f>
        <v>604446.25141195918</v>
      </c>
      <c r="G50" s="1"/>
      <c r="H50" s="1"/>
    </row>
    <row r="51" spans="1:8" ht="22" customHeight="1">
      <c r="A51" s="1">
        <f>IF(AND('Mortgage Inputs'!$B$12,45&lt;=IF('Mortgage Inputs'!$B$12,'Mortgage Inputs'!$B$7,0)*12+600,ISNUMBER(E50),E50&gt;0.005),45,"")</f>
        <v>45</v>
      </c>
      <c r="B51" s="2">
        <f t="shared" si="1"/>
        <v>620325.3556292546</v>
      </c>
      <c r="C51" s="2">
        <f>IF(A51="","",B51*'Mortgage Inputs'!$B$15)</f>
        <v>3303.2325187257807</v>
      </c>
      <c r="D51" s="2">
        <f>IF(A51="","",MIN(B51,MAX(0,'Mortgage Inputs'!$B$17-C51)))</f>
        <v>758.30084908157278</v>
      </c>
      <c r="E51" s="2">
        <f t="shared" si="0"/>
        <v>619567.054780173</v>
      </c>
      <c r="F51" s="2">
        <f>IF('Monthly Projection'!A51="",0,'Monthly Projection'!G51)</f>
        <v>603219.99433292053</v>
      </c>
      <c r="G51" s="1"/>
      <c r="H51" s="1"/>
    </row>
    <row r="52" spans="1:8" ht="22" customHeight="1">
      <c r="A52" s="1">
        <f>IF(AND('Mortgage Inputs'!$B$12,46&lt;=IF('Mortgage Inputs'!$B$12,'Mortgage Inputs'!$B$7,0)*12+600,ISNUMBER(E51),E51&gt;0.005),46,"")</f>
        <v>46</v>
      </c>
      <c r="B52" s="2">
        <f t="shared" si="1"/>
        <v>619567.054780173</v>
      </c>
      <c r="C52" s="2">
        <f>IF(A52="","",B52*'Mortgage Inputs'!$B$15)</f>
        <v>3299.194566704421</v>
      </c>
      <c r="D52" s="2">
        <f>IF(A52="","",MIN(B52,MAX(0,'Mortgage Inputs'!$B$17-C52)))</f>
        <v>762.33880110293239</v>
      </c>
      <c r="E52" s="2">
        <f t="shared" si="0"/>
        <v>618804.71597907005</v>
      </c>
      <c r="F52" s="2">
        <f>IF('Monthly Projection'!A52="",0,'Monthly Projection'!G52)</f>
        <v>601984.54493493598</v>
      </c>
      <c r="G52" s="1"/>
      <c r="H52" s="1"/>
    </row>
    <row r="53" spans="1:8" ht="22" customHeight="1">
      <c r="A53" s="1">
        <f>IF(AND('Mortgage Inputs'!$B$12,47&lt;=IF('Mortgage Inputs'!$B$12,'Mortgage Inputs'!$B$7,0)*12+600,ISNUMBER(E52),E52&gt;0.005),47,"")</f>
        <v>47</v>
      </c>
      <c r="B53" s="2">
        <f t="shared" si="1"/>
        <v>618804.71597907005</v>
      </c>
      <c r="C53" s="2">
        <f>IF(A53="","",B53*'Mortgage Inputs'!$B$15)</f>
        <v>3295.1351125885481</v>
      </c>
      <c r="D53" s="2">
        <f>IF(A53="","",MIN(B53,MAX(0,'Mortgage Inputs'!$B$17-C53)))</f>
        <v>766.39825521880539</v>
      </c>
      <c r="E53" s="2">
        <f t="shared" si="0"/>
        <v>618038.3177238513</v>
      </c>
      <c r="F53" s="2">
        <f>IF('Monthly Projection'!A53="",0,'Monthly Projection'!G53)</f>
        <v>600739.85426890722</v>
      </c>
      <c r="G53" s="1"/>
      <c r="H53" s="1"/>
    </row>
    <row r="54" spans="1:8" ht="22" customHeight="1">
      <c r="A54" s="1">
        <f>IF(AND('Mortgage Inputs'!$B$12,48&lt;=IF('Mortgage Inputs'!$B$12,'Mortgage Inputs'!$B$7,0)*12+600,ISNUMBER(E53),E53&gt;0.005),48,"")</f>
        <v>48</v>
      </c>
      <c r="B54" s="2">
        <f t="shared" si="1"/>
        <v>618038.3177238513</v>
      </c>
      <c r="C54" s="2">
        <f>IF(A54="","",B54*'Mortgage Inputs'!$B$15)</f>
        <v>3291.0540418795081</v>
      </c>
      <c r="D54" s="2">
        <f>IF(A54="","",MIN(B54,MAX(0,'Mortgage Inputs'!$B$17-C54)))</f>
        <v>770.47932592784537</v>
      </c>
      <c r="E54" s="2">
        <f t="shared" si="0"/>
        <v>617267.83839792351</v>
      </c>
      <c r="F54" s="2">
        <f>IF('Monthly Projection'!A54="",0,'Monthly Projection'!G54)</f>
        <v>599485.87312508177</v>
      </c>
      <c r="G54" s="1"/>
      <c r="H54" s="1"/>
    </row>
    <row r="55" spans="1:8" ht="22" customHeight="1">
      <c r="A55" s="1">
        <f>IF(AND('Mortgage Inputs'!$B$12,49&lt;=IF('Mortgage Inputs'!$B$12,'Mortgage Inputs'!$B$7,0)*12+600,ISNUMBER(E54),E54&gt;0.005),49,"")</f>
        <v>49</v>
      </c>
      <c r="B55" s="2">
        <f t="shared" si="1"/>
        <v>617267.83839792351</v>
      </c>
      <c r="C55" s="2">
        <f>IF(A55="","",B55*'Mortgage Inputs'!$B$15)</f>
        <v>3286.9512394689427</v>
      </c>
      <c r="D55" s="2">
        <f>IF(A55="","",MIN(B55,MAX(0,'Mortgage Inputs'!$B$17-C55)))</f>
        <v>774.58212833841071</v>
      </c>
      <c r="E55" s="2">
        <f t="shared" si="0"/>
        <v>616493.25626958511</v>
      </c>
      <c r="F55" s="2">
        <f>IF('Monthly Projection'!A55="",0,'Monthly Projection'!G55)</f>
        <v>598222.55203166546</v>
      </c>
      <c r="G55" s="1"/>
      <c r="H55" s="1"/>
    </row>
    <row r="56" spans="1:8" ht="22" customHeight="1">
      <c r="A56" s="1">
        <f>IF(AND('Mortgage Inputs'!$B$12,50&lt;=IF('Mortgage Inputs'!$B$12,'Mortgage Inputs'!$B$7,0)*12+600,ISNUMBER(E55),E55&gt;0.005),50,"")</f>
        <v>50</v>
      </c>
      <c r="B56" s="2">
        <f t="shared" si="1"/>
        <v>616493.25626958511</v>
      </c>
      <c r="C56" s="2">
        <f>IF(A56="","",B56*'Mortgage Inputs'!$B$15)</f>
        <v>3282.8265896355406</v>
      </c>
      <c r="D56" s="2">
        <f>IF(A56="","",MIN(B56,MAX(0,'Mortgage Inputs'!$B$17-C56)))</f>
        <v>778.70677817181286</v>
      </c>
      <c r="E56" s="2">
        <f t="shared" si="0"/>
        <v>615714.54949141329</v>
      </c>
      <c r="F56" s="2">
        <f>IF('Monthly Projection'!A56="",0,'Monthly Projection'!G56)</f>
        <v>596949.84125342674</v>
      </c>
      <c r="G56" s="1"/>
      <c r="H56" s="1"/>
    </row>
    <row r="57" spans="1:8" ht="22" customHeight="1">
      <c r="A57" s="1">
        <f>IF(AND('Mortgage Inputs'!$B$12,51&lt;=IF('Mortgage Inputs'!$B$12,'Mortgage Inputs'!$B$7,0)*12+600,ISNUMBER(E56),E56&gt;0.005),51,"")</f>
        <v>51</v>
      </c>
      <c r="B57" s="2">
        <f t="shared" si="1"/>
        <v>615714.54949141329</v>
      </c>
      <c r="C57" s="2">
        <f>IF(A57="","",B57*'Mortgage Inputs'!$B$15)</f>
        <v>3278.6799760417757</v>
      </c>
      <c r="D57" s="2">
        <f>IF(A57="","",MIN(B57,MAX(0,'Mortgage Inputs'!$B$17-C57)))</f>
        <v>782.85339176557773</v>
      </c>
      <c r="E57" s="2">
        <f t="shared" si="0"/>
        <v>614931.69609964767</v>
      </c>
      <c r="F57" s="2">
        <f>IF('Monthly Projection'!A57="",0,'Monthly Projection'!G57)</f>
        <v>595667.69079029385</v>
      </c>
      <c r="G57" s="1"/>
      <c r="H57" s="1"/>
    </row>
    <row r="58" spans="1:8" ht="22" customHeight="1">
      <c r="A58" s="1">
        <f>IF(AND('Mortgage Inputs'!$B$12,52&lt;=IF('Mortgage Inputs'!$B$12,'Mortgage Inputs'!$B$7,0)*12+600,ISNUMBER(E57),E57&gt;0.005),52,"")</f>
        <v>52</v>
      </c>
      <c r="B58" s="2">
        <f t="shared" si="1"/>
        <v>614931.69609964767</v>
      </c>
      <c r="C58" s="2">
        <f>IF(A58="","",B58*'Mortgage Inputs'!$B$15)</f>
        <v>3274.511281730624</v>
      </c>
      <c r="D58" s="2">
        <f>IF(A58="","",MIN(B58,MAX(0,'Mortgage Inputs'!$B$17-C58)))</f>
        <v>787.02208607672947</v>
      </c>
      <c r="E58" s="2">
        <f t="shared" si="0"/>
        <v>614144.67401357088</v>
      </c>
      <c r="F58" s="2">
        <f>IF('Monthly Projection'!A58="",0,'Monthly Projection'!G58)</f>
        <v>594376.05037594482</v>
      </c>
      <c r="G58" s="1"/>
      <c r="H58" s="1"/>
    </row>
    <row r="59" spans="1:8" ht="22" customHeight="1">
      <c r="A59" s="1">
        <f>IF(AND('Mortgage Inputs'!$B$12,53&lt;=IF('Mortgage Inputs'!$B$12,'Mortgage Inputs'!$B$7,0)*12+600,ISNUMBER(E58),E58&gt;0.005),53,"")</f>
        <v>53</v>
      </c>
      <c r="B59" s="2">
        <f t="shared" si="1"/>
        <v>614144.67401357088</v>
      </c>
      <c r="C59" s="2">
        <f>IF(A59="","",B59*'Mortgage Inputs'!$B$15)</f>
        <v>3270.3203891222647</v>
      </c>
      <c r="D59" s="2">
        <f>IF(A59="","",MIN(B59,MAX(0,'Mortgage Inputs'!$B$17-C59)))</f>
        <v>791.21297868508873</v>
      </c>
      <c r="E59" s="2">
        <f t="shared" si="0"/>
        <v>613353.46103488584</v>
      </c>
      <c r="F59" s="2">
        <f>IF('Monthly Projection'!A59="",0,'Monthly Projection'!G59)</f>
        <v>593074.86947638937</v>
      </c>
      <c r="G59" s="1"/>
      <c r="H59" s="1"/>
    </row>
    <row r="60" spans="1:8" ht="22" customHeight="1">
      <c r="A60" s="1">
        <f>IF(AND('Mortgage Inputs'!$B$12,54&lt;=IF('Mortgage Inputs'!$B$12,'Mortgage Inputs'!$B$7,0)*12+600,ISNUMBER(E59),E59&gt;0.005),54,"")</f>
        <v>54</v>
      </c>
      <c r="B60" s="2">
        <f t="shared" si="1"/>
        <v>613353.46103488584</v>
      </c>
      <c r="C60" s="2">
        <f>IF(A60="","",B60*'Mortgage Inputs'!$B$15)</f>
        <v>3266.107180010767</v>
      </c>
      <c r="D60" s="2">
        <f>IF(A60="","",MIN(B60,MAX(0,'Mortgage Inputs'!$B$17-C60)))</f>
        <v>795.42618779658642</v>
      </c>
      <c r="E60" s="2">
        <f t="shared" si="0"/>
        <v>612558.03484708921</v>
      </c>
      <c r="F60" s="2">
        <f>IF('Monthly Projection'!A60="",0,'Monthly Projection'!G60)</f>
        <v>591764.09728854382</v>
      </c>
      <c r="G60" s="1"/>
      <c r="H60" s="1"/>
    </row>
    <row r="61" spans="1:8" ht="22" customHeight="1">
      <c r="A61" s="1">
        <f>IF(AND('Mortgage Inputs'!$B$12,55&lt;=IF('Mortgage Inputs'!$B$12,'Mortgage Inputs'!$B$7,0)*12+600,ISNUMBER(E60),E60&gt;0.005),55,"")</f>
        <v>55</v>
      </c>
      <c r="B61" s="2">
        <f t="shared" si="1"/>
        <v>612558.03484708921</v>
      </c>
      <c r="C61" s="2">
        <f>IF(A61="","",B61*'Mortgage Inputs'!$B$15)</f>
        <v>3261.8715355607501</v>
      </c>
      <c r="D61" s="2">
        <f>IF(A61="","",MIN(B61,MAX(0,'Mortgage Inputs'!$B$17-C61)))</f>
        <v>799.66183224660335</v>
      </c>
      <c r="E61" s="2">
        <f t="shared" si="0"/>
        <v>611758.37301484263</v>
      </c>
      <c r="F61" s="2">
        <f>IF('Monthly Projection'!A61="",0,'Monthly Projection'!G61)</f>
        <v>590443.68273879797</v>
      </c>
      <c r="G61" s="1"/>
      <c r="H61" s="1"/>
    </row>
    <row r="62" spans="1:8" ht="22" customHeight="1">
      <c r="A62" s="1">
        <f>IF(AND('Mortgage Inputs'!$B$12,56&lt;=IF('Mortgage Inputs'!$B$12,'Mortgage Inputs'!$B$7,0)*12+600,ISNUMBER(E61),E61&gt;0.005),56,"")</f>
        <v>56</v>
      </c>
      <c r="B62" s="2">
        <f t="shared" si="1"/>
        <v>611758.37301484263</v>
      </c>
      <c r="C62" s="2">
        <f>IF(A62="","",B62*'Mortgage Inputs'!$B$15)</f>
        <v>3257.6133363040367</v>
      </c>
      <c r="D62" s="2">
        <f>IF(A62="","",MIN(B62,MAX(0,'Mortgage Inputs'!$B$17-C62)))</f>
        <v>803.92003150331675</v>
      </c>
      <c r="E62" s="2">
        <f t="shared" si="0"/>
        <v>610954.45298333932</v>
      </c>
      <c r="F62" s="2">
        <f>IF('Monthly Projection'!A62="",0,'Monthly Projection'!G62)</f>
        <v>589113.5744815747</v>
      </c>
      <c r="G62" s="1"/>
      <c r="H62" s="1"/>
    </row>
    <row r="63" spans="1:8" ht="22" customHeight="1">
      <c r="A63" s="1">
        <f>IF(AND('Mortgage Inputs'!$B$12,57&lt;=IF('Mortgage Inputs'!$B$12,'Mortgage Inputs'!$B$7,0)*12+600,ISNUMBER(E62),E62&gt;0.005),57,"")</f>
        <v>57</v>
      </c>
      <c r="B63" s="2">
        <f t="shared" si="1"/>
        <v>610954.45298333932</v>
      </c>
      <c r="C63" s="2">
        <f>IF(A63="","",B63*'Mortgage Inputs'!$B$15)</f>
        <v>3253.3324621362817</v>
      </c>
      <c r="D63" s="2">
        <f>IF(A63="","",MIN(B63,MAX(0,'Mortgage Inputs'!$B$17-C63)))</f>
        <v>808.20090567107172</v>
      </c>
      <c r="E63" s="2">
        <f t="shared" si="0"/>
        <v>610146.25207766821</v>
      </c>
      <c r="F63" s="2">
        <f>IF('Monthly Projection'!A63="",0,'Monthly Projection'!G63)</f>
        <v>587773.72089788178</v>
      </c>
      <c r="G63" s="1"/>
      <c r="H63" s="1"/>
    </row>
    <row r="64" spans="1:8" ht="22" customHeight="1">
      <c r="A64" s="1">
        <f>IF(AND('Mortgage Inputs'!$B$12,58&lt;=IF('Mortgage Inputs'!$B$12,'Mortgage Inputs'!$B$7,0)*12+600,ISNUMBER(E63),E63&gt;0.005),58,"")</f>
        <v>58</v>
      </c>
      <c r="B64" s="2">
        <f t="shared" si="1"/>
        <v>610146.25207766821</v>
      </c>
      <c r="C64" s="2">
        <f>IF(A64="","",B64*'Mortgage Inputs'!$B$15)</f>
        <v>3249.0287923135829</v>
      </c>
      <c r="D64" s="2">
        <f>IF(A64="","",MIN(B64,MAX(0,'Mortgage Inputs'!$B$17-C64)))</f>
        <v>812.50457549377052</v>
      </c>
      <c r="E64" s="2">
        <f t="shared" si="0"/>
        <v>609333.74750217446</v>
      </c>
      <c r="F64" s="2">
        <f>IF('Monthly Projection'!A64="",0,'Monthly Projection'!G64)</f>
        <v>586424.07009385561</v>
      </c>
      <c r="G64" s="1"/>
      <c r="H64" s="1"/>
    </row>
    <row r="65" spans="1:8" ht="22" customHeight="1">
      <c r="A65" s="1">
        <f>IF(AND('Mortgage Inputs'!$B$12,59&lt;=IF('Mortgage Inputs'!$B$12,'Mortgage Inputs'!$B$7,0)*12+600,ISNUMBER(E64),E64&gt;0.005),59,"")</f>
        <v>59</v>
      </c>
      <c r="B65" s="2">
        <f t="shared" si="1"/>
        <v>609333.74750217446</v>
      </c>
      <c r="C65" s="2">
        <f>IF(A65="","",B65*'Mortgage Inputs'!$B$15)</f>
        <v>3244.702205449079</v>
      </c>
      <c r="D65" s="2">
        <f>IF(A65="","",MIN(B65,MAX(0,'Mortgage Inputs'!$B$17-C65)))</f>
        <v>816.83116235827447</v>
      </c>
      <c r="E65" s="2">
        <f t="shared" si="0"/>
        <v>608516.91633981618</v>
      </c>
      <c r="F65" s="2">
        <f>IF('Monthly Projection'!A65="",0,'Monthly Projection'!G65)</f>
        <v>585064.56989929802</v>
      </c>
      <c r="G65" s="1"/>
      <c r="H65" s="1"/>
    </row>
    <row r="66" spans="1:8" ht="22" customHeight="1">
      <c r="A66" s="1">
        <f>IF(AND('Mortgage Inputs'!$B$12,60&lt;=IF('Mortgage Inputs'!$B$12,'Mortgage Inputs'!$B$7,0)*12+600,ISNUMBER(E65),E65&gt;0.005),60,"")</f>
        <v>60</v>
      </c>
      <c r="B66" s="2">
        <f t="shared" si="1"/>
        <v>608516.91633981618</v>
      </c>
      <c r="C66" s="2">
        <f>IF(A66="","",B66*'Mortgage Inputs'!$B$15)</f>
        <v>3240.3525795095211</v>
      </c>
      <c r="D66" s="2">
        <f>IF(A66="","",MIN(B66,MAX(0,'Mortgage Inputs'!$B$17-C66)))</f>
        <v>821.18078829783235</v>
      </c>
      <c r="E66" s="2">
        <f t="shared" si="0"/>
        <v>607695.73555151839</v>
      </c>
      <c r="F66" s="2">
        <f>IF('Monthly Projection'!A66="",0,'Monthly Projection'!G66)</f>
        <v>583695.1678662044</v>
      </c>
      <c r="G66" s="1"/>
      <c r="H66" s="1"/>
    </row>
    <row r="67" spans="1:8" ht="22" customHeight="1">
      <c r="A67" s="1">
        <f>IF(AND('Mortgage Inputs'!$B$12,61&lt;=IF('Mortgage Inputs'!$B$12,'Mortgage Inputs'!$B$7,0)*12+600,ISNUMBER(E66),E66&gt;0.005),61,"")</f>
        <v>61</v>
      </c>
      <c r="B67" s="2">
        <f t="shared" si="1"/>
        <v>607695.73555151839</v>
      </c>
      <c r="C67" s="2">
        <f>IF(A67="","",B67*'Mortgage Inputs'!$B$15)</f>
        <v>3235.9797918118352</v>
      </c>
      <c r="D67" s="2">
        <f>IF(A67="","",MIN(B67,MAX(0,'Mortgage Inputs'!$B$17-C67)))</f>
        <v>825.55357599551826</v>
      </c>
      <c r="E67" s="2">
        <f t="shared" si="0"/>
        <v>606870.18197552289</v>
      </c>
      <c r="F67" s="2">
        <f>IF('Monthly Projection'!A67="",0,'Monthly Projection'!G67)</f>
        <v>582315.81126728456</v>
      </c>
      <c r="G67" s="1"/>
      <c r="H67" s="1"/>
    </row>
    <row r="68" spans="1:8" ht="22" customHeight="1">
      <c r="A68" s="1">
        <f>IF(AND('Mortgage Inputs'!$B$12,62&lt;=IF('Mortgage Inputs'!$B$12,'Mortgage Inputs'!$B$7,0)*12+600,ISNUMBER(E67),E67&gt;0.005),62,"")</f>
        <v>62</v>
      </c>
      <c r="B68" s="2">
        <f t="shared" si="1"/>
        <v>606870.18197552289</v>
      </c>
      <c r="C68" s="2">
        <f>IF(A68="","",B68*'Mortgage Inputs'!$B$15)</f>
        <v>3231.5837190196594</v>
      </c>
      <c r="D68" s="2">
        <f>IF(A68="","",MIN(B68,MAX(0,'Mortgage Inputs'!$B$17-C68)))</f>
        <v>829.94964878769406</v>
      </c>
      <c r="E68" s="2">
        <f t="shared" si="0"/>
        <v>606040.23232673516</v>
      </c>
      <c r="F68" s="2">
        <f>IF('Monthly Projection'!A68="",0,'Monthly Projection'!G68)</f>
        <v>580926.4470944755</v>
      </c>
      <c r="G68" s="1"/>
      <c r="H68" s="1"/>
    </row>
    <row r="69" spans="1:8" ht="22" customHeight="1">
      <c r="A69" s="1">
        <f>IF(AND('Mortgage Inputs'!$B$12,63&lt;=IF('Mortgage Inputs'!$B$12,'Mortgage Inputs'!$B$7,0)*12+600,ISNUMBER(E68),E68&gt;0.005),63,"")</f>
        <v>63</v>
      </c>
      <c r="B69" s="2">
        <f t="shared" si="1"/>
        <v>606040.23232673516</v>
      </c>
      <c r="C69" s="2">
        <f>IF(A69="","",B69*'Mortgage Inputs'!$B$15)</f>
        <v>3227.1642371398648</v>
      </c>
      <c r="D69" s="2">
        <f>IF(A69="","",MIN(B69,MAX(0,'Mortgage Inputs'!$B$17-C69)))</f>
        <v>834.36913066748866</v>
      </c>
      <c r="E69" s="2">
        <f t="shared" si="0"/>
        <v>605205.86319606763</v>
      </c>
      <c r="F69" s="2">
        <f>IF('Monthly Projection'!A69="",0,'Monthly Projection'!G69)</f>
        <v>579527.02205744619</v>
      </c>
      <c r="G69" s="1"/>
      <c r="H69" s="1"/>
    </row>
    <row r="70" spans="1:8" ht="22" customHeight="1">
      <c r="A70" s="1">
        <f>IF(AND('Mortgage Inputs'!$B$12,64&lt;=IF('Mortgage Inputs'!$B$12,'Mortgage Inputs'!$B$7,0)*12+600,ISNUMBER(E69),E69&gt;0.005),64,"")</f>
        <v>64</v>
      </c>
      <c r="B70" s="2">
        <f t="shared" si="1"/>
        <v>605205.86319606763</v>
      </c>
      <c r="C70" s="2">
        <f>IF(A70="","",B70*'Mortgage Inputs'!$B$15)</f>
        <v>3222.7212215190602</v>
      </c>
      <c r="D70" s="2">
        <f>IF(A70="","",MIN(B70,MAX(0,'Mortgage Inputs'!$B$17-C70)))</f>
        <v>838.81214628829321</v>
      </c>
      <c r="E70" s="2">
        <f t="shared" si="0"/>
        <v>604367.05104977929</v>
      </c>
      <c r="F70" s="2">
        <f>IF('Monthly Projection'!A70="",0,'Monthly Projection'!G70)</f>
        <v>578117.48258209473</v>
      </c>
      <c r="G70" s="1"/>
      <c r="H70" s="1"/>
    </row>
    <row r="71" spans="1:8" ht="22" customHeight="1">
      <c r="A71" s="1">
        <f>IF(AND('Mortgage Inputs'!$B$12,65&lt;=IF('Mortgage Inputs'!$B$12,'Mortgage Inputs'!$B$7,0)*12+600,ISNUMBER(E70),E70&gt;0.005),65,"")</f>
        <v>65</v>
      </c>
      <c r="B71" s="2">
        <f t="shared" si="1"/>
        <v>604367.05104977929</v>
      </c>
      <c r="C71" s="2">
        <f>IF(A71="","",B71*'Mortgage Inputs'!$B$15)</f>
        <v>3218.2545468400745</v>
      </c>
      <c r="D71" s="2">
        <f>IF(A71="","",MIN(B71,MAX(0,'Mortgage Inputs'!$B$17-C71)))</f>
        <v>843.27882096727899</v>
      </c>
      <c r="E71" s="2">
        <f t="shared" ref="E71:E134" si="2">IF(A71="","",MAX(0,B71-D71))</f>
        <v>603523.77222881198</v>
      </c>
      <c r="F71" s="2">
        <f>IF('Monthly Projection'!A71="",0,'Monthly Projection'!G71)</f>
        <v>576697.77480903699</v>
      </c>
      <c r="G71" s="1"/>
      <c r="H71" s="1"/>
    </row>
    <row r="72" spans="1:8" ht="22" customHeight="1">
      <c r="A72" s="1">
        <f>IF(AND('Mortgage Inputs'!$B$12,66&lt;=IF('Mortgage Inputs'!$B$12,'Mortgage Inputs'!$B$7,0)*12+600,ISNUMBER(E71),E71&gt;0.005),66,"")</f>
        <v>66</v>
      </c>
      <c r="B72" s="2">
        <f t="shared" ref="B72:B135" si="3">IF(A72="","",E71)</f>
        <v>603523.77222881198</v>
      </c>
      <c r="C72" s="2">
        <f>IF(A72="","",B72*'Mortgage Inputs'!$B$15)</f>
        <v>3213.764087118424</v>
      </c>
      <c r="D72" s="2">
        <f>IF(A72="","",MIN(B72,MAX(0,'Mortgage Inputs'!$B$17-C72)))</f>
        <v>847.76928068892948</v>
      </c>
      <c r="E72" s="2">
        <f t="shared" si="2"/>
        <v>602676.00294812303</v>
      </c>
      <c r="F72" s="2">
        <f>IF('Monthly Projection'!A72="",0,'Monthly Projection'!G72)</f>
        <v>575267.84459208779</v>
      </c>
      <c r="G72" s="1"/>
      <c r="H72" s="1"/>
    </row>
    <row r="73" spans="1:8" ht="22" customHeight="1">
      <c r="A73" s="1">
        <f>IF(AND('Mortgage Inputs'!$B$12,67&lt;=IF('Mortgage Inputs'!$B$12,'Mortgage Inputs'!$B$7,0)*12+600,ISNUMBER(E72),E72&gt;0.005),67,"")</f>
        <v>67</v>
      </c>
      <c r="B73" s="2">
        <f t="shared" si="3"/>
        <v>602676.00294812303</v>
      </c>
      <c r="C73" s="2">
        <f>IF(A73="","",B73*'Mortgage Inputs'!$B$15)</f>
        <v>3209.2497156987552</v>
      </c>
      <c r="D73" s="2">
        <f>IF(A73="","",MIN(B73,MAX(0,'Mortgage Inputs'!$B$17-C73)))</f>
        <v>852.28365210859829</v>
      </c>
      <c r="E73" s="2">
        <f t="shared" si="2"/>
        <v>601823.7192960144</v>
      </c>
      <c r="F73" s="2">
        <f>IF('Monthly Projection'!A73="",0,'Monthly Projection'!G73)</f>
        <v>573827.63749673334</v>
      </c>
      <c r="G73" s="1"/>
      <c r="H73" s="1"/>
    </row>
    <row r="74" spans="1:8" ht="22" customHeight="1">
      <c r="A74" s="1">
        <f>IF(AND('Mortgage Inputs'!$B$12,68&lt;=IF('Mortgage Inputs'!$B$12,'Mortgage Inputs'!$B$7,0)*12+600,ISNUMBER(E73),E73&gt;0.005),68,"")</f>
        <v>68</v>
      </c>
      <c r="B74" s="2">
        <f t="shared" si="3"/>
        <v>601823.7192960144</v>
      </c>
      <c r="C74" s="2">
        <f>IF(A74="","",B74*'Mortgage Inputs'!$B$15)</f>
        <v>3204.7113052512768</v>
      </c>
      <c r="D74" s="2">
        <f>IF(A74="","",MIN(B74,MAX(0,'Mortgage Inputs'!$B$17-C74)))</f>
        <v>856.82206255607662</v>
      </c>
      <c r="E74" s="2">
        <f t="shared" si="2"/>
        <v>600966.89723345835</v>
      </c>
      <c r="F74" s="2">
        <f>IF('Monthly Projection'!A74="",0,'Monthly Projection'!G74)</f>
        <v>572377.09879859607</v>
      </c>
      <c r="G74" s="1"/>
      <c r="H74" s="1"/>
    </row>
    <row r="75" spans="1:8" ht="22" customHeight="1">
      <c r="A75" s="1">
        <f>IF(AND('Mortgage Inputs'!$B$12,69&lt;=IF('Mortgage Inputs'!$B$12,'Mortgage Inputs'!$B$7,0)*12+600,ISNUMBER(E74),E74&gt;0.005),69,"")</f>
        <v>69</v>
      </c>
      <c r="B75" s="2">
        <f t="shared" si="3"/>
        <v>600966.89723345835</v>
      </c>
      <c r="C75" s="2">
        <f>IF(A75="","",B75*'Mortgage Inputs'!$B$15)</f>
        <v>3200.1487277681658</v>
      </c>
      <c r="D75" s="2">
        <f>IF(A75="","",MIN(B75,MAX(0,'Mortgage Inputs'!$B$17-C75)))</f>
        <v>861.38464003918762</v>
      </c>
      <c r="E75" s="2">
        <f t="shared" si="2"/>
        <v>600105.51259341917</v>
      </c>
      <c r="F75" s="2">
        <f>IF('Monthly Projection'!A75="",0,'Monthly Projection'!G75)</f>
        <v>570916.17348189128</v>
      </c>
      <c r="G75" s="1"/>
      <c r="H75" s="1"/>
    </row>
    <row r="76" spans="1:8" ht="22" customHeight="1">
      <c r="A76" s="1">
        <f>IF(AND('Mortgage Inputs'!$B$12,70&lt;=IF('Mortgage Inputs'!$B$12,'Mortgage Inputs'!$B$7,0)*12+600,ISNUMBER(E75),E75&gt;0.005),70,"")</f>
        <v>70</v>
      </c>
      <c r="B76" s="2">
        <f t="shared" si="3"/>
        <v>600105.51259341917</v>
      </c>
      <c r="C76" s="2">
        <f>IF(A76="","",B76*'Mortgage Inputs'!$B$15)</f>
        <v>3195.5618545599568</v>
      </c>
      <c r="D76" s="2">
        <f>IF(A76="","",MIN(B76,MAX(0,'Mortgage Inputs'!$B$17-C76)))</f>
        <v>865.97151324739662</v>
      </c>
      <c r="E76" s="2">
        <f t="shared" si="2"/>
        <v>599239.54108017182</v>
      </c>
      <c r="F76" s="2">
        <f>IF('Monthly Projection'!A76="",0,'Monthly Projection'!G76)</f>
        <v>569444.80623787502</v>
      </c>
      <c r="G76" s="1"/>
      <c r="H76" s="1"/>
    </row>
    <row r="77" spans="1:8" ht="22" customHeight="1">
      <c r="A77" s="1">
        <f>IF(AND('Mortgage Inputs'!$B$12,71&lt;=IF('Mortgage Inputs'!$B$12,'Mortgage Inputs'!$B$7,0)*12+600,ISNUMBER(E76),E76&gt;0.005),71,"")</f>
        <v>71</v>
      </c>
      <c r="B77" s="2">
        <f t="shared" si="3"/>
        <v>599239.54108017182</v>
      </c>
      <c r="C77" s="2">
        <f>IF(A77="","",B77*'Mortgage Inputs'!$B$15)</f>
        <v>3190.9505562519148</v>
      </c>
      <c r="D77" s="2">
        <f>IF(A77="","",MIN(B77,MAX(0,'Mortgage Inputs'!$B$17-C77)))</f>
        <v>870.58281155543864</v>
      </c>
      <c r="E77" s="2">
        <f t="shared" si="2"/>
        <v>598368.95826861635</v>
      </c>
      <c r="F77" s="2">
        <f>IF('Monthly Projection'!A77="",0,'Monthly Projection'!G77)</f>
        <v>567962.94146328431</v>
      </c>
      <c r="G77" s="1"/>
      <c r="H77" s="1"/>
    </row>
    <row r="78" spans="1:8" ht="22" customHeight="1">
      <c r="A78" s="1">
        <f>IF(AND('Mortgage Inputs'!$B$12,72&lt;=IF('Mortgage Inputs'!$B$12,'Mortgage Inputs'!$B$7,0)*12+600,ISNUMBER(E77),E77&gt;0.005),72,"")</f>
        <v>72</v>
      </c>
      <c r="B78" s="2">
        <f t="shared" si="3"/>
        <v>598368.95826861635</v>
      </c>
      <c r="C78" s="2">
        <f>IF(A78="","",B78*'Mortgage Inputs'!$B$15)</f>
        <v>3186.314702780382</v>
      </c>
      <c r="D78" s="2">
        <f>IF(A78="","",MIN(B78,MAX(0,'Mortgage Inputs'!$B$17-C78)))</f>
        <v>875.21866502697139</v>
      </c>
      <c r="E78" s="2">
        <f t="shared" si="2"/>
        <v>597493.73960358941</v>
      </c>
      <c r="F78" s="2">
        <f>IF('Monthly Projection'!A78="",0,'Monthly Projection'!G78)</f>
        <v>566470.52325876895</v>
      </c>
      <c r="G78" s="1"/>
      <c r="H78" s="1"/>
    </row>
    <row r="79" spans="1:8" ht="22" customHeight="1">
      <c r="A79" s="1">
        <f>IF(AND('Mortgage Inputs'!$B$12,73&lt;=IF('Mortgage Inputs'!$B$12,'Mortgage Inputs'!$B$7,0)*12+600,ISNUMBER(E78),E78&gt;0.005),73,"")</f>
        <v>73</v>
      </c>
      <c r="B79" s="2">
        <f t="shared" si="3"/>
        <v>597493.73960358941</v>
      </c>
      <c r="C79" s="2">
        <f>IF(A79="","",B79*'Mortgage Inputs'!$B$15)</f>
        <v>3181.6541633891134</v>
      </c>
      <c r="D79" s="2">
        <f>IF(A79="","",MIN(B79,MAX(0,'Mortgage Inputs'!$B$17-C79)))</f>
        <v>879.87920441824008</v>
      </c>
      <c r="E79" s="2">
        <f t="shared" si="2"/>
        <v>596613.86039917113</v>
      </c>
      <c r="F79" s="2">
        <f>IF('Monthly Projection'!A79="",0,'Monthly Projection'!G79)</f>
        <v>564967.49542731454</v>
      </c>
      <c r="G79" s="1"/>
      <c r="H79" s="1"/>
    </row>
    <row r="80" spans="1:8" ht="22" customHeight="1">
      <c r="A80" s="1">
        <f>IF(AND('Mortgage Inputs'!$B$12,74&lt;=IF('Mortgage Inputs'!$B$12,'Mortgage Inputs'!$B$7,0)*12+600,ISNUMBER(E79),E79&gt;0.005),74,"")</f>
        <v>74</v>
      </c>
      <c r="B80" s="2">
        <f t="shared" si="3"/>
        <v>596613.86039917113</v>
      </c>
      <c r="C80" s="2">
        <f>IF(A80="","",B80*'Mortgage Inputs'!$B$15)</f>
        <v>3176.9688066255862</v>
      </c>
      <c r="D80" s="2">
        <f>IF(A80="","",MIN(B80,MAX(0,'Mortgage Inputs'!$B$17-C80)))</f>
        <v>884.5645611817672</v>
      </c>
      <c r="E80" s="2">
        <f t="shared" si="2"/>
        <v>595729.29583798931</v>
      </c>
      <c r="F80" s="2">
        <f>IF('Monthly Projection'!A80="",0,'Monthly Projection'!G80)</f>
        <v>563453.80147265759</v>
      </c>
      <c r="G80" s="1"/>
      <c r="H80" s="1"/>
    </row>
    <row r="81" spans="1:8" ht="22" customHeight="1">
      <c r="A81" s="1">
        <f>IF(AND('Mortgage Inputs'!$B$12,75&lt;=IF('Mortgage Inputs'!$B$12,'Mortgage Inputs'!$B$7,0)*12+600,ISNUMBER(E80),E80&gt;0.005),75,"")</f>
        <v>75</v>
      </c>
      <c r="B81" s="2">
        <f t="shared" si="3"/>
        <v>595729.29583798931</v>
      </c>
      <c r="C81" s="2">
        <f>IF(A81="","",B81*'Mortgage Inputs'!$B$15)</f>
        <v>3172.2585003372928</v>
      </c>
      <c r="D81" s="2">
        <f>IF(A81="","",MIN(B81,MAX(0,'Mortgage Inputs'!$B$17-C81)))</f>
        <v>889.2748674700606</v>
      </c>
      <c r="E81" s="2">
        <f t="shared" si="2"/>
        <v>594840.02097051928</v>
      </c>
      <c r="F81" s="2">
        <f>IF('Monthly Projection'!A81="",0,'Monthly Projection'!G81)</f>
        <v>561929.38459769217</v>
      </c>
      <c r="G81" s="1"/>
      <c r="H81" s="1"/>
    </row>
    <row r="82" spans="1:8" ht="22" customHeight="1">
      <c r="A82" s="1">
        <f>IF(AND('Mortgage Inputs'!$B$12,76&lt;=IF('Mortgage Inputs'!$B$12,'Mortgage Inputs'!$B$7,0)*12+600,ISNUMBER(E81),E81&gt;0.005),76,"")</f>
        <v>76</v>
      </c>
      <c r="B82" s="2">
        <f t="shared" si="3"/>
        <v>594840.02097051928</v>
      </c>
      <c r="C82" s="2">
        <f>IF(A82="","",B82*'Mortgage Inputs'!$B$15)</f>
        <v>3167.5231116680152</v>
      </c>
      <c r="D82" s="2">
        <f>IF(A82="","",MIN(B82,MAX(0,'Mortgage Inputs'!$B$17-C82)))</f>
        <v>894.01025613933825</v>
      </c>
      <c r="E82" s="2">
        <f t="shared" si="2"/>
        <v>593946.01071437995</v>
      </c>
      <c r="F82" s="2">
        <f>IF('Monthly Projection'!A82="",0,'Monthly Projection'!G82)</f>
        <v>560394.18770286755</v>
      </c>
      <c r="G82" s="1"/>
      <c r="H82" s="1"/>
    </row>
    <row r="83" spans="1:8" ht="22" customHeight="1">
      <c r="A83" s="1">
        <f>IF(AND('Mortgage Inputs'!$B$12,77&lt;=IF('Mortgage Inputs'!$B$12,'Mortgage Inputs'!$B$7,0)*12+600,ISNUMBER(E82),E82&gt;0.005),77,"")</f>
        <v>77</v>
      </c>
      <c r="B83" s="2">
        <f t="shared" si="3"/>
        <v>593946.01071437995</v>
      </c>
      <c r="C83" s="2">
        <f>IF(A83="","",B83*'Mortgage Inputs'!$B$15)</f>
        <v>3162.762507054073</v>
      </c>
      <c r="D83" s="2">
        <f>IF(A83="","",MIN(B83,MAX(0,'Mortgage Inputs'!$B$17-C83)))</f>
        <v>898.77086075328043</v>
      </c>
      <c r="E83" s="2">
        <f t="shared" si="2"/>
        <v>593047.2398536267</v>
      </c>
      <c r="F83" s="2">
        <f>IF('Monthly Projection'!A83="",0,'Monthly Projection'!G83)</f>
        <v>558848.15338457795</v>
      </c>
      <c r="G83" s="1"/>
      <c r="H83" s="1"/>
    </row>
    <row r="84" spans="1:8" ht="22" customHeight="1">
      <c r="A84" s="1">
        <f>IF(AND('Mortgage Inputs'!$B$12,78&lt;=IF('Mortgage Inputs'!$B$12,'Mortgage Inputs'!$B$7,0)*12+600,ISNUMBER(E83),E83&gt;0.005),78,"")</f>
        <v>78</v>
      </c>
      <c r="B84" s="2">
        <f t="shared" si="3"/>
        <v>593047.2398536267</v>
      </c>
      <c r="C84" s="2">
        <f>IF(A84="","",B84*'Mortgage Inputs'!$B$15)</f>
        <v>3157.9765522205621</v>
      </c>
      <c r="D84" s="2">
        <f>IF(A84="","",MIN(B84,MAX(0,'Mortgage Inputs'!$B$17-C84)))</f>
        <v>903.55681558679134</v>
      </c>
      <c r="E84" s="2">
        <f t="shared" si="2"/>
        <v>592143.68303803995</v>
      </c>
      <c r="F84" s="2">
        <f>IF('Monthly Projection'!A84="",0,'Monthly Projection'!G84)</f>
        <v>557291.22393354343</v>
      </c>
      <c r="G84" s="1"/>
      <c r="H84" s="1"/>
    </row>
    <row r="85" spans="1:8" ht="22" customHeight="1">
      <c r="A85" s="1">
        <f>IF(AND('Mortgage Inputs'!$B$12,79&lt;=IF('Mortgage Inputs'!$B$12,'Mortgage Inputs'!$B$7,0)*12+600,ISNUMBER(E84),E84&gt;0.005),79,"")</f>
        <v>79</v>
      </c>
      <c r="B85" s="2">
        <f t="shared" si="3"/>
        <v>592143.68303803995</v>
      </c>
      <c r="C85" s="2">
        <f>IF(A85="","",B85*'Mortgage Inputs'!$B$15)</f>
        <v>3153.1651121775626</v>
      </c>
      <c r="D85" s="2">
        <f>IF(A85="","",MIN(B85,MAX(0,'Mortgage Inputs'!$B$17-C85)))</f>
        <v>908.36825562979084</v>
      </c>
      <c r="E85" s="2">
        <f t="shared" si="2"/>
        <v>591235.31478241016</v>
      </c>
      <c r="F85" s="2">
        <f>IF('Monthly Projection'!A85="",0,'Monthly Projection'!G85)</f>
        <v>555723.34133318218</v>
      </c>
      <c r="G85" s="1"/>
      <c r="H85" s="1"/>
    </row>
    <row r="86" spans="1:8" ht="22" customHeight="1">
      <c r="A86" s="1">
        <f>IF(AND('Mortgage Inputs'!$B$12,80&lt;=IF('Mortgage Inputs'!$B$12,'Mortgage Inputs'!$B$7,0)*12+600,ISNUMBER(E85),E85&gt;0.005),80,"")</f>
        <v>80</v>
      </c>
      <c r="B86" s="2">
        <f t="shared" si="3"/>
        <v>591235.31478241016</v>
      </c>
      <c r="C86" s="2">
        <f>IF(A86="","",B86*'Mortgage Inputs'!$B$15)</f>
        <v>3148.3280512163342</v>
      </c>
      <c r="D86" s="2">
        <f>IF(A86="","",MIN(B86,MAX(0,'Mortgage Inputs'!$B$17-C86)))</f>
        <v>913.20531659101925</v>
      </c>
      <c r="E86" s="2">
        <f t="shared" si="2"/>
        <v>590322.10946581909</v>
      </c>
      <c r="F86" s="2">
        <f>IF('Monthly Projection'!A86="",0,'Monthly Projection'!G86)</f>
        <v>554144.44725797407</v>
      </c>
      <c r="G86" s="1"/>
      <c r="H86" s="1"/>
    </row>
    <row r="87" spans="1:8" ht="22" customHeight="1">
      <c r="A87" s="1">
        <f>IF(AND('Mortgage Inputs'!$B$12,81&lt;=IF('Mortgage Inputs'!$B$12,'Mortgage Inputs'!$B$7,0)*12+600,ISNUMBER(E86),E86&gt;0.005),81,"")</f>
        <v>81</v>
      </c>
      <c r="B87" s="2">
        <f t="shared" si="3"/>
        <v>590322.10946581909</v>
      </c>
      <c r="C87" s="2">
        <f>IF(A87="","",B87*'Mortgage Inputs'!$B$15)</f>
        <v>3143.4652329054866</v>
      </c>
      <c r="D87" s="2">
        <f>IF(A87="","",MIN(B87,MAX(0,'Mortgage Inputs'!$B$17-C87)))</f>
        <v>918.06813490186687</v>
      </c>
      <c r="E87" s="2">
        <f t="shared" si="2"/>
        <v>589404.04133091727</v>
      </c>
      <c r="F87" s="2">
        <f>IF('Monthly Projection'!A87="",0,'Monthly Projection'!G87)</f>
        <v>552554.48307181546</v>
      </c>
      <c r="G87" s="1"/>
      <c r="H87" s="1"/>
    </row>
    <row r="88" spans="1:8" ht="22" customHeight="1">
      <c r="A88" s="1">
        <f>IF(AND('Mortgage Inputs'!$B$12,82&lt;=IF('Mortgage Inputs'!$B$12,'Mortgage Inputs'!$B$7,0)*12+600,ISNUMBER(E87),E87&gt;0.005),82,"")</f>
        <v>82</v>
      </c>
      <c r="B88" s="2">
        <f t="shared" si="3"/>
        <v>589404.04133091727</v>
      </c>
      <c r="C88" s="2">
        <f>IF(A88="","",B88*'Mortgage Inputs'!$B$15)</f>
        <v>3138.5765200871342</v>
      </c>
      <c r="D88" s="2">
        <f>IF(A88="","",MIN(B88,MAX(0,'Mortgage Inputs'!$B$17-C88)))</f>
        <v>922.95684772021923</v>
      </c>
      <c r="E88" s="2">
        <f t="shared" si="2"/>
        <v>588481.08448319708</v>
      </c>
      <c r="F88" s="2">
        <f>IF('Monthly Projection'!A88="",0,'Monthly Projection'!G88)</f>
        <v>550953.38982636551</v>
      </c>
      <c r="G88" s="1"/>
      <c r="H88" s="1"/>
    </row>
    <row r="89" spans="1:8" ht="22" customHeight="1">
      <c r="A89" s="1">
        <f>IF(AND('Mortgage Inputs'!$B$12,83&lt;=IF('Mortgage Inputs'!$B$12,'Mortgage Inputs'!$B$7,0)*12+600,ISNUMBER(E88),E88&gt;0.005),83,"")</f>
        <v>83</v>
      </c>
      <c r="B89" s="2">
        <f t="shared" si="3"/>
        <v>588481.08448319708</v>
      </c>
      <c r="C89" s="2">
        <f>IF(A89="","",B89*'Mortgage Inputs'!$B$15)</f>
        <v>3133.6617748730246</v>
      </c>
      <c r="D89" s="2">
        <f>IF(A89="","",MIN(B89,MAX(0,'Mortgage Inputs'!$B$17-C89)))</f>
        <v>927.87159293432887</v>
      </c>
      <c r="E89" s="2">
        <f t="shared" si="2"/>
        <v>587553.21289026272</v>
      </c>
      <c r="F89" s="2">
        <f>IF('Monthly Projection'!A89="",0,'Monthly Projection'!G89)</f>
        <v>549341.10825938359</v>
      </c>
      <c r="G89" s="1"/>
      <c r="H89" s="1"/>
    </row>
    <row r="90" spans="1:8" ht="22" customHeight="1">
      <c r="A90" s="1">
        <f>IF(AND('Mortgage Inputs'!$B$12,84&lt;=IF('Mortgage Inputs'!$B$12,'Mortgage Inputs'!$B$7,0)*12+600,ISNUMBER(E89),E89&gt;0.005),84,"")</f>
        <v>84</v>
      </c>
      <c r="B90" s="2">
        <f t="shared" si="3"/>
        <v>587553.21289026272</v>
      </c>
      <c r="C90" s="2">
        <f>IF(A90="","",B90*'Mortgage Inputs'!$B$15)</f>
        <v>3128.7208586406491</v>
      </c>
      <c r="D90" s="2">
        <f>IF(A90="","",MIN(B90,MAX(0,'Mortgage Inputs'!$B$17-C90)))</f>
        <v>932.81250916670433</v>
      </c>
      <c r="E90" s="2">
        <f t="shared" si="2"/>
        <v>586620.40038109606</v>
      </c>
      <c r="F90" s="2">
        <f>IF('Monthly Projection'!A90="",0,'Monthly Projection'!G90)</f>
        <v>547717.57879305747</v>
      </c>
      <c r="G90" s="1"/>
      <c r="H90" s="1"/>
    </row>
    <row r="91" spans="1:8">
      <c r="A91">
        <f>IF(AND('Mortgage Inputs'!$B$12,85&lt;=IF('Mortgage Inputs'!$B$12,'Mortgage Inputs'!$B$7,0)*12+600,ISNUMBER(E90),E90&gt;0.005),85,"")</f>
        <v>85</v>
      </c>
      <c r="B91" s="5">
        <f t="shared" si="3"/>
        <v>586620.40038109606</v>
      </c>
      <c r="C91" s="5">
        <f>IF(A91="","",B91*'Mortgage Inputs'!$B$15)</f>
        <v>3123.7536320293366</v>
      </c>
      <c r="D91" s="5">
        <f>IF(A91="","",MIN(B91,MAX(0,'Mortgage Inputs'!$B$17-C91)))</f>
        <v>937.77973577801686</v>
      </c>
      <c r="E91" s="5">
        <f t="shared" si="2"/>
        <v>585682.62064531806</v>
      </c>
      <c r="F91" s="5">
        <f>IF('Monthly Projection'!A91="",0,'Monthly Projection'!G91)</f>
        <v>546082.74153232318</v>
      </c>
    </row>
    <row r="92" spans="1:8">
      <c r="A92">
        <f>IF(AND('Mortgage Inputs'!$B$12,86&lt;=IF('Mortgage Inputs'!$B$12,'Mortgage Inputs'!$B$7,0)*12+600,ISNUMBER(E91),E91&gt;0.005),86,"")</f>
        <v>86</v>
      </c>
      <c r="B92" s="5">
        <f t="shared" si="3"/>
        <v>585682.62064531806</v>
      </c>
      <c r="C92" s="5">
        <f>IF(A92="","",B92*'Mortgage Inputs'!$B$15)</f>
        <v>3118.7599549363185</v>
      </c>
      <c r="D92" s="5">
        <f>IF(A92="","",MIN(B92,MAX(0,'Mortgage Inputs'!$B$17-C92)))</f>
        <v>942.77341287103491</v>
      </c>
      <c r="E92" s="5">
        <f t="shared" si="2"/>
        <v>584739.84723244701</v>
      </c>
      <c r="F92" s="5">
        <f>IF('Monthly Projection'!A92="",0,'Monthly Projection'!G92)</f>
        <v>544436.53626317543</v>
      </c>
    </row>
    <row r="93" spans="1:8">
      <c r="A93">
        <f>IF(AND('Mortgage Inputs'!$B$12,87&lt;=IF('Mortgage Inputs'!$B$12,'Mortgage Inputs'!$B$7,0)*12+600,ISNUMBER(E92),E92&gt;0.005),87,"")</f>
        <v>87</v>
      </c>
      <c r="B93" s="5">
        <f t="shared" si="3"/>
        <v>584739.84723244701</v>
      </c>
      <c r="C93" s="5">
        <f>IF(A93="","",B93*'Mortgage Inputs'!$B$15)</f>
        <v>3113.7396865127803</v>
      </c>
      <c r="D93" s="5">
        <f>IF(A93="","",MIN(B93,MAX(0,'Mortgage Inputs'!$B$17-C93)))</f>
        <v>947.79368129457316</v>
      </c>
      <c r="E93" s="5">
        <f t="shared" si="2"/>
        <v>583792.05355115246</v>
      </c>
      <c r="F93" s="5">
        <f>IF('Monthly Projection'!A93="",0,'Monthly Projection'!G93)</f>
        <v>542778.90245096944</v>
      </c>
    </row>
    <row r="94" spans="1:8">
      <c r="A94">
        <f>IF(AND('Mortgage Inputs'!$B$12,88&lt;=IF('Mortgage Inputs'!$B$12,'Mortgage Inputs'!$B$7,0)*12+600,ISNUMBER(E93),E93&gt;0.005),88,"")</f>
        <v>88</v>
      </c>
      <c r="B94" s="5">
        <f t="shared" si="3"/>
        <v>583792.05355115246</v>
      </c>
      <c r="C94" s="5">
        <f>IF(A94="","",B94*'Mortgage Inputs'!$B$15)</f>
        <v>3108.6926851598869</v>
      </c>
      <c r="D94" s="5">
        <f>IF(A94="","",MIN(B94,MAX(0,'Mortgage Inputs'!$B$17-C94)))</f>
        <v>952.84068264746656</v>
      </c>
      <c r="E94" s="5">
        <f t="shared" si="2"/>
        <v>582839.21286850504</v>
      </c>
      <c r="F94" s="5">
        <f>IF('Monthly Projection'!A94="",0,'Monthly Projection'!G94)</f>
        <v>541109.77923871356</v>
      </c>
    </row>
    <row r="95" spans="1:8">
      <c r="A95">
        <f>IF(AND('Mortgage Inputs'!$B$12,89&lt;=IF('Mortgage Inputs'!$B$12,'Mortgage Inputs'!$B$7,0)*12+600,ISNUMBER(E94),E94&gt;0.005),89,"")</f>
        <v>89</v>
      </c>
      <c r="B95" s="5">
        <f t="shared" si="3"/>
        <v>582839.21286850504</v>
      </c>
      <c r="C95" s="5">
        <f>IF(A95="","",B95*'Mortgage Inputs'!$B$15)</f>
        <v>3103.6188085247891</v>
      </c>
      <c r="D95" s="5">
        <f>IF(A95="","",MIN(B95,MAX(0,'Mortgage Inputs'!$B$17-C95)))</f>
        <v>957.91455928256437</v>
      </c>
      <c r="E95" s="5">
        <f t="shared" si="2"/>
        <v>581881.29830922245</v>
      </c>
      <c r="F95" s="5">
        <f>IF('Monthly Projection'!A95="",0,'Monthly Projection'!G95)</f>
        <v>539429.10544535238</v>
      </c>
    </row>
    <row r="96" spans="1:8">
      <c r="A96">
        <f>IF(AND('Mortgage Inputs'!$B$12,90&lt;=IF('Mortgage Inputs'!$B$12,'Mortgage Inputs'!$B$7,0)*12+600,ISNUMBER(E95),E95&gt;0.005),90,"")</f>
        <v>90</v>
      </c>
      <c r="B96" s="5">
        <f t="shared" si="3"/>
        <v>581881.29830922245</v>
      </c>
      <c r="C96" s="5">
        <f>IF(A96="","",B96*'Mortgage Inputs'!$B$15)</f>
        <v>3098.5179134966093</v>
      </c>
      <c r="D96" s="5">
        <f>IF(A96="","",MIN(B96,MAX(0,'Mortgage Inputs'!$B$17-C96)))</f>
        <v>963.01545431074419</v>
      </c>
      <c r="E96" s="5">
        <f t="shared" si="2"/>
        <v>580918.28285491175</v>
      </c>
      <c r="F96" s="5">
        <f>IF('Monthly Projection'!A96="",0,'Monthly Projection'!G96)</f>
        <v>537736.81956404157</v>
      </c>
    </row>
    <row r="97" spans="1:6">
      <c r="A97">
        <f>IF(AND('Mortgage Inputs'!$B$12,91&lt;=IF('Mortgage Inputs'!$B$12,'Mortgage Inputs'!$B$7,0)*12+600,ISNUMBER(E96),E96&gt;0.005),91,"")</f>
        <v>91</v>
      </c>
      <c r="B97" s="5">
        <f t="shared" si="3"/>
        <v>580918.28285491175</v>
      </c>
      <c r="C97" s="5">
        <f>IF(A97="","",B97*'Mortgage Inputs'!$B$15)</f>
        <v>3093.3898562024051</v>
      </c>
      <c r="D97" s="5">
        <f>IF(A97="","",MIN(B97,MAX(0,'Mortgage Inputs'!$B$17-C97)))</f>
        <v>968.14351160494834</v>
      </c>
      <c r="E97" s="5">
        <f t="shared" si="2"/>
        <v>579950.13934330677</v>
      </c>
      <c r="F97" s="5">
        <f>IF('Monthly Projection'!A97="",0,'Monthly Projection'!G97)</f>
        <v>536032.85976041271</v>
      </c>
    </row>
    <row r="98" spans="1:6">
      <c r="A98">
        <f>IF(AND('Mortgage Inputs'!$B$12,92&lt;=IF('Mortgage Inputs'!$B$12,'Mortgage Inputs'!$B$7,0)*12+600,ISNUMBER(E97),E97&gt;0.005),92,"")</f>
        <v>92</v>
      </c>
      <c r="B98" s="5">
        <f t="shared" si="3"/>
        <v>579950.13934330677</v>
      </c>
      <c r="C98" s="5">
        <f>IF(A98="","",B98*'Mortgage Inputs'!$B$15)</f>
        <v>3088.2344920031087</v>
      </c>
      <c r="D98" s="5">
        <f>IF(A98="","",MIN(B98,MAX(0,'Mortgage Inputs'!$B$17-C98)))</f>
        <v>973.29887580424474</v>
      </c>
      <c r="E98" s="5">
        <f t="shared" si="2"/>
        <v>578976.84046750248</v>
      </c>
      <c r="F98" s="5">
        <f>IF('Monthly Projection'!A98="",0,'Monthly Projection'!G98)</f>
        <v>534317.16387082951</v>
      </c>
    </row>
    <row r="99" spans="1:6">
      <c r="A99">
        <f>IF(AND('Mortgage Inputs'!$B$12,93&lt;=IF('Mortgage Inputs'!$B$12,'Mortgage Inputs'!$B$7,0)*12+600,ISNUMBER(E98),E98&gt;0.005),93,"")</f>
        <v>93</v>
      </c>
      <c r="B99" s="5">
        <f t="shared" si="3"/>
        <v>578976.84046750248</v>
      </c>
      <c r="C99" s="5">
        <f>IF(A99="","",B99*'Mortgage Inputs'!$B$15)</f>
        <v>3083.0516754894506</v>
      </c>
      <c r="D99" s="5">
        <f>IF(A99="","",MIN(B99,MAX(0,'Mortgage Inputs'!$B$17-C99)))</f>
        <v>978.4816923179028</v>
      </c>
      <c r="E99" s="5">
        <f t="shared" si="2"/>
        <v>577998.35877518461</v>
      </c>
      <c r="F99" s="5">
        <f>IF('Monthly Projection'!A99="",0,'Monthly Projection'!G99)</f>
        <v>532589.66940063436</v>
      </c>
    </row>
    <row r="100" spans="1:6">
      <c r="A100">
        <f>IF(AND('Mortgage Inputs'!$B$12,94&lt;=IF('Mortgage Inputs'!$B$12,'Mortgage Inputs'!$B$7,0)*12+600,ISNUMBER(E99),E99&gt;0.005),94,"")</f>
        <v>94</v>
      </c>
      <c r="B100" s="5">
        <f t="shared" si="3"/>
        <v>577998.35877518461</v>
      </c>
      <c r="C100" s="5">
        <f>IF(A100="","",B100*'Mortgage Inputs'!$B$15)</f>
        <v>3077.8412604778578</v>
      </c>
      <c r="D100" s="5">
        <f>IF(A100="","",MIN(B100,MAX(0,'Mortgage Inputs'!$B$17-C100)))</f>
        <v>983.69210732949568</v>
      </c>
      <c r="E100" s="5">
        <f t="shared" si="2"/>
        <v>577014.66666785511</v>
      </c>
      <c r="F100" s="5">
        <f>IF('Monthly Projection'!A100="",0,'Monthly Projection'!G100)</f>
        <v>530850.31352238543</v>
      </c>
    </row>
    <row r="101" spans="1:6">
      <c r="A101">
        <f>IF(AND('Mortgage Inputs'!$B$12,95&lt;=IF('Mortgage Inputs'!$B$12,'Mortgage Inputs'!$B$7,0)*12+600,ISNUMBER(E100),E100&gt;0.005),95,"")</f>
        <v>95</v>
      </c>
      <c r="B101" s="5">
        <f t="shared" si="3"/>
        <v>577014.66666785511</v>
      </c>
      <c r="C101" s="5">
        <f>IF(A101="","",B101*'Mortgage Inputs'!$B$15)</f>
        <v>3072.6031000063285</v>
      </c>
      <c r="D101" s="5">
        <f>IF(A101="","",MIN(B101,MAX(0,'Mortgage Inputs'!$B$17-C101)))</f>
        <v>988.93026780102491</v>
      </c>
      <c r="E101" s="5">
        <f t="shared" si="2"/>
        <v>576025.73640005407</v>
      </c>
      <c r="F101" s="5">
        <f>IF('Monthly Projection'!A101="",0,'Monthly Projection'!G101)</f>
        <v>529099.03307408479</v>
      </c>
    </row>
    <row r="102" spans="1:6">
      <c r="A102">
        <f>IF(AND('Mortgage Inputs'!$B$12,96&lt;=IF('Mortgage Inputs'!$B$12,'Mortgage Inputs'!$B$7,0)*12+600,ISNUMBER(E101),E101&gt;0.005),96,"")</f>
        <v>96</v>
      </c>
      <c r="B102" s="5">
        <f t="shared" si="3"/>
        <v>576025.73640005407</v>
      </c>
      <c r="C102" s="5">
        <f>IF(A102="","",B102*'Mortgage Inputs'!$B$15)</f>
        <v>3067.3370463302876</v>
      </c>
      <c r="D102" s="5">
        <f>IF(A102="","",MIN(B102,MAX(0,'Mortgage Inputs'!$B$17-C102)))</f>
        <v>994.19632147706579</v>
      </c>
      <c r="E102" s="5">
        <f t="shared" si="2"/>
        <v>575031.540078577</v>
      </c>
      <c r="F102" s="5">
        <f>IF('Monthly Projection'!A102="",0,'Monthly Projection'!G102)</f>
        <v>527335.76455739688</v>
      </c>
    </row>
    <row r="103" spans="1:6">
      <c r="A103">
        <f>IF(AND('Mortgage Inputs'!$B$12,97&lt;=IF('Mortgage Inputs'!$B$12,'Mortgage Inputs'!$B$7,0)*12+600,ISNUMBER(E102),E102&gt;0.005),97,"")</f>
        <v>97</v>
      </c>
      <c r="B103" s="5">
        <f t="shared" si="3"/>
        <v>575031.540078577</v>
      </c>
      <c r="C103" s="5">
        <f>IF(A103="","",B103*'Mortgage Inputs'!$B$15)</f>
        <v>3062.0429509184223</v>
      </c>
      <c r="D103" s="5">
        <f>IF(A103="","",MIN(B103,MAX(0,'Mortgage Inputs'!$B$17-C103)))</f>
        <v>999.49041688893112</v>
      </c>
      <c r="E103" s="5">
        <f t="shared" si="2"/>
        <v>574032.04966168804</v>
      </c>
      <c r="F103" s="5">
        <f>IF('Monthly Projection'!A103="",0,'Monthly Projection'!G103)</f>
        <v>525560.44413585763</v>
      </c>
    </row>
    <row r="104" spans="1:6">
      <c r="A104">
        <f>IF(AND('Mortgage Inputs'!$B$12,98&lt;=IF('Mortgage Inputs'!$B$12,'Mortgage Inputs'!$B$7,0)*12+600,ISNUMBER(E103),E103&gt;0.005),98,"")</f>
        <v>98</v>
      </c>
      <c r="B104" s="5">
        <f t="shared" si="3"/>
        <v>574032.04966168804</v>
      </c>
      <c r="C104" s="5">
        <f>IF(A104="","",B104*'Mortgage Inputs'!$B$15)</f>
        <v>3056.7206644484886</v>
      </c>
      <c r="D104" s="5">
        <f>IF(A104="","",MIN(B104,MAX(0,'Mortgage Inputs'!$B$17-C104)))</f>
        <v>1004.8127033588648</v>
      </c>
      <c r="E104" s="5">
        <f t="shared" si="2"/>
        <v>573027.23695832922</v>
      </c>
      <c r="F104" s="5">
        <f>IF('Monthly Projection'!A104="",0,'Monthly Projection'!G104)</f>
        <v>523773.00763307372</v>
      </c>
    </row>
    <row r="105" spans="1:6">
      <c r="A105">
        <f>IF(AND('Mortgage Inputs'!$B$12,99&lt;=IF('Mortgage Inputs'!$B$12,'Mortgage Inputs'!$B$7,0)*12+600,ISNUMBER(E104),E104&gt;0.005),99,"")</f>
        <v>99</v>
      </c>
      <c r="B105" s="5">
        <f t="shared" si="3"/>
        <v>573027.23695832922</v>
      </c>
      <c r="C105" s="5">
        <f>IF(A105="","",B105*'Mortgage Inputs'!$B$15)</f>
        <v>3051.3700368031032</v>
      </c>
      <c r="D105" s="5">
        <f>IF(A105="","",MIN(B105,MAX(0,'Mortgage Inputs'!$B$17-C105)))</f>
        <v>1010.1633310042503</v>
      </c>
      <c r="E105" s="5">
        <f t="shared" si="2"/>
        <v>572017.07362732501</v>
      </c>
      <c r="F105" s="5">
        <f>IF('Monthly Projection'!A105="",0,'Monthly Projection'!G105)</f>
        <v>521973.3905309125</v>
      </c>
    </row>
    <row r="106" spans="1:6">
      <c r="A106">
        <f>IF(AND('Mortgage Inputs'!$B$12,100&lt;=IF('Mortgage Inputs'!$B$12,'Mortgage Inputs'!$B$7,0)*12+600,ISNUMBER(E105),E105&gt;0.005),100,"")</f>
        <v>100</v>
      </c>
      <c r="B106" s="5">
        <f t="shared" si="3"/>
        <v>572017.07362732501</v>
      </c>
      <c r="C106" s="5">
        <f>IF(A106="","",B106*'Mortgage Inputs'!$B$15)</f>
        <v>3045.9909170655055</v>
      </c>
      <c r="D106" s="5">
        <f>IF(A106="","",MIN(B106,MAX(0,'Mortgage Inputs'!$B$17-C106)))</f>
        <v>1015.5424507418479</v>
      </c>
      <c r="E106" s="5">
        <f t="shared" si="2"/>
        <v>571001.53117658314</v>
      </c>
      <c r="F106" s="5">
        <f>IF('Monthly Projection'!A106="",0,'Monthly Projection'!G106)</f>
        <v>520161.52796768222</v>
      </c>
    </row>
    <row r="107" spans="1:6">
      <c r="A107">
        <f>IF(AND('Mortgage Inputs'!$B$12,101&lt;=IF('Mortgage Inputs'!$B$12,'Mortgage Inputs'!$B$7,0)*12+600,ISNUMBER(E106),E106&gt;0.005),101,"")</f>
        <v>101</v>
      </c>
      <c r="B107" s="5">
        <f t="shared" si="3"/>
        <v>571001.53117658314</v>
      </c>
      <c r="C107" s="5">
        <f>IF(A107="","",B107*'Mortgage Inputs'!$B$15)</f>
        <v>3040.5831535153052</v>
      </c>
      <c r="D107" s="5">
        <f>IF(A107="","",MIN(B107,MAX(0,'Mortgage Inputs'!$B$17-C107)))</f>
        <v>1020.9502142920483</v>
      </c>
      <c r="E107" s="5">
        <f t="shared" si="2"/>
        <v>569980.5809622911</v>
      </c>
      <c r="F107" s="5">
        <f>IF('Monthly Projection'!A107="",0,'Monthly Projection'!G107)</f>
        <v>518337.3547363028</v>
      </c>
    </row>
    <row r="108" spans="1:6">
      <c r="A108">
        <f>IF(AND('Mortgage Inputs'!$B$12,102&lt;=IF('Mortgage Inputs'!$B$12,'Mortgage Inputs'!$B$7,0)*12+600,ISNUMBER(E107),E107&gt;0.005),102,"")</f>
        <v>102</v>
      </c>
      <c r="B108" s="5">
        <f t="shared" si="3"/>
        <v>569980.5809622911</v>
      </c>
      <c r="C108" s="5">
        <f>IF(A108="","",B108*'Mortgage Inputs'!$B$15)</f>
        <v>3035.1465936242002</v>
      </c>
      <c r="D108" s="5">
        <f>IF(A108="","",MIN(B108,MAX(0,'Mortgage Inputs'!$B$17-C108)))</f>
        <v>1026.3867741831532</v>
      </c>
      <c r="E108" s="5">
        <f t="shared" si="2"/>
        <v>568954.19418810797</v>
      </c>
      <c r="F108" s="5">
        <f>IF('Monthly Projection'!A108="",0,'Monthly Projection'!G108)</f>
        <v>516500.80528246629</v>
      </c>
    </row>
    <row r="109" spans="1:6">
      <c r="A109">
        <f>IF(AND('Mortgage Inputs'!$B$12,103&lt;=IF('Mortgage Inputs'!$B$12,'Mortgage Inputs'!$B$7,0)*12+600,ISNUMBER(E108),E108&gt;0.005),103,"")</f>
        <v>103</v>
      </c>
      <c r="B109" s="5">
        <f t="shared" si="3"/>
        <v>568954.19418810797</v>
      </c>
      <c r="C109" s="5">
        <f>IF(A109="","",B109*'Mortgage Inputs'!$B$15)</f>
        <v>3029.681084051675</v>
      </c>
      <c r="D109" s="5">
        <f>IF(A109="","",MIN(B109,MAX(0,'Mortgage Inputs'!$B$17-C109)))</f>
        <v>1031.8522837556784</v>
      </c>
      <c r="E109" s="5">
        <f t="shared" si="2"/>
        <v>567922.3419043523</v>
      </c>
      <c r="F109" s="5">
        <f>IF('Monthly Projection'!A109="",0,'Monthly Projection'!G109)</f>
        <v>514651.81370278809</v>
      </c>
    </row>
    <row r="110" spans="1:6">
      <c r="A110">
        <f>IF(AND('Mortgage Inputs'!$B$12,104&lt;=IF('Mortgage Inputs'!$B$12,'Mortgage Inputs'!$B$7,0)*12+600,ISNUMBER(E109),E109&gt;0.005),104,"")</f>
        <v>104</v>
      </c>
      <c r="B110" s="5">
        <f t="shared" si="3"/>
        <v>567922.3419043523</v>
      </c>
      <c r="C110" s="5">
        <f>IF(A110="","",B110*'Mortgage Inputs'!$B$15)</f>
        <v>3024.1864706406759</v>
      </c>
      <c r="D110" s="5">
        <f>IF(A110="","",MIN(B110,MAX(0,'Mortgage Inputs'!$B$17-C110)))</f>
        <v>1037.3468971666775</v>
      </c>
      <c r="E110" s="5">
        <f t="shared" si="2"/>
        <v>566884.99500718561</v>
      </c>
      <c r="F110" s="5">
        <f>IF('Monthly Projection'!A110="",0,'Monthly Projection'!G110)</f>
        <v>512790.31374294806</v>
      </c>
    </row>
    <row r="111" spans="1:6">
      <c r="A111">
        <f>IF(AND('Mortgage Inputs'!$B$12,105&lt;=IF('Mortgage Inputs'!$B$12,'Mortgage Inputs'!$B$7,0)*12+600,ISNUMBER(E110),E110&gt;0.005),105,"")</f>
        <v>105</v>
      </c>
      <c r="B111" s="5">
        <f t="shared" si="3"/>
        <v>566884.99500718561</v>
      </c>
      <c r="C111" s="5">
        <f>IF(A111="","",B111*'Mortgage Inputs'!$B$15)</f>
        <v>3018.6625984132634</v>
      </c>
      <c r="D111" s="5">
        <f>IF(A111="","",MIN(B111,MAX(0,'Mortgage Inputs'!$B$17-C111)))</f>
        <v>1042.8707693940901</v>
      </c>
      <c r="E111" s="5">
        <f t="shared" si="2"/>
        <v>565842.12423779152</v>
      </c>
      <c r="F111" s="5">
        <f>IF('Monthly Projection'!A111="",0,'Monthly Projection'!G111)</f>
        <v>510916.2387958219</v>
      </c>
    </row>
    <row r="112" spans="1:6">
      <c r="A112">
        <f>IF(AND('Mortgage Inputs'!$B$12,106&lt;=IF('Mortgage Inputs'!$B$12,'Mortgage Inputs'!$B$7,0)*12+600,ISNUMBER(E111),E111&gt;0.005),106,"")</f>
        <v>106</v>
      </c>
      <c r="B112" s="5">
        <f t="shared" si="3"/>
        <v>565842.12423779152</v>
      </c>
      <c r="C112" s="5">
        <f>IF(A112="","",B112*'Mortgage Inputs'!$B$15)</f>
        <v>3013.1093115662397</v>
      </c>
      <c r="D112" s="5">
        <f>IF(A112="","",MIN(B112,MAX(0,'Mortgage Inputs'!$B$17-C112)))</f>
        <v>1048.4240562411137</v>
      </c>
      <c r="E112" s="5">
        <f t="shared" si="2"/>
        <v>564793.70018155046</v>
      </c>
      <c r="F112" s="5">
        <f>IF('Monthly Projection'!A112="",0,'Monthly Projection'!G112)</f>
        <v>509029.52189960232</v>
      </c>
    </row>
    <row r="113" spans="1:6">
      <c r="A113">
        <f>IF(AND('Mortgage Inputs'!$B$12,107&lt;=IF('Mortgage Inputs'!$B$12,'Mortgage Inputs'!$B$7,0)*12+600,ISNUMBER(E112),E112&gt;0.005),107,"")</f>
        <v>107</v>
      </c>
      <c r="B113" s="5">
        <f t="shared" si="3"/>
        <v>564793.70018155046</v>
      </c>
      <c r="C113" s="5">
        <f>IF(A113="","",B113*'Mortgage Inputs'!$B$15)</f>
        <v>3007.5264534667563</v>
      </c>
      <c r="D113" s="5">
        <f>IF(A113="","",MIN(B113,MAX(0,'Mortgage Inputs'!$B$17-C113)))</f>
        <v>1054.0069143405972</v>
      </c>
      <c r="E113" s="5">
        <f t="shared" si="2"/>
        <v>563739.69326720992</v>
      </c>
      <c r="F113" s="5">
        <f>IF('Monthly Projection'!A113="",0,'Monthly Projection'!G113)</f>
        <v>507130.09573591035</v>
      </c>
    </row>
    <row r="114" spans="1:6">
      <c r="A114">
        <f>IF(AND('Mortgage Inputs'!$B$12,108&lt;=IF('Mortgage Inputs'!$B$12,'Mortgage Inputs'!$B$7,0)*12+600,ISNUMBER(E113),E113&gt;0.005),108,"")</f>
        <v>108</v>
      </c>
      <c r="B114" s="5">
        <f t="shared" si="3"/>
        <v>563739.69326720992</v>
      </c>
      <c r="C114" s="5">
        <f>IF(A114="","",B114*'Mortgage Inputs'!$B$15)</f>
        <v>3001.913866647893</v>
      </c>
      <c r="D114" s="5">
        <f>IF(A114="","",MIN(B114,MAX(0,'Mortgage Inputs'!$B$17-C114)))</f>
        <v>1059.6195011594605</v>
      </c>
      <c r="E114" s="5">
        <f t="shared" si="2"/>
        <v>562680.07376605051</v>
      </c>
      <c r="F114" s="5">
        <f>IF('Monthly Projection'!A114="",0,'Monthly Projection'!G114)</f>
        <v>505217.89262789674</v>
      </c>
    </row>
    <row r="115" spans="1:6">
      <c r="A115">
        <f>IF(AND('Mortgage Inputs'!$B$12,109&lt;=IF('Mortgage Inputs'!$B$12,'Mortgage Inputs'!$B$7,0)*12+600,ISNUMBER(E114),E114&gt;0.005),109,"")</f>
        <v>109</v>
      </c>
      <c r="B115" s="5">
        <f t="shared" si="3"/>
        <v>562680.07376605051</v>
      </c>
      <c r="C115" s="5">
        <f>IF(A115="","",B115*'Mortgage Inputs'!$B$15)</f>
        <v>2996.271392804219</v>
      </c>
      <c r="D115" s="5">
        <f>IF(A115="","",MIN(B115,MAX(0,'Mortgage Inputs'!$B$17-C115)))</f>
        <v>1065.2619750031345</v>
      </c>
      <c r="E115" s="5">
        <f t="shared" si="2"/>
        <v>561614.81179104734</v>
      </c>
      <c r="F115" s="5">
        <f>IF('Monthly Projection'!A115="",0,'Monthly Projection'!G115)</f>
        <v>503292.84453833295</v>
      </c>
    </row>
    <row r="116" spans="1:6">
      <c r="A116">
        <f>IF(AND('Mortgage Inputs'!$B$12,110&lt;=IF('Mortgage Inputs'!$B$12,'Mortgage Inputs'!$B$7,0)*12+600,ISNUMBER(E115),E115&gt;0.005),110,"")</f>
        <v>110</v>
      </c>
      <c r="B116" s="5">
        <f t="shared" si="3"/>
        <v>561614.81179104734</v>
      </c>
      <c r="C116" s="5">
        <f>IF(A116="","",B116*'Mortgage Inputs'!$B$15)</f>
        <v>2990.5988727873269</v>
      </c>
      <c r="D116" s="5">
        <f>IF(A116="","",MIN(B116,MAX(0,'Mortgage Inputs'!$B$17-C116)))</f>
        <v>1070.9344950200266</v>
      </c>
      <c r="E116" s="5">
        <f t="shared" si="2"/>
        <v>560543.87729602726</v>
      </c>
      <c r="F116" s="5">
        <f>IF('Monthly Projection'!A116="",0,'Monthly Projection'!G116)</f>
        <v>501354.88306769222</v>
      </c>
    </row>
    <row r="117" spans="1:6">
      <c r="A117">
        <f>IF(AND('Mortgage Inputs'!$B$12,111&lt;=IF('Mortgage Inputs'!$B$12,'Mortgage Inputs'!$B$7,0)*12+600,ISNUMBER(E116),E116&gt;0.005),111,"")</f>
        <v>111</v>
      </c>
      <c r="B117" s="5">
        <f t="shared" si="3"/>
        <v>560543.87729602726</v>
      </c>
      <c r="C117" s="5">
        <f>IF(A117="","",B117*'Mortgage Inputs'!$B$15)</f>
        <v>2984.8961466013452</v>
      </c>
      <c r="D117" s="5">
        <f>IF(A117="","",MIN(B117,MAX(0,'Mortgage Inputs'!$B$17-C117)))</f>
        <v>1076.6372212060082</v>
      </c>
      <c r="E117" s="5">
        <f t="shared" si="2"/>
        <v>559467.24007482128</v>
      </c>
      <c r="F117" s="5">
        <f>IF('Monthly Projection'!A117="",0,'Monthly Projection'!G117)</f>
        <v>499403.93945222034</v>
      </c>
    </row>
    <row r="118" spans="1:6">
      <c r="A118">
        <f>IF(AND('Mortgage Inputs'!$B$12,112&lt;=IF('Mortgage Inputs'!$B$12,'Mortgage Inputs'!$B$7,0)*12+600,ISNUMBER(E117),E117&gt;0.005),112,"")</f>
        <v>112</v>
      </c>
      <c r="B118" s="5">
        <f t="shared" si="3"/>
        <v>559467.24007482128</v>
      </c>
      <c r="C118" s="5">
        <f>IF(A118="","",B118*'Mortgage Inputs'!$B$15)</f>
        <v>2979.1630533984235</v>
      </c>
      <c r="D118" s="5">
        <f>IF(A118="","",MIN(B118,MAX(0,'Mortgage Inputs'!$B$17-C118)))</f>
        <v>1082.37031440893</v>
      </c>
      <c r="E118" s="5">
        <f t="shared" si="2"/>
        <v>558384.86976041237</v>
      </c>
      <c r="F118" s="5">
        <f>IF('Monthly Projection'!A118="",0,'Monthly Projection'!G118)</f>
        <v>497439.94456199603</v>
      </c>
    </row>
    <row r="119" spans="1:6">
      <c r="A119">
        <f>IF(AND('Mortgage Inputs'!$B$12,113&lt;=IF('Mortgage Inputs'!$B$12,'Mortgage Inputs'!$B$7,0)*12+600,ISNUMBER(E118),E118&gt;0.005),113,"")</f>
        <v>113</v>
      </c>
      <c r="B119" s="5">
        <f t="shared" si="3"/>
        <v>558384.86976041237</v>
      </c>
      <c r="C119" s="5">
        <f>IF(A119="","",B119*'Mortgage Inputs'!$B$15)</f>
        <v>2973.3994314741958</v>
      </c>
      <c r="D119" s="5">
        <f>IF(A119="","",MIN(B119,MAX(0,'Mortgage Inputs'!$B$17-C119)))</f>
        <v>1088.1339363331576</v>
      </c>
      <c r="E119" s="5">
        <f t="shared" si="2"/>
        <v>557296.73582407925</v>
      </c>
      <c r="F119" s="5">
        <f>IF('Monthly Projection'!A119="",0,'Monthly Projection'!G119)</f>
        <v>495462.82889898133</v>
      </c>
    </row>
    <row r="120" spans="1:6">
      <c r="A120">
        <f>IF(AND('Mortgage Inputs'!$B$12,114&lt;=IF('Mortgage Inputs'!$B$12,'Mortgage Inputs'!$B$7,0)*12+600,ISNUMBER(E119),E119&gt;0.005),114,"")</f>
        <v>114</v>
      </c>
      <c r="B120" s="5">
        <f t="shared" si="3"/>
        <v>557296.73582407925</v>
      </c>
      <c r="C120" s="5">
        <f>IF(A120="","",B120*'Mortgage Inputs'!$B$15)</f>
        <v>2967.6051182632218</v>
      </c>
      <c r="D120" s="5">
        <f>IF(A120="","",MIN(B120,MAX(0,'Mortgage Inputs'!$B$17-C120)))</f>
        <v>1093.9282495441316</v>
      </c>
      <c r="E120" s="5">
        <f t="shared" si="2"/>
        <v>556202.80757453514</v>
      </c>
      <c r="F120" s="5">
        <f>IF('Monthly Projection'!A120="",0,'Monthly Projection'!G120)</f>
        <v>493472.52259506105</v>
      </c>
    </row>
    <row r="121" spans="1:6">
      <c r="A121">
        <f>IF(AND('Mortgage Inputs'!$B$12,115&lt;=IF('Mortgage Inputs'!$B$12,'Mortgage Inputs'!$B$7,0)*12+600,ISNUMBER(E120),E120&gt;0.005),115,"")</f>
        <v>115</v>
      </c>
      <c r="B121" s="5">
        <f t="shared" si="3"/>
        <v>556202.80757453514</v>
      </c>
      <c r="C121" s="5">
        <f>IF(A121="","",B121*'Mortgage Inputs'!$B$15)</f>
        <v>2961.7799503343995</v>
      </c>
      <c r="D121" s="5">
        <f>IF(A121="","",MIN(B121,MAX(0,'Mortgage Inputs'!$B$17-C121)))</f>
        <v>1099.753417472954</v>
      </c>
      <c r="E121" s="5">
        <f t="shared" si="2"/>
        <v>555103.0541570622</v>
      </c>
      <c r="F121" s="5">
        <f>IF('Monthly Projection'!A121="",0,'Monthly Projection'!G121)</f>
        <v>491468.95541007241</v>
      </c>
    </row>
    <row r="122" spans="1:6">
      <c r="A122">
        <f>IF(AND('Mortgage Inputs'!$B$12,116&lt;=IF('Mortgage Inputs'!$B$12,'Mortgage Inputs'!$B$7,0)*12+600,ISNUMBER(E121),E121&gt;0.005),116,"")</f>
        <v>116</v>
      </c>
      <c r="B122" s="5">
        <f t="shared" si="3"/>
        <v>555103.0541570622</v>
      </c>
      <c r="C122" s="5">
        <f>IF(A122="","",B122*'Mortgage Inputs'!$B$15)</f>
        <v>2955.9237633863563</v>
      </c>
      <c r="D122" s="5">
        <f>IF(A122="","",MIN(B122,MAX(0,'Mortgage Inputs'!$B$17-C122)))</f>
        <v>1105.6096044209971</v>
      </c>
      <c r="E122" s="5">
        <f t="shared" si="2"/>
        <v>553997.44455264125</v>
      </c>
      <c r="F122" s="5">
        <f>IF('Monthly Projection'!A122="",0,'Monthly Projection'!G122)</f>
        <v>489452.0567298237</v>
      </c>
    </row>
    <row r="123" spans="1:6">
      <c r="A123">
        <f>IF(AND('Mortgage Inputs'!$B$12,117&lt;=IF('Mortgage Inputs'!$B$12,'Mortgage Inputs'!$B$7,0)*12+600,ISNUMBER(E122),E122&gt;0.005),117,"")</f>
        <v>117</v>
      </c>
      <c r="B123" s="5">
        <f t="shared" si="3"/>
        <v>553997.44455264125</v>
      </c>
      <c r="C123" s="5">
        <f>IF(A123="","",B123*'Mortgage Inputs'!$B$15)</f>
        <v>2950.0363922428146</v>
      </c>
      <c r="D123" s="5">
        <f>IF(A123="","",MIN(B123,MAX(0,'Mortgage Inputs'!$B$17-C123)))</f>
        <v>1111.4969755645388</v>
      </c>
      <c r="E123" s="5">
        <f t="shared" si="2"/>
        <v>552885.94757707673</v>
      </c>
      <c r="F123" s="5">
        <f>IF('Monthly Projection'!A123="",0,'Monthly Projection'!G123)</f>
        <v>487421.75556410267</v>
      </c>
    </row>
    <row r="124" spans="1:6">
      <c r="A124">
        <f>IF(AND('Mortgage Inputs'!$B$12,118&lt;=IF('Mortgage Inputs'!$B$12,'Mortgage Inputs'!$B$7,0)*12+600,ISNUMBER(E123),E123&gt;0.005),118,"")</f>
        <v>118</v>
      </c>
      <c r="B124" s="5">
        <f t="shared" si="3"/>
        <v>552885.94757707673</v>
      </c>
      <c r="C124" s="5">
        <f>IF(A124="","",B124*'Mortgage Inputs'!$B$15)</f>
        <v>2944.1176708479334</v>
      </c>
      <c r="D124" s="5">
        <f>IF(A124="","",MIN(B124,MAX(0,'Mortgage Inputs'!$B$17-C124)))</f>
        <v>1117.4156969594201</v>
      </c>
      <c r="E124" s="5">
        <f t="shared" si="2"/>
        <v>551768.53188011725</v>
      </c>
      <c r="F124" s="5">
        <f>IF('Monthly Projection'!A124="",0,'Monthly Projection'!G124)</f>
        <v>485377.98054467415</v>
      </c>
    </row>
    <row r="125" spans="1:6">
      <c r="A125">
        <f>IF(AND('Mortgage Inputs'!$B$12,119&lt;=IF('Mortgage Inputs'!$B$12,'Mortgage Inputs'!$B$7,0)*12+600,ISNUMBER(E124),E124&gt;0.005),119,"")</f>
        <v>119</v>
      </c>
      <c r="B125" s="5">
        <f t="shared" si="3"/>
        <v>551768.53188011725</v>
      </c>
      <c r="C125" s="5">
        <f>IF(A125="","",B125*'Mortgage Inputs'!$B$15)</f>
        <v>2938.1674322616245</v>
      </c>
      <c r="D125" s="5">
        <f>IF(A125="","",MIN(B125,MAX(0,'Mortgage Inputs'!$B$17-C125)))</f>
        <v>1123.3659355457289</v>
      </c>
      <c r="E125" s="5">
        <f t="shared" si="2"/>
        <v>550645.16594457149</v>
      </c>
      <c r="F125" s="5">
        <f>IF('Monthly Projection'!A125="",0,'Monthly Projection'!G125)</f>
        <v>483320.6599232672</v>
      </c>
    </row>
    <row r="126" spans="1:6">
      <c r="A126">
        <f>IF(AND('Mortgage Inputs'!$B$12,120&lt;=IF('Mortgage Inputs'!$B$12,'Mortgage Inputs'!$B$7,0)*12+600,ISNUMBER(E125),E125&gt;0.005),120,"")</f>
        <v>120</v>
      </c>
      <c r="B126" s="5">
        <f t="shared" si="3"/>
        <v>550645.16594457149</v>
      </c>
      <c r="C126" s="5">
        <f>IF(A126="","",B126*'Mortgage Inputs'!$B$15)</f>
        <v>2932.185508654843</v>
      </c>
      <c r="D126" s="5">
        <f>IF(A126="","",MIN(B126,MAX(0,'Mortgage Inputs'!$B$17-C126)))</f>
        <v>1129.3478591525104</v>
      </c>
      <c r="E126" s="5">
        <f t="shared" si="2"/>
        <v>549515.81808541901</v>
      </c>
      <c r="F126" s="5">
        <f>IF('Monthly Projection'!A126="",0,'Monthly Projection'!G126)</f>
        <v>481249.72156955127</v>
      </c>
    </row>
    <row r="127" spans="1:6">
      <c r="A127">
        <f>IF(AND('Mortgage Inputs'!$B$12,121&lt;=IF('Mortgage Inputs'!$B$12,'Mortgage Inputs'!$B$7,0)*12+600,ISNUMBER(E126),E126&gt;0.005),121,"")</f>
        <v>121</v>
      </c>
      <c r="B127" s="5">
        <f t="shared" si="3"/>
        <v>549515.81808541901</v>
      </c>
      <c r="C127" s="5">
        <f>IF(A127="","",B127*'Mortgage Inputs'!$B$15)</f>
        <v>2926.1717313048562</v>
      </c>
      <c r="D127" s="5">
        <f>IF(A127="","",MIN(B127,MAX(0,'Mortgage Inputs'!$B$17-C127)))</f>
        <v>1135.3616365024973</v>
      </c>
      <c r="E127" s="5">
        <f t="shared" si="2"/>
        <v>548380.45644891646</v>
      </c>
      <c r="F127" s="5">
        <f>IF('Monthly Projection'!A127="",0,'Monthly Projection'!G127)</f>
        <v>479165.0929691018</v>
      </c>
    </row>
    <row r="128" spans="1:6">
      <c r="A128">
        <f>IF(AND('Mortgage Inputs'!$B$12,122&lt;=IF('Mortgage Inputs'!$B$12,'Mortgage Inputs'!$B$7,0)*12+600,ISNUMBER(E127),E127&gt;0.005),122,"")</f>
        <v>122</v>
      </c>
      <c r="B128" s="5">
        <f t="shared" si="3"/>
        <v>548380.45644891646</v>
      </c>
      <c r="C128" s="5">
        <f>IF(A128="","",B128*'Mortgage Inputs'!$B$15)</f>
        <v>2920.12593059048</v>
      </c>
      <c r="D128" s="5">
        <f>IF(A128="","",MIN(B128,MAX(0,'Mortgage Inputs'!$B$17-C128)))</f>
        <v>1141.4074372168734</v>
      </c>
      <c r="E128" s="5">
        <f t="shared" si="2"/>
        <v>547239.04901169962</v>
      </c>
      <c r="F128" s="5">
        <f>IF('Monthly Projection'!A128="",0,'Monthly Projection'!G128)</f>
        <v>477066.70122135489</v>
      </c>
    </row>
    <row r="129" spans="1:6">
      <c r="A129">
        <f>IF(AND('Mortgage Inputs'!$B$12,123&lt;=IF('Mortgage Inputs'!$B$12,'Mortgage Inputs'!$B$7,0)*12+600,ISNUMBER(E128),E128&gt;0.005),123,"")</f>
        <v>123</v>
      </c>
      <c r="B129" s="5">
        <f t="shared" si="3"/>
        <v>547239.04901169962</v>
      </c>
      <c r="C129" s="5">
        <f>IF(A129="","",B129*'Mortgage Inputs'!$B$15)</f>
        <v>2914.0479359873002</v>
      </c>
      <c r="D129" s="5">
        <f>IF(A129="","",MIN(B129,MAX(0,'Mortgage Inputs'!$B$17-C129)))</f>
        <v>1147.4854318200532</v>
      </c>
      <c r="E129" s="5">
        <f t="shared" si="2"/>
        <v>546091.56357987958</v>
      </c>
      <c r="F129" s="5">
        <f>IF('Monthly Projection'!A129="",0,'Monthly Projection'!G129)</f>
        <v>474954.47303755127</v>
      </c>
    </row>
    <row r="130" spans="1:6">
      <c r="A130">
        <f>IF(AND('Mortgage Inputs'!$B$12,124&lt;=IF('Mortgage Inputs'!$B$12,'Mortgage Inputs'!$B$7,0)*12+600,ISNUMBER(E129),E129&gt;0.005),124,"")</f>
        <v>124</v>
      </c>
      <c r="B130" s="5">
        <f t="shared" si="3"/>
        <v>546091.56357987958</v>
      </c>
      <c r="C130" s="5">
        <f>IF(A130="","",B130*'Mortgage Inputs'!$B$15)</f>
        <v>2907.9375760628586</v>
      </c>
      <c r="D130" s="5">
        <f>IF(A130="","",MIN(B130,MAX(0,'Mortgage Inputs'!$B$17-C130)))</f>
        <v>1153.5957917444948</v>
      </c>
      <c r="E130" s="5">
        <f t="shared" si="2"/>
        <v>544937.96778813505</v>
      </c>
      <c r="F130" s="5">
        <f>IF('Monthly Projection'!A130="",0,'Monthly Projection'!G130)</f>
        <v>472828.33473866887</v>
      </c>
    </row>
    <row r="131" spans="1:6">
      <c r="A131">
        <f>IF(AND('Mortgage Inputs'!$B$12,125&lt;=IF('Mortgage Inputs'!$B$12,'Mortgage Inputs'!$B$7,0)*12+600,ISNUMBER(E130),E130&gt;0.005),125,"")</f>
        <v>125</v>
      </c>
      <c r="B131" s="5">
        <f t="shared" si="3"/>
        <v>544937.96778813505</v>
      </c>
      <c r="C131" s="5">
        <f>IF(A131="","",B131*'Mortgage Inputs'!$B$15)</f>
        <v>2901.7946784718192</v>
      </c>
      <c r="D131" s="5">
        <f>IF(A131="","",MIN(B131,MAX(0,'Mortgage Inputs'!$B$17-C131)))</f>
        <v>1159.7386893355342</v>
      </c>
      <c r="E131" s="5">
        <f t="shared" si="2"/>
        <v>543778.22909879952</v>
      </c>
      <c r="F131" s="5">
        <f>IF('Monthly Projection'!A131="",0,'Monthly Projection'!G131)</f>
        <v>470688.21225334494</v>
      </c>
    </row>
    <row r="132" spans="1:6">
      <c r="A132">
        <f>IF(AND('Mortgage Inputs'!$B$12,126&lt;=IF('Mortgage Inputs'!$B$12,'Mortgage Inputs'!$B$7,0)*12+600,ISNUMBER(E131),E131&gt;0.005),126,"")</f>
        <v>126</v>
      </c>
      <c r="B132" s="5">
        <f t="shared" si="3"/>
        <v>543778.22909879952</v>
      </c>
      <c r="C132" s="5">
        <f>IF(A132="","",B132*'Mortgage Inputs'!$B$15)</f>
        <v>2895.6190699511076</v>
      </c>
      <c r="D132" s="5">
        <f>IF(A132="","",MIN(B132,MAX(0,'Mortgage Inputs'!$B$17-C132)))</f>
        <v>1165.9142978562459</v>
      </c>
      <c r="E132" s="5">
        <f t="shared" si="2"/>
        <v>542612.31480094325</v>
      </c>
      <c r="F132" s="5">
        <f>IF('Monthly Projection'!A132="",0,'Monthly Projection'!G132)</f>
        <v>468534.03111578664</v>
      </c>
    </row>
    <row r="133" spans="1:6">
      <c r="A133">
        <f>IF(AND('Mortgage Inputs'!$B$12,127&lt;=IF('Mortgage Inputs'!$B$12,'Mortgage Inputs'!$B$7,0)*12+600,ISNUMBER(E132),E132&gt;0.005),127,"")</f>
        <v>127</v>
      </c>
      <c r="B133" s="5">
        <f t="shared" si="3"/>
        <v>542612.31480094325</v>
      </c>
      <c r="C133" s="5">
        <f>IF(A133="","",B133*'Mortgage Inputs'!$B$15)</f>
        <v>2889.4105763150228</v>
      </c>
      <c r="D133" s="5">
        <f>IF(A133="","",MIN(B133,MAX(0,'Mortgage Inputs'!$B$17-C133)))</f>
        <v>1172.1227914923306</v>
      </c>
      <c r="E133" s="5">
        <f t="shared" si="2"/>
        <v>541440.19200945087</v>
      </c>
      <c r="F133" s="5">
        <f>IF('Monthly Projection'!A133="",0,'Monthly Projection'!G133)</f>
        <v>466365.71646367083</v>
      </c>
    </row>
    <row r="134" spans="1:6">
      <c r="A134">
        <f>IF(AND('Mortgage Inputs'!$B$12,128&lt;=IF('Mortgage Inputs'!$B$12,'Mortgage Inputs'!$B$7,0)*12+600,ISNUMBER(E133),E133&gt;0.005),128,"")</f>
        <v>128</v>
      </c>
      <c r="B134" s="5">
        <f t="shared" si="3"/>
        <v>541440.19200945087</v>
      </c>
      <c r="C134" s="5">
        <f>IF(A134="","",B134*'Mortgage Inputs'!$B$15)</f>
        <v>2883.1690224503259</v>
      </c>
      <c r="D134" s="5">
        <f>IF(A134="","",MIN(B134,MAX(0,'Mortgage Inputs'!$B$17-C134)))</f>
        <v>1178.3643453570276</v>
      </c>
      <c r="E134" s="5">
        <f t="shared" si="2"/>
        <v>540261.82766409381</v>
      </c>
      <c r="F134" s="5">
        <f>IF('Monthly Projection'!A134="",0,'Monthly Projection'!G134)</f>
        <v>464183.19303603255</v>
      </c>
    </row>
    <row r="135" spans="1:6">
      <c r="A135">
        <f>IF(AND('Mortgage Inputs'!$B$12,129&lt;=IF('Mortgage Inputs'!$B$12,'Mortgage Inputs'!$B$7,0)*12+600,ISNUMBER(E134),E134&gt;0.005),129,"")</f>
        <v>129</v>
      </c>
      <c r="B135" s="5">
        <f t="shared" si="3"/>
        <v>540261.82766409381</v>
      </c>
      <c r="C135" s="5">
        <f>IF(A135="","",B135*'Mortgage Inputs'!$B$15)</f>
        <v>2876.8942323112997</v>
      </c>
      <c r="D135" s="5">
        <f>IF(A135="","",MIN(B135,MAX(0,'Mortgage Inputs'!$B$17-C135)))</f>
        <v>1184.6391354960538</v>
      </c>
      <c r="E135" s="5">
        <f t="shared" ref="E135:E198" si="4">IF(A135="","",MAX(0,B135-D135))</f>
        <v>539077.1885285977</v>
      </c>
      <c r="F135" s="5">
        <f>IF('Monthly Projection'!A135="",0,'Monthly Projection'!G135)</f>
        <v>461986.38517114206</v>
      </c>
    </row>
    <row r="136" spans="1:6">
      <c r="A136">
        <f>IF(AND('Mortgage Inputs'!$B$12,130&lt;=IF('Mortgage Inputs'!$B$12,'Mortgage Inputs'!$B$7,0)*12+600,ISNUMBER(E135),E135&gt;0.005),130,"")</f>
        <v>130</v>
      </c>
      <c r="B136" s="5">
        <f t="shared" ref="B136:B199" si="5">IF(A136="","",E135)</f>
        <v>539077.1885285977</v>
      </c>
      <c r="C136" s="5">
        <f>IF(A136="","",B136*'Mortgage Inputs'!$B$15)</f>
        <v>2870.5860289147827</v>
      </c>
      <c r="D136" s="5">
        <f>IF(A136="","",MIN(B136,MAX(0,'Mortgage Inputs'!$B$17-C136)))</f>
        <v>1190.9473388925708</v>
      </c>
      <c r="E136" s="5">
        <f t="shared" si="4"/>
        <v>537886.24118970509</v>
      </c>
      <c r="F136" s="5">
        <f>IF('Monthly Projection'!A136="",0,'Monthly Projection'!G136)</f>
        <v>459775.21680437104</v>
      </c>
    </row>
    <row r="137" spans="1:6">
      <c r="A137">
        <f>IF(AND('Mortgage Inputs'!$B$12,131&lt;=IF('Mortgage Inputs'!$B$12,'Mortgage Inputs'!$B$7,0)*12+600,ISNUMBER(E136),E136&gt;0.005),131,"")</f>
        <v>131</v>
      </c>
      <c r="B137" s="5">
        <f t="shared" si="5"/>
        <v>537886.24118970509</v>
      </c>
      <c r="C137" s="5">
        <f>IF(A137="","",B137*'Mortgage Inputs'!$B$15)</f>
        <v>2864.2442343351795</v>
      </c>
      <c r="D137" s="5">
        <f>IF(A137="","",MIN(B137,MAX(0,'Mortgage Inputs'!$B$17-C137)))</f>
        <v>1197.2891334721739</v>
      </c>
      <c r="E137" s="5">
        <f t="shared" si="4"/>
        <v>536688.95205623296</v>
      </c>
      <c r="F137" s="5">
        <f>IF('Monthly Projection'!A137="",0,'Monthly Projection'!G137)</f>
        <v>457549.61146604695</v>
      </c>
    </row>
    <row r="138" spans="1:6">
      <c r="A138">
        <f>IF(AND('Mortgage Inputs'!$B$12,132&lt;=IF('Mortgage Inputs'!$B$12,'Mortgage Inputs'!$B$7,0)*12+600,ISNUMBER(E137),E137&gt;0.005),132,"")</f>
        <v>132</v>
      </c>
      <c r="B138" s="5">
        <f t="shared" si="5"/>
        <v>536688.95205623296</v>
      </c>
      <c r="C138" s="5">
        <f>IF(A138="","",B138*'Mortgage Inputs'!$B$15)</f>
        <v>2857.8686696994405</v>
      </c>
      <c r="D138" s="5">
        <f>IF(A138="","",MIN(B138,MAX(0,'Mortgage Inputs'!$B$17-C138)))</f>
        <v>1203.664698107913</v>
      </c>
      <c r="E138" s="5">
        <f t="shared" si="4"/>
        <v>535485.28735812509</v>
      </c>
      <c r="F138" s="5">
        <f>IF('Monthly Projection'!A138="",0,'Monthly Projection'!G138)</f>
        <v>455309.49227929628</v>
      </c>
    </row>
    <row r="139" spans="1:6">
      <c r="A139">
        <f>IF(AND('Mortgage Inputs'!$B$12,133&lt;=IF('Mortgage Inputs'!$B$12,'Mortgage Inputs'!$B$7,0)*12+600,ISNUMBER(E138),E138&gt;0.005),133,"")</f>
        <v>133</v>
      </c>
      <c r="B139" s="5">
        <f t="shared" si="5"/>
        <v>535485.28735812509</v>
      </c>
      <c r="C139" s="5">
        <f>IF(A139="","",B139*'Mortgage Inputs'!$B$15)</f>
        <v>2851.4591551820158</v>
      </c>
      <c r="D139" s="5">
        <f>IF(A139="","",MIN(B139,MAX(0,'Mortgage Inputs'!$B$17-C139)))</f>
        <v>1210.0742126253376</v>
      </c>
      <c r="E139" s="5">
        <f t="shared" si="4"/>
        <v>534275.2131454997</v>
      </c>
      <c r="F139" s="5">
        <f>IF('Monthly Projection'!A139="",0,'Monthly Projection'!G139)</f>
        <v>453054.78195787617</v>
      </c>
    </row>
    <row r="140" spans="1:6">
      <c r="A140">
        <f>IF(AND('Mortgage Inputs'!$B$12,134&lt;=IF('Mortgage Inputs'!$B$12,'Mortgage Inputs'!$B$7,0)*12+600,ISNUMBER(E139),E139&gt;0.005),134,"")</f>
        <v>134</v>
      </c>
      <c r="B140" s="5">
        <f t="shared" si="5"/>
        <v>534275.2131454997</v>
      </c>
      <c r="C140" s="5">
        <f>IF(A140="","",B140*'Mortgage Inputs'!$B$15)</f>
        <v>2845.015509999786</v>
      </c>
      <c r="D140" s="5">
        <f>IF(A140="","",MIN(B140,MAX(0,'Mortgage Inputs'!$B$17-C140)))</f>
        <v>1216.5178578075675</v>
      </c>
      <c r="E140" s="5">
        <f t="shared" si="4"/>
        <v>533058.69528769213</v>
      </c>
      <c r="F140" s="5">
        <f>IF('Monthly Projection'!A140="",0,'Monthly Projection'!G140)</f>
        <v>450785.40280399448</v>
      </c>
    </row>
    <row r="141" spans="1:6">
      <c r="A141">
        <f>IF(AND('Mortgage Inputs'!$B$12,135&lt;=IF('Mortgage Inputs'!$B$12,'Mortgage Inputs'!$B$7,0)*12+600,ISNUMBER(E140),E140&gt;0.005),135,"")</f>
        <v>135</v>
      </c>
      <c r="B141" s="5">
        <f t="shared" si="5"/>
        <v>533058.69528769213</v>
      </c>
      <c r="C141" s="5">
        <f>IF(A141="","",B141*'Mortgage Inputs'!$B$15)</f>
        <v>2838.5375524069605</v>
      </c>
      <c r="D141" s="5">
        <f>IF(A141="","",MIN(B141,MAX(0,'Mortgage Inputs'!$B$17-C141)))</f>
        <v>1222.995815400393</v>
      </c>
      <c r="E141" s="5">
        <f t="shared" si="4"/>
        <v>531835.69947229174</v>
      </c>
      <c r="F141" s="5">
        <f>IF('Monthly Projection'!A141="",0,'Monthly Projection'!G141)</f>
        <v>448501.27670611843</v>
      </c>
    </row>
    <row r="142" spans="1:6">
      <c r="A142">
        <f>IF(AND('Mortgage Inputs'!$B$12,136&lt;=IF('Mortgage Inputs'!$B$12,'Mortgage Inputs'!$B$7,0)*12+600,ISNUMBER(E141),E141&gt;0.005),136,"")</f>
        <v>136</v>
      </c>
      <c r="B142" s="5">
        <f t="shared" si="5"/>
        <v>531835.69947229174</v>
      </c>
      <c r="C142" s="5">
        <f>IF(A142="","",B142*'Mortgage Inputs'!$B$15)</f>
        <v>2832.0250996899535</v>
      </c>
      <c r="D142" s="5">
        <f>IF(A142="","",MIN(B142,MAX(0,'Mortgage Inputs'!$B$17-C142)))</f>
        <v>1229.5082681173999</v>
      </c>
      <c r="E142" s="5">
        <f t="shared" si="4"/>
        <v>530606.19120417431</v>
      </c>
      <c r="F142" s="5">
        <f>IF('Monthly Projection'!A142="",0,'Monthly Projection'!G142)</f>
        <v>446202.32513677113</v>
      </c>
    </row>
    <row r="143" spans="1:6">
      <c r="A143">
        <f>IF(AND('Mortgage Inputs'!$B$12,137&lt;=IF('Mortgage Inputs'!$B$12,'Mortgage Inputs'!$B$7,0)*12+600,ISNUMBER(E142),E142&gt;0.005),137,"")</f>
        <v>137</v>
      </c>
      <c r="B143" s="5">
        <f t="shared" si="5"/>
        <v>530606.19120417431</v>
      </c>
      <c r="C143" s="5">
        <f>IF(A143="","",B143*'Mortgage Inputs'!$B$15)</f>
        <v>2825.4779681622281</v>
      </c>
      <c r="D143" s="5">
        <f>IF(A143="","",MIN(B143,MAX(0,'Mortgage Inputs'!$B$17-C143)))</f>
        <v>1236.0553996451254</v>
      </c>
      <c r="E143" s="5">
        <f t="shared" si="4"/>
        <v>529370.13580452919</v>
      </c>
      <c r="F143" s="5">
        <f>IF('Monthly Projection'!A143="",0,'Monthly Projection'!G143)</f>
        <v>443888.46915031708</v>
      </c>
    </row>
    <row r="144" spans="1:6">
      <c r="A144">
        <f>IF(AND('Mortgage Inputs'!$B$12,138&lt;=IF('Mortgage Inputs'!$B$12,'Mortgage Inputs'!$B$7,0)*12+600,ISNUMBER(E143),E143&gt;0.005),138,"")</f>
        <v>138</v>
      </c>
      <c r="B144" s="5">
        <f t="shared" si="5"/>
        <v>529370.13580452919</v>
      </c>
      <c r="C144" s="5">
        <f>IF(A144="","",B144*'Mortgage Inputs'!$B$15)</f>
        <v>2818.8959731591181</v>
      </c>
      <c r="D144" s="5">
        <f>IF(A144="","",MIN(B144,MAX(0,'Mortgage Inputs'!$B$17-C144)))</f>
        <v>1242.6373946482354</v>
      </c>
      <c r="E144" s="5">
        <f t="shared" si="4"/>
        <v>528127.49840988091</v>
      </c>
      <c r="F144" s="5">
        <f>IF('Monthly Projection'!A144="",0,'Monthly Projection'!G144)</f>
        <v>441559.62938073516</v>
      </c>
    </row>
    <row r="145" spans="1:6">
      <c r="A145">
        <f>IF(AND('Mortgage Inputs'!$B$12,139&lt;=IF('Mortgage Inputs'!$B$12,'Mortgage Inputs'!$B$7,0)*12+600,ISNUMBER(E144),E144&gt;0.005),139,"")</f>
        <v>139</v>
      </c>
      <c r="B145" s="5">
        <f t="shared" si="5"/>
        <v>528127.49840988091</v>
      </c>
      <c r="C145" s="5">
        <f>IF(A145="","",B145*'Mortgage Inputs'!$B$15)</f>
        <v>2812.2789290326159</v>
      </c>
      <c r="D145" s="5">
        <f>IF(A145="","",MIN(B145,MAX(0,'Mortgage Inputs'!$B$17-C145)))</f>
        <v>1249.2544387747375</v>
      </c>
      <c r="E145" s="5">
        <f t="shared" si="4"/>
        <v>526878.24397110613</v>
      </c>
      <c r="F145" s="5">
        <f>IF('Monthly Projection'!A145="",0,'Monthly Projection'!G145)</f>
        <v>439215.72603938024</v>
      </c>
    </row>
    <row r="146" spans="1:6">
      <c r="A146">
        <f>IF(AND('Mortgage Inputs'!$B$12,140&lt;=IF('Mortgage Inputs'!$B$12,'Mortgage Inputs'!$B$7,0)*12+600,ISNUMBER(E145),E145&gt;0.005),140,"")</f>
        <v>140</v>
      </c>
      <c r="B146" s="5">
        <f t="shared" si="5"/>
        <v>526878.24397110613</v>
      </c>
      <c r="C146" s="5">
        <f>IF(A146="","",B146*'Mortgage Inputs'!$B$15)</f>
        <v>2805.6266491461402</v>
      </c>
      <c r="D146" s="5">
        <f>IF(A146="","",MIN(B146,MAX(0,'Mortgage Inputs'!$B$17-C146)))</f>
        <v>1255.9067186612133</v>
      </c>
      <c r="E146" s="5">
        <f t="shared" si="4"/>
        <v>525622.33725244494</v>
      </c>
      <c r="F146" s="5">
        <f>IF('Monthly Projection'!A146="",0,'Monthly Projection'!G146)</f>
        <v>436856.67891273258</v>
      </c>
    </row>
    <row r="147" spans="1:6">
      <c r="A147">
        <f>IF(AND('Mortgage Inputs'!$B$12,141&lt;=IF('Mortgage Inputs'!$B$12,'Mortgage Inputs'!$B$7,0)*12+600,ISNUMBER(E146),E146&gt;0.005),141,"")</f>
        <v>141</v>
      </c>
      <c r="B147" s="5">
        <f t="shared" si="5"/>
        <v>525622.33725244494</v>
      </c>
      <c r="C147" s="5">
        <f>IF(A147="","",B147*'Mortgage Inputs'!$B$15)</f>
        <v>2798.9389458692694</v>
      </c>
      <c r="D147" s="5">
        <f>IF(A147="","",MIN(B147,MAX(0,'Mortgage Inputs'!$B$17-C147)))</f>
        <v>1262.594421938084</v>
      </c>
      <c r="E147" s="5">
        <f t="shared" si="4"/>
        <v>524359.74283050688</v>
      </c>
      <c r="F147" s="5">
        <f>IF('Monthly Projection'!A147="",0,'Monthly Projection'!G147)</f>
        <v>434482.40736013552</v>
      </c>
    </row>
    <row r="148" spans="1:6">
      <c r="A148">
        <f>IF(AND('Mortgage Inputs'!$B$12,142&lt;=IF('Mortgage Inputs'!$B$12,'Mortgage Inputs'!$B$7,0)*12+600,ISNUMBER(E147),E147&gt;0.005),142,"")</f>
        <v>142</v>
      </c>
      <c r="B148" s="5">
        <f t="shared" si="5"/>
        <v>524359.74283050688</v>
      </c>
      <c r="C148" s="5">
        <f>IF(A148="","",B148*'Mortgage Inputs'!$B$15)</f>
        <v>2792.2156305724488</v>
      </c>
      <c r="D148" s="5">
        <f>IF(A148="","",MIN(B148,MAX(0,'Mortgage Inputs'!$B$17-C148)))</f>
        <v>1269.3177372349046</v>
      </c>
      <c r="E148" s="5">
        <f t="shared" si="4"/>
        <v>523090.42509327194</v>
      </c>
      <c r="F148" s="5">
        <f>IF('Monthly Projection'!A148="",0,'Monthly Projection'!G148)</f>
        <v>432092.8303115209</v>
      </c>
    </row>
    <row r="149" spans="1:6">
      <c r="A149">
        <f>IF(AND('Mortgage Inputs'!$B$12,143&lt;=IF('Mortgage Inputs'!$B$12,'Mortgage Inputs'!$B$7,0)*12+600,ISNUMBER(E148),E148&gt;0.005),143,"")</f>
        <v>143</v>
      </c>
      <c r="B149" s="5">
        <f t="shared" si="5"/>
        <v>523090.42509327194</v>
      </c>
      <c r="C149" s="5">
        <f>IF(A149="","",B149*'Mortgage Inputs'!$B$15)</f>
        <v>2785.4565136216729</v>
      </c>
      <c r="D149" s="5">
        <f>IF(A149="","",MIN(B149,MAX(0,'Mortgage Inputs'!$B$17-C149)))</f>
        <v>1276.0768541856805</v>
      </c>
      <c r="E149" s="5">
        <f t="shared" si="4"/>
        <v>521814.34823908628</v>
      </c>
      <c r="F149" s="5">
        <f>IF('Monthly Projection'!A149="",0,'Monthly Projection'!G149)</f>
        <v>429687.86626512237</v>
      </c>
    </row>
    <row r="150" spans="1:6">
      <c r="A150">
        <f>IF(AND('Mortgage Inputs'!$B$12,144&lt;=IF('Mortgage Inputs'!$B$12,'Mortgage Inputs'!$B$7,0)*12+600,ISNUMBER(E149),E149&gt;0.005),144,"")</f>
        <v>144</v>
      </c>
      <c r="B150" s="5">
        <f t="shared" si="5"/>
        <v>521814.34823908628</v>
      </c>
      <c r="C150" s="5">
        <f>IF(A150="","",B150*'Mortgage Inputs'!$B$15)</f>
        <v>2778.6614043731342</v>
      </c>
      <c r="D150" s="5">
        <f>IF(A150="","",MIN(B150,MAX(0,'Mortgage Inputs'!$B$17-C150)))</f>
        <v>1282.8719634342192</v>
      </c>
      <c r="E150" s="5">
        <f t="shared" si="4"/>
        <v>520531.47627565206</v>
      </c>
      <c r="F150" s="5">
        <f>IF('Monthly Projection'!A150="",0,'Monthly Projection'!G150)</f>
        <v>427267.43328517681</v>
      </c>
    </row>
    <row r="151" spans="1:6">
      <c r="A151">
        <f>IF(AND('Mortgage Inputs'!$B$12,145&lt;=IF('Mortgage Inputs'!$B$12,'Mortgage Inputs'!$B$7,0)*12+600,ISNUMBER(E150),E150&gt;0.005),145,"")</f>
        <v>145</v>
      </c>
      <c r="B151" s="5">
        <f t="shared" si="5"/>
        <v>520531.47627565206</v>
      </c>
      <c r="C151" s="5">
        <f>IF(A151="","",B151*'Mortgage Inputs'!$B$15)</f>
        <v>2771.830111167847</v>
      </c>
      <c r="D151" s="5">
        <f>IF(A151="","",MIN(B151,MAX(0,'Mortgage Inputs'!$B$17-C151)))</f>
        <v>1289.7032566395064</v>
      </c>
      <c r="E151" s="5">
        <f t="shared" si="4"/>
        <v>519241.77301901253</v>
      </c>
      <c r="F151" s="5">
        <f>IF('Monthly Projection'!A151="",0,'Monthly Projection'!G151)</f>
        <v>424831.448999613</v>
      </c>
    </row>
    <row r="152" spans="1:6">
      <c r="A152">
        <f>IF(AND('Mortgage Inputs'!$B$12,146&lt;=IF('Mortgage Inputs'!$B$12,'Mortgage Inputs'!$B$7,0)*12+600,ISNUMBER(E151),E151&gt;0.005),146,"")</f>
        <v>146</v>
      </c>
      <c r="B152" s="5">
        <f t="shared" si="5"/>
        <v>519241.77301901253</v>
      </c>
      <c r="C152" s="5">
        <f>IF(A152="","",B152*'Mortgage Inputs'!$B$15)</f>
        <v>2764.9624413262418</v>
      </c>
      <c r="D152" s="5">
        <f>IF(A152="","",MIN(B152,MAX(0,'Mortgage Inputs'!$B$17-C152)))</f>
        <v>1296.5709264811117</v>
      </c>
      <c r="E152" s="5">
        <f t="shared" si="4"/>
        <v>517945.20209253143</v>
      </c>
      <c r="F152" s="5">
        <f>IF('Monthly Projection'!A152="",0,'Monthly Projection'!G152)</f>
        <v>422379.83059772861</v>
      </c>
    </row>
    <row r="153" spans="1:6">
      <c r="A153">
        <f>IF(AND('Mortgage Inputs'!$B$12,147&lt;=IF('Mortgage Inputs'!$B$12,'Mortgage Inputs'!$B$7,0)*12+600,ISNUMBER(E152),E152&gt;0.005),147,"")</f>
        <v>147</v>
      </c>
      <c r="B153" s="5">
        <f t="shared" si="5"/>
        <v>517945.20209253143</v>
      </c>
      <c r="C153" s="5">
        <f>IF(A153="","",B153*'Mortgage Inputs'!$B$15)</f>
        <v>2758.05820114273</v>
      </c>
      <c r="D153" s="5">
        <f>IF(A153="","",MIN(B153,MAX(0,'Mortgage Inputs'!$B$17-C153)))</f>
        <v>1303.4751666646234</v>
      </c>
      <c r="E153" s="5">
        <f t="shared" si="4"/>
        <v>516641.72692586679</v>
      </c>
      <c r="F153" s="5">
        <f>IF('Monthly Projection'!A153="",0,'Monthly Projection'!G153)</f>
        <v>419912.49482785416</v>
      </c>
    </row>
    <row r="154" spans="1:6">
      <c r="A154">
        <f>IF(AND('Mortgage Inputs'!$B$12,148&lt;=IF('Mortgage Inputs'!$B$12,'Mortgage Inputs'!$B$7,0)*12+600,ISNUMBER(E153),E153&gt;0.005),148,"")</f>
        <v>148</v>
      </c>
      <c r="B154" s="5">
        <f t="shared" si="5"/>
        <v>516641.72692586679</v>
      </c>
      <c r="C154" s="5">
        <f>IF(A154="","",B154*'Mortgage Inputs'!$B$15)</f>
        <v>2751.1171958802406</v>
      </c>
      <c r="D154" s="5">
        <f>IF(A154="","",MIN(B154,MAX(0,'Mortgage Inputs'!$B$17-C154)))</f>
        <v>1310.4161719271128</v>
      </c>
      <c r="E154" s="5">
        <f t="shared" si="4"/>
        <v>515331.31075393967</v>
      </c>
      <c r="F154" s="5">
        <f>IF('Monthly Projection'!A154="",0,'Monthly Projection'!G154)</f>
        <v>417429.35799500515</v>
      </c>
    </row>
    <row r="155" spans="1:6">
      <c r="A155">
        <f>IF(AND('Mortgage Inputs'!$B$12,149&lt;=IF('Mortgage Inputs'!$B$12,'Mortgage Inputs'!$B$7,0)*12+600,ISNUMBER(E154),E154&gt;0.005),149,"")</f>
        <v>149</v>
      </c>
      <c r="B155" s="5">
        <f t="shared" si="5"/>
        <v>515331.31075393967</v>
      </c>
      <c r="C155" s="5">
        <f>IF(A155="","",B155*'Mortgage Inputs'!$B$15)</f>
        <v>2744.1392297647285</v>
      </c>
      <c r="D155" s="5">
        <f>IF(A155="","",MIN(B155,MAX(0,'Mortgage Inputs'!$B$17-C155)))</f>
        <v>1317.3941380426249</v>
      </c>
      <c r="E155" s="5">
        <f t="shared" si="4"/>
        <v>514013.91661589703</v>
      </c>
      <c r="F155" s="5">
        <f>IF('Monthly Projection'!A155="",0,'Monthly Projection'!G155)</f>
        <v>414930.33595852117</v>
      </c>
    </row>
    <row r="156" spans="1:6">
      <c r="A156">
        <f>IF(AND('Mortgage Inputs'!$B$12,150&lt;=IF('Mortgage Inputs'!$B$12,'Mortgage Inputs'!$B$7,0)*12+600,ISNUMBER(E155),E155&gt;0.005),150,"")</f>
        <v>150</v>
      </c>
      <c r="B156" s="5">
        <f t="shared" si="5"/>
        <v>514013.91661589703</v>
      </c>
      <c r="C156" s="5">
        <f>IF(A156="","",B156*'Mortgage Inputs'!$B$15)</f>
        <v>2737.1241059796516</v>
      </c>
      <c r="D156" s="5">
        <f>IF(A156="","",MIN(B156,MAX(0,'Mortgage Inputs'!$B$17-C156)))</f>
        <v>1324.4092618277018</v>
      </c>
      <c r="E156" s="5">
        <f t="shared" si="4"/>
        <v>512689.50735406933</v>
      </c>
      <c r="F156" s="5">
        <f>IF('Monthly Projection'!A156="",0,'Monthly Projection'!G156)</f>
        <v>412415.34412969294</v>
      </c>
    </row>
    <row r="157" spans="1:6">
      <c r="A157">
        <f>IF(AND('Mortgage Inputs'!$B$12,151&lt;=IF('Mortgage Inputs'!$B$12,'Mortgage Inputs'!$B$7,0)*12+600,ISNUMBER(E156),E156&gt;0.005),151,"")</f>
        <v>151</v>
      </c>
      <c r="B157" s="5">
        <f t="shared" si="5"/>
        <v>512689.50735406933</v>
      </c>
      <c r="C157" s="5">
        <f>IF(A157="","",B157*'Mortgage Inputs'!$B$15)</f>
        <v>2730.071626660419</v>
      </c>
      <c r="D157" s="5">
        <f>IF(A157="","",MIN(B157,MAX(0,'Mortgage Inputs'!$B$17-C157)))</f>
        <v>1331.4617411469344</v>
      </c>
      <c r="E157" s="5">
        <f t="shared" si="4"/>
        <v>511358.0456129224</v>
      </c>
      <c r="F157" s="5">
        <f>IF('Monthly Projection'!A157="",0,'Monthly Projection'!G157)</f>
        <v>409884.29746937618</v>
      </c>
    </row>
    <row r="158" spans="1:6">
      <c r="A158">
        <f>IF(AND('Mortgage Inputs'!$B$12,152&lt;=IF('Mortgage Inputs'!$B$12,'Mortgage Inputs'!$B$7,0)*12+600,ISNUMBER(E157),E157&gt;0.005),152,"")</f>
        <v>152</v>
      </c>
      <c r="B158" s="5">
        <f t="shared" si="5"/>
        <v>511358.0456129224</v>
      </c>
      <c r="C158" s="5">
        <f>IF(A158="","",B158*'Mortgage Inputs'!$B$15)</f>
        <v>2722.9815928888115</v>
      </c>
      <c r="D158" s="5">
        <f>IF(A158="","",MIN(B158,MAX(0,'Mortgage Inputs'!$B$17-C158)))</f>
        <v>1338.5517749185419</v>
      </c>
      <c r="E158" s="5">
        <f t="shared" si="4"/>
        <v>510019.49383800384</v>
      </c>
      <c r="F158" s="5">
        <f>IF('Monthly Projection'!A158="",0,'Monthly Projection'!G158)</f>
        <v>407337.11048559326</v>
      </c>
    </row>
    <row r="159" spans="1:6">
      <c r="A159">
        <f>IF(AND('Mortgage Inputs'!$B$12,153&lt;=IF('Mortgage Inputs'!$B$12,'Mortgage Inputs'!$B$7,0)*12+600,ISNUMBER(E158),E158&gt;0.005),153,"")</f>
        <v>153</v>
      </c>
      <c r="B159" s="5">
        <f t="shared" si="5"/>
        <v>510019.49383800384</v>
      </c>
      <c r="C159" s="5">
        <f>IF(A159="","",B159*'Mortgage Inputs'!$B$15)</f>
        <v>2715.8538046873705</v>
      </c>
      <c r="D159" s="5">
        <f>IF(A159="","",MIN(B159,MAX(0,'Mortgage Inputs'!$B$17-C159)))</f>
        <v>1345.679563119983</v>
      </c>
      <c r="E159" s="5">
        <f t="shared" si="4"/>
        <v>508673.81427488383</v>
      </c>
      <c r="F159" s="5">
        <f>IF('Monthly Projection'!A159="",0,'Monthly Projection'!G159)</f>
        <v>404773.69723112171</v>
      </c>
    </row>
    <row r="160" spans="1:6">
      <c r="A160">
        <f>IF(AND('Mortgage Inputs'!$B$12,154&lt;=IF('Mortgage Inputs'!$B$12,'Mortgage Inputs'!$B$7,0)*12+600,ISNUMBER(E159),E159&gt;0.005),154,"")</f>
        <v>154</v>
      </c>
      <c r="B160" s="5">
        <f t="shared" si="5"/>
        <v>508673.81427488383</v>
      </c>
      <c r="C160" s="5">
        <f>IF(A160="","",B160*'Mortgage Inputs'!$B$15)</f>
        <v>2708.6880610137564</v>
      </c>
      <c r="D160" s="5">
        <f>IF(A160="","",MIN(B160,MAX(0,'Mortgage Inputs'!$B$17-C160)))</f>
        <v>1352.845306793597</v>
      </c>
      <c r="E160" s="5">
        <f t="shared" si="4"/>
        <v>507320.96896809025</v>
      </c>
      <c r="F160" s="5">
        <f>IF('Monthly Projection'!A160="",0,'Monthly Projection'!G160)</f>
        <v>402193.97130107007</v>
      </c>
    </row>
    <row r="161" spans="1:6">
      <c r="A161">
        <f>IF(AND('Mortgage Inputs'!$B$12,155&lt;=IF('Mortgage Inputs'!$B$12,'Mortgage Inputs'!$B$7,0)*12+600,ISNUMBER(E160),E160&gt;0.005),155,"")</f>
        <v>155</v>
      </c>
      <c r="B161" s="5">
        <f t="shared" si="5"/>
        <v>507320.96896809025</v>
      </c>
      <c r="C161" s="5">
        <f>IF(A161="","",B161*'Mortgage Inputs'!$B$15)</f>
        <v>2701.4841597550803</v>
      </c>
      <c r="D161" s="5">
        <f>IF(A161="","",MIN(B161,MAX(0,'Mortgage Inputs'!$B$17-C161)))</f>
        <v>1360.0492080522731</v>
      </c>
      <c r="E161" s="5">
        <f t="shared" si="4"/>
        <v>505960.91976003797</v>
      </c>
      <c r="F161" s="5">
        <f>IF('Monthly Projection'!A161="",0,'Monthly Projection'!G161)</f>
        <v>399597.84583044093</v>
      </c>
    </row>
    <row r="162" spans="1:6">
      <c r="A162">
        <f>IF(AND('Mortgage Inputs'!$B$12,156&lt;=IF('Mortgage Inputs'!$B$12,'Mortgage Inputs'!$B$7,0)*12+600,ISNUMBER(E161),E161&gt;0.005),156,"")</f>
        <v>156</v>
      </c>
      <c r="B162" s="5">
        <f t="shared" si="5"/>
        <v>505960.91976003797</v>
      </c>
      <c r="C162" s="5">
        <f>IF(A162="","",B162*'Mortgage Inputs'!$B$15)</f>
        <v>2694.2418977222023</v>
      </c>
      <c r="D162" s="5">
        <f>IF(A162="","",MIN(B162,MAX(0,'Mortgage Inputs'!$B$17-C162)))</f>
        <v>1367.2914700851511</v>
      </c>
      <c r="E162" s="5">
        <f t="shared" si="4"/>
        <v>504593.62828995282</v>
      </c>
      <c r="F162" s="5">
        <f>IF('Monthly Projection'!A162="",0,'Monthly Projection'!G162)</f>
        <v>396985.2334916807</v>
      </c>
    </row>
    <row r="163" spans="1:6">
      <c r="A163">
        <f>IF(AND('Mortgage Inputs'!$B$12,157&lt;=IF('Mortgage Inputs'!$B$12,'Mortgage Inputs'!$B$7,0)*12+600,ISNUMBER(E162),E162&gt;0.005),157,"")</f>
        <v>157</v>
      </c>
      <c r="B163" s="5">
        <f t="shared" si="5"/>
        <v>504593.62828995282</v>
      </c>
      <c r="C163" s="5">
        <f>IF(A163="","",B163*'Mortgage Inputs'!$B$15)</f>
        <v>2686.9610706439985</v>
      </c>
      <c r="D163" s="5">
        <f>IF(A163="","",MIN(B163,MAX(0,'Mortgage Inputs'!$B$17-C163)))</f>
        <v>1374.572297163355</v>
      </c>
      <c r="E163" s="5">
        <f t="shared" si="4"/>
        <v>503219.05599278945</v>
      </c>
      <c r="F163" s="5">
        <f>IF('Monthly Projection'!A163="",0,'Monthly Projection'!G163)</f>
        <v>394356.04649221653</v>
      </c>
    </row>
    <row r="164" spans="1:6">
      <c r="A164">
        <f>IF(AND('Mortgage Inputs'!$B$12,158&lt;=IF('Mortgage Inputs'!$B$12,'Mortgage Inputs'!$B$7,0)*12+600,ISNUMBER(E163),E163&gt;0.005),158,"")</f>
        <v>158</v>
      </c>
      <c r="B164" s="5">
        <f t="shared" si="5"/>
        <v>503219.05599278945</v>
      </c>
      <c r="C164" s="5">
        <f>IF(A164="","",B164*'Mortgage Inputs'!$B$15)</f>
        <v>2679.6414731616037</v>
      </c>
      <c r="D164" s="5">
        <f>IF(A164="","",MIN(B164,MAX(0,'Mortgage Inputs'!$B$17-C164)))</f>
        <v>1381.8918946457497</v>
      </c>
      <c r="E164" s="5">
        <f t="shared" si="4"/>
        <v>501837.16409814369</v>
      </c>
      <c r="F164" s="5">
        <f>IF('Monthly Projection'!A164="",0,'Monthly Projection'!G164)</f>
        <v>391710.19657198025</v>
      </c>
    </row>
    <row r="165" spans="1:6">
      <c r="A165">
        <f>IF(AND('Mortgage Inputs'!$B$12,159&lt;=IF('Mortgage Inputs'!$B$12,'Mortgage Inputs'!$B$7,0)*12+600,ISNUMBER(E164),E164&gt;0.005),159,"")</f>
        <v>159</v>
      </c>
      <c r="B165" s="5">
        <f t="shared" si="5"/>
        <v>501837.16409814369</v>
      </c>
      <c r="C165" s="5">
        <f>IF(A165="","",B165*'Mortgage Inputs'!$B$15)</f>
        <v>2672.2828988226152</v>
      </c>
      <c r="D165" s="5">
        <f>IF(A165="","",MIN(B165,MAX(0,'Mortgage Inputs'!$B$17-C165)))</f>
        <v>1389.2504689847383</v>
      </c>
      <c r="E165" s="5">
        <f t="shared" si="4"/>
        <v>500447.91362915898</v>
      </c>
      <c r="F165" s="5">
        <f>IF('Monthly Projection'!A165="",0,'Monthly Projection'!G165)</f>
        <v>389047.59500091872</v>
      </c>
    </row>
    <row r="166" spans="1:6">
      <c r="A166">
        <f>IF(AND('Mortgage Inputs'!$B$12,160&lt;=IF('Mortgage Inputs'!$B$12,'Mortgage Inputs'!$B$7,0)*12+600,ISNUMBER(E165),E165&gt;0.005),160,"")</f>
        <v>160</v>
      </c>
      <c r="B166" s="5">
        <f t="shared" si="5"/>
        <v>500447.91362915898</v>
      </c>
      <c r="C166" s="5">
        <f>IF(A166="","",B166*'Mortgage Inputs'!$B$15)</f>
        <v>2664.8851400752715</v>
      </c>
      <c r="D166" s="5">
        <f>IF(A166="","",MIN(B166,MAX(0,'Mortgage Inputs'!$B$17-C166)))</f>
        <v>1396.648227732082</v>
      </c>
      <c r="E166" s="5">
        <f t="shared" si="4"/>
        <v>499051.26540142688</v>
      </c>
      <c r="F166" s="5">
        <f>IF('Monthly Projection'!A166="",0,'Monthly Projection'!G166)</f>
        <v>386368.15257649124</v>
      </c>
    </row>
    <row r="167" spans="1:6">
      <c r="A167">
        <f>IF(AND('Mortgage Inputs'!$B$12,161&lt;=IF('Mortgage Inputs'!$B$12,'Mortgage Inputs'!$B$7,0)*12+600,ISNUMBER(E166),E166&gt;0.005),161,"")</f>
        <v>161</v>
      </c>
      <c r="B167" s="5">
        <f t="shared" si="5"/>
        <v>499051.26540142688</v>
      </c>
      <c r="C167" s="5">
        <f>IF(A167="","",B167*'Mortgage Inputs'!$B$15)</f>
        <v>2657.4479882625978</v>
      </c>
      <c r="D167" s="5">
        <f>IF(A167="","",MIN(B167,MAX(0,'Mortgage Inputs'!$B$17-C167)))</f>
        <v>1404.0853795447556</v>
      </c>
      <c r="E167" s="5">
        <f t="shared" si="4"/>
        <v>497647.18002188212</v>
      </c>
      <c r="F167" s="5">
        <f>IF('Monthly Projection'!A167="",0,'Monthly Projection'!G167)</f>
        <v>383671.77962115372</v>
      </c>
    </row>
    <row r="168" spans="1:6">
      <c r="A168">
        <f>IF(AND('Mortgage Inputs'!$B$12,162&lt;=IF('Mortgage Inputs'!$B$12,'Mortgage Inputs'!$B$7,0)*12+600,ISNUMBER(E167),E167&gt;0.005),162,"")</f>
        <v>162</v>
      </c>
      <c r="B168" s="5">
        <f t="shared" si="5"/>
        <v>497647.18002188212</v>
      </c>
      <c r="C168" s="5">
        <f>IF(A168="","",B168*'Mortgage Inputs'!$B$15)</f>
        <v>2649.9712336165221</v>
      </c>
      <c r="D168" s="5">
        <f>IF(A168="","",MIN(B168,MAX(0,'Mortgage Inputs'!$B$17-C168)))</f>
        <v>1411.5621341908313</v>
      </c>
      <c r="E168" s="5">
        <f t="shared" si="4"/>
        <v>496235.6178876913</v>
      </c>
      <c r="F168" s="5">
        <f>IF('Monthly Projection'!A168="",0,'Monthly Projection'!G168)</f>
        <v>380958.38597982901</v>
      </c>
    </row>
    <row r="169" spans="1:6">
      <c r="A169">
        <f>IF(AND('Mortgage Inputs'!$B$12,163&lt;=IF('Mortgage Inputs'!$B$12,'Mortgage Inputs'!$B$7,0)*12+600,ISNUMBER(E168),E168&gt;0.005),163,"")</f>
        <v>163</v>
      </c>
      <c r="B169" s="5">
        <f t="shared" si="5"/>
        <v>496235.6178876913</v>
      </c>
      <c r="C169" s="5">
        <f>IF(A169="","",B169*'Mortgage Inputs'!$B$15)</f>
        <v>2642.4546652519562</v>
      </c>
      <c r="D169" s="5">
        <f>IF(A169="","",MIN(B169,MAX(0,'Mortgage Inputs'!$B$17-C169)))</f>
        <v>1419.0787025553973</v>
      </c>
      <c r="E169" s="5">
        <f t="shared" si="4"/>
        <v>494816.53918513592</v>
      </c>
      <c r="F169" s="5">
        <f>IF('Monthly Projection'!A169="",0,'Monthly Projection'!G169)</f>
        <v>378227.88101736427</v>
      </c>
    </row>
    <row r="170" spans="1:6">
      <c r="A170">
        <f>IF(AND('Mortgage Inputs'!$B$12,164&lt;=IF('Mortgage Inputs'!$B$12,'Mortgage Inputs'!$B$7,0)*12+600,ISNUMBER(E169),E169&gt;0.005),164,"")</f>
        <v>164</v>
      </c>
      <c r="B170" s="5">
        <f t="shared" si="5"/>
        <v>494816.53918513592</v>
      </c>
      <c r="C170" s="5">
        <f>IF(A170="","",B170*'Mortgage Inputs'!$B$15)</f>
        <v>2634.8980711608488</v>
      </c>
      <c r="D170" s="5">
        <f>IF(A170="","",MIN(B170,MAX(0,'Mortgage Inputs'!$B$17-C170)))</f>
        <v>1426.6352966465047</v>
      </c>
      <c r="E170" s="5">
        <f t="shared" si="4"/>
        <v>493389.90388848941</v>
      </c>
      <c r="F170" s="5">
        <f>IF('Monthly Projection'!A170="",0,'Monthly Projection'!G170)</f>
        <v>375480.17361597437</v>
      </c>
    </row>
    <row r="171" spans="1:6">
      <c r="A171">
        <f>IF(AND('Mortgage Inputs'!$B$12,165&lt;=IF('Mortgage Inputs'!$B$12,'Mortgage Inputs'!$B$7,0)*12+600,ISNUMBER(E170),E170&gt;0.005),165,"")</f>
        <v>165</v>
      </c>
      <c r="B171" s="5">
        <f t="shared" si="5"/>
        <v>493389.90388848941</v>
      </c>
      <c r="C171" s="5">
        <f>IF(A171="","",B171*'Mortgage Inputs'!$B$15)</f>
        <v>2627.3012382062061</v>
      </c>
      <c r="D171" s="5">
        <f>IF(A171="","",MIN(B171,MAX(0,'Mortgage Inputs'!$B$17-C171)))</f>
        <v>1434.2321296011473</v>
      </c>
      <c r="E171" s="5">
        <f t="shared" si="4"/>
        <v>491955.67175888829</v>
      </c>
      <c r="F171" s="5">
        <f>IF('Monthly Projection'!A171="",0,'Monthly Projection'!G171)</f>
        <v>372715.17217267206</v>
      </c>
    </row>
    <row r="172" spans="1:6">
      <c r="A172">
        <f>IF(AND('Mortgage Inputs'!$B$12,166&lt;=IF('Mortgage Inputs'!$B$12,'Mortgage Inputs'!$B$7,0)*12+600,ISNUMBER(E171),E171&gt;0.005),166,"")</f>
        <v>166</v>
      </c>
      <c r="B172" s="5">
        <f t="shared" si="5"/>
        <v>491955.67175888829</v>
      </c>
      <c r="C172" s="5">
        <f>IF(A172="","",B172*'Mortgage Inputs'!$B$15)</f>
        <v>2619.6639521160801</v>
      </c>
      <c r="D172" s="5">
        <f>IF(A172="","",MIN(B172,MAX(0,'Mortgage Inputs'!$B$17-C172)))</f>
        <v>1441.8694156912734</v>
      </c>
      <c r="E172" s="5">
        <f t="shared" si="4"/>
        <v>490513.80234319699</v>
      </c>
      <c r="F172" s="5">
        <f>IF('Monthly Projection'!A172="",0,'Monthly Projection'!G172)</f>
        <v>369932.78459668416</v>
      </c>
    </row>
    <row r="173" spans="1:6">
      <c r="A173">
        <f>IF(AND('Mortgage Inputs'!$B$12,167&lt;=IF('Mortgage Inputs'!$B$12,'Mortgage Inputs'!$B$7,0)*12+600,ISNUMBER(E172),E172&gt;0.005),167,"")</f>
        <v>167</v>
      </c>
      <c r="B173" s="5">
        <f t="shared" si="5"/>
        <v>490513.80234319699</v>
      </c>
      <c r="C173" s="5">
        <f>IF(A173="","",B173*'Mortgage Inputs'!$B$15)</f>
        <v>2611.9859974775241</v>
      </c>
      <c r="D173" s="5">
        <f>IF(A173="","",MIN(B173,MAX(0,'Mortgage Inputs'!$B$17-C173)))</f>
        <v>1449.5473703298294</v>
      </c>
      <c r="E173" s="5">
        <f t="shared" si="4"/>
        <v>489064.25497286714</v>
      </c>
      <c r="F173" s="5">
        <f>IF('Monthly Projection'!A173="",0,'Monthly Projection'!G173)</f>
        <v>367132.91830685415</v>
      </c>
    </row>
    <row r="174" spans="1:6">
      <c r="A174">
        <f>IF(AND('Mortgage Inputs'!$B$12,168&lt;=IF('Mortgage Inputs'!$B$12,'Mortgage Inputs'!$B$7,0)*12+600,ISNUMBER(E173),E173&gt;0.005),168,"")</f>
        <v>168</v>
      </c>
      <c r="B174" s="5">
        <f t="shared" si="5"/>
        <v>489064.25497286714</v>
      </c>
      <c r="C174" s="5">
        <f>IF(A174="","",B174*'Mortgage Inputs'!$B$15)</f>
        <v>2604.2671577305173</v>
      </c>
      <c r="D174" s="5">
        <f>IF(A174="","",MIN(B174,MAX(0,'Mortgage Inputs'!$B$17-C174)))</f>
        <v>1457.2662100768362</v>
      </c>
      <c r="E174" s="5">
        <f t="shared" si="4"/>
        <v>487606.98876279028</v>
      </c>
      <c r="F174" s="5">
        <f>IF('Monthly Projection'!A174="",0,'Monthly Projection'!G174)</f>
        <v>364315.48022903077</v>
      </c>
    </row>
    <row r="175" spans="1:6">
      <c r="A175">
        <f>IF(AND('Mortgage Inputs'!$B$12,169&lt;=IF('Mortgage Inputs'!$B$12,'Mortgage Inputs'!$B$7,0)*12+600,ISNUMBER(E174),E174&gt;0.005),169,"")</f>
        <v>169</v>
      </c>
      <c r="B175" s="5">
        <f t="shared" si="5"/>
        <v>487606.98876279028</v>
      </c>
      <c r="C175" s="5">
        <f>IF(A175="","",B175*'Mortgage Inputs'!$B$15)</f>
        <v>2596.5072151618583</v>
      </c>
      <c r="D175" s="5">
        <f>IF(A175="","",MIN(B175,MAX(0,'Mortgage Inputs'!$B$17-C175)))</f>
        <v>1465.0261526454951</v>
      </c>
      <c r="E175" s="5">
        <f t="shared" si="4"/>
        <v>486141.96261014481</v>
      </c>
      <c r="F175" s="5">
        <f>IF('Monthly Projection'!A175="",0,'Monthly Projection'!G175)</f>
        <v>361480.37679344299</v>
      </c>
    </row>
    <row r="176" spans="1:6">
      <c r="A176">
        <f>IF(AND('Mortgage Inputs'!$B$12,170&lt;=IF('Mortgage Inputs'!$B$12,'Mortgage Inputs'!$B$7,0)*12+600,ISNUMBER(E175),E175&gt;0.005),170,"")</f>
        <v>170</v>
      </c>
      <c r="B176" s="5">
        <f t="shared" si="5"/>
        <v>486141.96261014481</v>
      </c>
      <c r="C176" s="5">
        <f>IF(A176="","",B176*'Mortgage Inputs'!$B$15)</f>
        <v>2588.705950899021</v>
      </c>
      <c r="D176" s="5">
        <f>IF(A176="","",MIN(B176,MAX(0,'Mortgage Inputs'!$B$17-C176)))</f>
        <v>1472.8274169083325</v>
      </c>
      <c r="E176" s="5">
        <f t="shared" si="4"/>
        <v>484669.13519323646</v>
      </c>
      <c r="F176" s="5">
        <f>IF('Monthly Projection'!A176="",0,'Monthly Projection'!G176)</f>
        <v>358627.51393206074</v>
      </c>
    </row>
    <row r="177" spans="1:6">
      <c r="A177">
        <f>IF(AND('Mortgage Inputs'!$B$12,171&lt;=IF('Mortgage Inputs'!$B$12,'Mortgage Inputs'!$B$7,0)*12+600,ISNUMBER(E176),E176&gt;0.005),171,"")</f>
        <v>171</v>
      </c>
      <c r="B177" s="5">
        <f t="shared" si="5"/>
        <v>484669.13519323646</v>
      </c>
      <c r="C177" s="5">
        <f>IF(A177="","",B177*'Mortgage Inputs'!$B$15)</f>
        <v>2580.863144903984</v>
      </c>
      <c r="D177" s="5">
        <f>IF(A177="","",MIN(B177,MAX(0,'Mortgage Inputs'!$B$17-C177)))</f>
        <v>1480.6702229033694</v>
      </c>
      <c r="E177" s="5">
        <f t="shared" si="4"/>
        <v>483188.46497033309</v>
      </c>
      <c r="F177" s="5">
        <f>IF('Monthly Projection'!A177="",0,'Monthly Projection'!G177)</f>
        <v>355756.79707594163</v>
      </c>
    </row>
    <row r="178" spans="1:6">
      <c r="A178">
        <f>IF(AND('Mortgage Inputs'!$B$12,172&lt;=IF('Mortgage Inputs'!$B$12,'Mortgage Inputs'!$B$7,0)*12+600,ISNUMBER(E177),E177&gt;0.005),172,"")</f>
        <v>172</v>
      </c>
      <c r="B178" s="5">
        <f t="shared" si="5"/>
        <v>483188.46497033309</v>
      </c>
      <c r="C178" s="5">
        <f>IF(A178="","",B178*'Mortgage Inputs'!$B$15)</f>
        <v>2572.9785759670235</v>
      </c>
      <c r="D178" s="5">
        <f>IF(A178="","",MIN(B178,MAX(0,'Mortgage Inputs'!$B$17-C178)))</f>
        <v>1488.5547918403299</v>
      </c>
      <c r="E178" s="5">
        <f t="shared" si="4"/>
        <v>481699.91017849278</v>
      </c>
      <c r="F178" s="5">
        <f>IF('Monthly Projection'!A178="",0,'Monthly Projection'!G178)</f>
        <v>352868.13115256367</v>
      </c>
    </row>
    <row r="179" spans="1:6">
      <c r="A179">
        <f>IF(AND('Mortgage Inputs'!$B$12,173&lt;=IF('Mortgage Inputs'!$B$12,'Mortgage Inputs'!$B$7,0)*12+600,ISNUMBER(E178),E178&gt;0.005),173,"")</f>
        <v>173</v>
      </c>
      <c r="B179" s="5">
        <f t="shared" si="5"/>
        <v>481699.91017849278</v>
      </c>
      <c r="C179" s="5">
        <f>IF(A179="","",B179*'Mortgage Inputs'!$B$15)</f>
        <v>2565.0520217004741</v>
      </c>
      <c r="D179" s="5">
        <f>IF(A179="","",MIN(B179,MAX(0,'Mortgage Inputs'!$B$17-C179)))</f>
        <v>1496.4813461068793</v>
      </c>
      <c r="E179" s="5">
        <f t="shared" si="4"/>
        <v>480203.42883238592</v>
      </c>
      <c r="F179" s="5">
        <f>IF('Monthly Projection'!A179="",0,'Monthly Projection'!G179)</f>
        <v>349961.42058314371</v>
      </c>
    </row>
    <row r="180" spans="1:6">
      <c r="A180">
        <f>IF(AND('Mortgage Inputs'!$B$12,174&lt;=IF('Mortgage Inputs'!$B$12,'Mortgage Inputs'!$B$7,0)*12+600,ISNUMBER(E179),E179&gt;0.005),174,"")</f>
        <v>174</v>
      </c>
      <c r="B180" s="5">
        <f t="shared" si="5"/>
        <v>480203.42883238592</v>
      </c>
      <c r="C180" s="5">
        <f>IF(A180="","",B180*'Mortgage Inputs'!$B$15)</f>
        <v>2557.0832585324551</v>
      </c>
      <c r="D180" s="5">
        <f>IF(A180="","",MIN(B180,MAX(0,'Mortgage Inputs'!$B$17-C180)))</f>
        <v>1504.4501092748983</v>
      </c>
      <c r="E180" s="5">
        <f t="shared" si="4"/>
        <v>478698.97872311104</v>
      </c>
      <c r="F180" s="5">
        <f>IF('Monthly Projection'!A180="",0,'Monthly Projection'!G180)</f>
        <v>347036.56927994161</v>
      </c>
    </row>
    <row r="181" spans="1:6">
      <c r="A181">
        <f>IF(AND('Mortgage Inputs'!$B$12,175&lt;=IF('Mortgage Inputs'!$B$12,'Mortgage Inputs'!$B$7,0)*12+600,ISNUMBER(E180),E180&gt;0.005),175,"")</f>
        <v>175</v>
      </c>
      <c r="B181" s="5">
        <f t="shared" si="5"/>
        <v>478698.97872311104</v>
      </c>
      <c r="C181" s="5">
        <f>IF(A181="","",B181*'Mortgage Inputs'!$B$15)</f>
        <v>2549.0720617005663</v>
      </c>
      <c r="D181" s="5">
        <f>IF(A181="","",MIN(B181,MAX(0,'Mortgage Inputs'!$B$17-C181)))</f>
        <v>1512.4613061067871</v>
      </c>
      <c r="E181" s="5">
        <f t="shared" si="4"/>
        <v>477186.51741700427</v>
      </c>
      <c r="F181" s="5">
        <f>IF('Monthly Projection'!A181="",0,'Monthly Projection'!G181)</f>
        <v>344093.48064354993</v>
      </c>
    </row>
    <row r="182" spans="1:6">
      <c r="A182">
        <f>IF(AND('Mortgage Inputs'!$B$12,176&lt;=IF('Mortgage Inputs'!$B$12,'Mortgage Inputs'!$B$7,0)*12+600,ISNUMBER(E181),E181&gt;0.005),176,"")</f>
        <v>176</v>
      </c>
      <c r="B182" s="5">
        <f t="shared" si="5"/>
        <v>477186.51741700427</v>
      </c>
      <c r="C182" s="5">
        <f>IF(A182="","",B182*'Mortgage Inputs'!$B$15)</f>
        <v>2541.0182052455475</v>
      </c>
      <c r="D182" s="5">
        <f>IF(A182="","",MIN(B182,MAX(0,'Mortgage Inputs'!$B$17-C182)))</f>
        <v>1520.5151625618059</v>
      </c>
      <c r="E182" s="5">
        <f t="shared" si="4"/>
        <v>475666.00225444249</v>
      </c>
      <c r="F182" s="5">
        <f>IF('Monthly Projection'!A182="",0,'Monthly Projection'!G182)</f>
        <v>341132.05756016949</v>
      </c>
    </row>
    <row r="183" spans="1:6">
      <c r="A183">
        <f>IF(AND('Mortgage Inputs'!$B$12,177&lt;=IF('Mortgage Inputs'!$B$12,'Mortgage Inputs'!$B$7,0)*12+600,ISNUMBER(E182),E182&gt;0.005),177,"")</f>
        <v>177</v>
      </c>
      <c r="B183" s="5">
        <f t="shared" si="5"/>
        <v>475666.00225444249</v>
      </c>
      <c r="C183" s="5">
        <f>IF(A183="","",B183*'Mortgage Inputs'!$B$15)</f>
        <v>2532.9214620049061</v>
      </c>
      <c r="D183" s="5">
        <f>IF(A183="","",MIN(B183,MAX(0,'Mortgage Inputs'!$B$17-C183)))</f>
        <v>1528.6119058024474</v>
      </c>
      <c r="E183" s="5">
        <f t="shared" si="4"/>
        <v>474137.39034864004</v>
      </c>
      <c r="F183" s="5">
        <f>IF('Monthly Projection'!A183="",0,'Monthly Projection'!G183)</f>
        <v>338152.20239887002</v>
      </c>
    </row>
    <row r="184" spans="1:6">
      <c r="A184">
        <f>IF(AND('Mortgage Inputs'!$B$12,178&lt;=IF('Mortgage Inputs'!$B$12,'Mortgage Inputs'!$B$7,0)*12+600,ISNUMBER(E183),E183&gt;0.005),178,"")</f>
        <v>178</v>
      </c>
      <c r="B184" s="5">
        <f t="shared" si="5"/>
        <v>474137.39034864004</v>
      </c>
      <c r="C184" s="5">
        <f>IF(A184="","",B184*'Mortgage Inputs'!$B$15)</f>
        <v>2524.7816036065083</v>
      </c>
      <c r="D184" s="5">
        <f>IF(A184="","",MIN(B184,MAX(0,'Mortgage Inputs'!$B$17-C184)))</f>
        <v>1536.7517642008452</v>
      </c>
      <c r="E184" s="5">
        <f t="shared" si="4"/>
        <v>472600.63858443918</v>
      </c>
      <c r="F184" s="5">
        <f>IF('Monthly Projection'!A184="",0,'Monthly Projection'!G184)</f>
        <v>335153.81700883666</v>
      </c>
    </row>
    <row r="185" spans="1:6">
      <c r="A185">
        <f>IF(AND('Mortgage Inputs'!$B$12,179&lt;=IF('Mortgage Inputs'!$B$12,'Mortgage Inputs'!$B$7,0)*12+600,ISNUMBER(E184),E184&gt;0.005),179,"")</f>
        <v>179</v>
      </c>
      <c r="B185" s="5">
        <f t="shared" si="5"/>
        <v>472600.63858443918</v>
      </c>
      <c r="C185" s="5">
        <f>IF(A185="","",B185*'Mortgage Inputs'!$B$15)</f>
        <v>2516.5984004621387</v>
      </c>
      <c r="D185" s="5">
        <f>IF(A185="","",MIN(B185,MAX(0,'Mortgage Inputs'!$B$17-C185)))</f>
        <v>1544.9349673452148</v>
      </c>
      <c r="E185" s="5">
        <f t="shared" si="4"/>
        <v>471055.70361709397</v>
      </c>
      <c r="F185" s="5">
        <f>IF('Monthly Projection'!A185="",0,'Monthly Projection'!G185)</f>
        <v>332136.80271660135</v>
      </c>
    </row>
    <row r="186" spans="1:6">
      <c r="A186">
        <f>IF(AND('Mortgage Inputs'!$B$12,180&lt;=IF('Mortgage Inputs'!$B$12,'Mortgage Inputs'!$B$7,0)*12+600,ISNUMBER(E185),E185&gt;0.005),180,"")</f>
        <v>180</v>
      </c>
      <c r="B186" s="5">
        <f t="shared" si="5"/>
        <v>471055.70361709397</v>
      </c>
      <c r="C186" s="5">
        <f>IF(A186="","",B186*'Mortgage Inputs'!$B$15)</f>
        <v>2508.3716217610254</v>
      </c>
      <c r="D186" s="5">
        <f>IF(A186="","",MIN(B186,MAX(0,'Mortgage Inputs'!$B$17-C186)))</f>
        <v>1553.1617460463281</v>
      </c>
      <c r="E186" s="5">
        <f t="shared" si="4"/>
        <v>469502.54187104764</v>
      </c>
      <c r="F186" s="5">
        <f>IF('Monthly Projection'!A186="",0,'Monthly Projection'!G186)</f>
        <v>329101.06032325991</v>
      </c>
    </row>
    <row r="187" spans="1:6">
      <c r="A187">
        <f>IF(AND('Mortgage Inputs'!$B$12,181&lt;=IF('Mortgage Inputs'!$B$12,'Mortgage Inputs'!$B$7,0)*12+600,ISNUMBER(E186),E186&gt;0.005),181,"")</f>
        <v>181</v>
      </c>
      <c r="B187" s="5">
        <f t="shared" si="5"/>
        <v>469502.54187104764</v>
      </c>
      <c r="C187" s="5">
        <f>IF(A187="","",B187*'Mortgage Inputs'!$B$15)</f>
        <v>2500.1010354633286</v>
      </c>
      <c r="D187" s="5">
        <f>IF(A187="","",MIN(B187,MAX(0,'Mortgage Inputs'!$B$17-C187)))</f>
        <v>1561.4323323440249</v>
      </c>
      <c r="E187" s="5">
        <f t="shared" si="4"/>
        <v>467941.10953870363</v>
      </c>
      <c r="F187" s="5">
        <f>IF('Monthly Projection'!A187="",0,'Monthly Projection'!G187)</f>
        <v>326046.49010167393</v>
      </c>
    </row>
    <row r="188" spans="1:6">
      <c r="A188">
        <f>IF(AND('Mortgage Inputs'!$B$12,182&lt;=IF('Mortgage Inputs'!$B$12,'Mortgage Inputs'!$B$7,0)*12+600,ISNUMBER(E187),E187&gt;0.005),182,"")</f>
        <v>182</v>
      </c>
      <c r="B188" s="5">
        <f t="shared" si="5"/>
        <v>467941.10953870363</v>
      </c>
      <c r="C188" s="5">
        <f>IF(A188="","",B188*'Mortgage Inputs'!$B$15)</f>
        <v>2491.7864082935967</v>
      </c>
      <c r="D188" s="5">
        <f>IF(A188="","",MIN(B188,MAX(0,'Mortgage Inputs'!$B$17-C188)))</f>
        <v>1569.7469595137568</v>
      </c>
      <c r="E188" s="5">
        <f t="shared" si="4"/>
        <v>466371.36257918988</v>
      </c>
      <c r="F188" s="5">
        <f>IF('Monthly Projection'!A188="",0,'Monthly Projection'!G188)</f>
        <v>322972.991793658</v>
      </c>
    </row>
    <row r="189" spans="1:6">
      <c r="A189">
        <f>IF(AND('Mortgage Inputs'!$B$12,183&lt;=IF('Mortgage Inputs'!$B$12,'Mortgage Inputs'!$B$7,0)*12+600,ISNUMBER(E188),E188&gt;0.005),183,"")</f>
        <v>183</v>
      </c>
      <c r="B189" s="5">
        <f t="shared" si="5"/>
        <v>466371.36257918988</v>
      </c>
      <c r="C189" s="5">
        <f>IF(A189="","",B189*'Mortgage Inputs'!$B$15)</f>
        <v>2483.4275057341861</v>
      </c>
      <c r="D189" s="5">
        <f>IF(A189="","",MIN(B189,MAX(0,'Mortgage Inputs'!$B$17-C189)))</f>
        <v>1578.1058620731674</v>
      </c>
      <c r="E189" s="5">
        <f t="shared" si="4"/>
        <v>464793.25671711669</v>
      </c>
      <c r="F189" s="5">
        <f>IF('Monthly Projection'!A189="",0,'Monthly Projection'!G189)</f>
        <v>319880.46460715187</v>
      </c>
    </row>
    <row r="190" spans="1:6">
      <c r="A190">
        <f>IF(AND('Mortgage Inputs'!$B$12,184&lt;=IF('Mortgage Inputs'!$B$12,'Mortgage Inputs'!$B$7,0)*12+600,ISNUMBER(E189),E189&gt;0.005),184,"")</f>
        <v>184</v>
      </c>
      <c r="B190" s="5">
        <f t="shared" si="5"/>
        <v>464793.25671711669</v>
      </c>
      <c r="C190" s="5">
        <f>IF(A190="","",B190*'Mortgage Inputs'!$B$15)</f>
        <v>2475.0240920186461</v>
      </c>
      <c r="D190" s="5">
        <f>IF(A190="","",MIN(B190,MAX(0,'Mortgage Inputs'!$B$17-C190)))</f>
        <v>1586.5092757887073</v>
      </c>
      <c r="E190" s="5">
        <f t="shared" si="4"/>
        <v>463206.74744132796</v>
      </c>
      <c r="F190" s="5">
        <f>IF('Monthly Projection'!A190="",0,'Monthly Projection'!G190)</f>
        <v>316768.80721337761</v>
      </c>
    </row>
    <row r="191" spans="1:6">
      <c r="A191">
        <f>IF(AND('Mortgage Inputs'!$B$12,185&lt;=IF('Mortgage Inputs'!$B$12,'Mortgage Inputs'!$B$7,0)*12+600,ISNUMBER(E190),E190&gt;0.005),185,"")</f>
        <v>185</v>
      </c>
      <c r="B191" s="5">
        <f t="shared" si="5"/>
        <v>463206.74744132796</v>
      </c>
      <c r="C191" s="5">
        <f>IF(A191="","",B191*'Mortgage Inputs'!$B$15)</f>
        <v>2466.5759301250714</v>
      </c>
      <c r="D191" s="5">
        <f>IF(A191="","",MIN(B191,MAX(0,'Mortgage Inputs'!$B$17-C191)))</f>
        <v>1594.957437682282</v>
      </c>
      <c r="E191" s="5">
        <f t="shared" si="4"/>
        <v>461611.7900036457</v>
      </c>
      <c r="F191" s="5">
        <f>IF('Monthly Projection'!A191="",0,'Monthly Projection'!G191)</f>
        <v>313637.91774398152</v>
      </c>
    </row>
    <row r="192" spans="1:6">
      <c r="A192">
        <f>IF(AND('Mortgage Inputs'!$B$12,186&lt;=IF('Mortgage Inputs'!$B$12,'Mortgage Inputs'!$B$7,0)*12+600,ISNUMBER(E191),E191&gt;0.005),186,"")</f>
        <v>186</v>
      </c>
      <c r="B192" s="5">
        <f t="shared" si="5"/>
        <v>461611.7900036457</v>
      </c>
      <c r="C192" s="5">
        <f>IF(A192="","",B192*'Mortgage Inputs'!$B$15)</f>
        <v>2458.0827817694135</v>
      </c>
      <c r="D192" s="5">
        <f>IF(A192="","",MIN(B192,MAX(0,'Mortgage Inputs'!$B$17-C192)))</f>
        <v>1603.45058603794</v>
      </c>
      <c r="E192" s="5">
        <f t="shared" si="4"/>
        <v>460008.33941760776</v>
      </c>
      <c r="F192" s="5">
        <f>IF('Monthly Projection'!A192="",0,'Monthly Projection'!G192)</f>
        <v>310487.69378816086</v>
      </c>
    </row>
    <row r="193" spans="1:6">
      <c r="A193">
        <f>IF(AND('Mortgage Inputs'!$B$12,187&lt;=IF('Mortgage Inputs'!$B$12,'Mortgage Inputs'!$B$7,0)*12+600,ISNUMBER(E192),E192&gt;0.005),187,"")</f>
        <v>187</v>
      </c>
      <c r="B193" s="5">
        <f t="shared" si="5"/>
        <v>460008.33941760776</v>
      </c>
      <c r="C193" s="5">
        <f>IF(A193="","",B193*'Mortgage Inputs'!$B$15)</f>
        <v>2449.5444073987615</v>
      </c>
      <c r="D193" s="5">
        <f>IF(A193="","",MIN(B193,MAX(0,'Mortgage Inputs'!$B$17-C193)))</f>
        <v>1611.988960408592</v>
      </c>
      <c r="E193" s="5">
        <f t="shared" si="4"/>
        <v>458396.35045719915</v>
      </c>
      <c r="F193" s="5">
        <f>IF('Monthly Projection'!A193="",0,'Monthly Projection'!G193)</f>
        <v>307318.03238977544</v>
      </c>
    </row>
    <row r="194" spans="1:6">
      <c r="A194">
        <f>IF(AND('Mortgage Inputs'!$B$12,188&lt;=IF('Mortgage Inputs'!$B$12,'Mortgage Inputs'!$B$7,0)*12+600,ISNUMBER(E193),E193&gt;0.005),188,"")</f>
        <v>188</v>
      </c>
      <c r="B194" s="5">
        <f t="shared" si="5"/>
        <v>458396.35045719915</v>
      </c>
      <c r="C194" s="5">
        <f>IF(A194="","",B194*'Mortgage Inputs'!$B$15)</f>
        <v>2440.9605661845853</v>
      </c>
      <c r="D194" s="5">
        <f>IF(A194="","",MIN(B194,MAX(0,'Mortgage Inputs'!$B$17-C194)))</f>
        <v>1620.5728016227681</v>
      </c>
      <c r="E194" s="5">
        <f t="shared" si="4"/>
        <v>456775.77765557636</v>
      </c>
      <c r="F194" s="5">
        <f>IF('Monthly Projection'!A194="",0,'Monthly Projection'!G194)</f>
        <v>304128.83004444366</v>
      </c>
    </row>
    <row r="195" spans="1:6">
      <c r="A195">
        <f>IF(AND('Mortgage Inputs'!$B$12,189&lt;=IF('Mortgage Inputs'!$B$12,'Mortgage Inputs'!$B$7,0)*12+600,ISNUMBER(E194),E194&gt;0.005),189,"")</f>
        <v>189</v>
      </c>
      <c r="B195" s="5">
        <f t="shared" si="5"/>
        <v>456775.77765557636</v>
      </c>
      <c r="C195" s="5">
        <f>IF(A195="","",B195*'Mortgage Inputs'!$B$15)</f>
        <v>2432.331016015944</v>
      </c>
      <c r="D195" s="5">
        <f>IF(A195="","",MIN(B195,MAX(0,'Mortgage Inputs'!$B$17-C195)))</f>
        <v>1629.2023517914095</v>
      </c>
      <c r="E195" s="5">
        <f t="shared" si="4"/>
        <v>455146.57530378492</v>
      </c>
      <c r="F195" s="5">
        <f>IF('Monthly Projection'!A195="",0,'Monthly Projection'!G195)</f>
        <v>300919.98269662296</v>
      </c>
    </row>
    <row r="196" spans="1:6">
      <c r="A196">
        <f>IF(AND('Mortgage Inputs'!$B$12,190&lt;=IF('Mortgage Inputs'!$B$12,'Mortgage Inputs'!$B$7,0)*12+600,ISNUMBER(E195),E195&gt;0.005),190,"")</f>
        <v>190</v>
      </c>
      <c r="B196" s="5">
        <f t="shared" si="5"/>
        <v>455146.57530378492</v>
      </c>
      <c r="C196" s="5">
        <f>IF(A196="","",B196*'Mortgage Inputs'!$B$15)</f>
        <v>2423.6555134926548</v>
      </c>
      <c r="D196" s="5">
        <f>IF(A196="","",MIN(B196,MAX(0,'Mortgage Inputs'!$B$17-C196)))</f>
        <v>1637.8778543146987</v>
      </c>
      <c r="E196" s="5">
        <f t="shared" si="4"/>
        <v>453508.69744947023</v>
      </c>
      <c r="F196" s="5">
        <f>IF('Monthly Projection'!A196="",0,'Monthly Projection'!G196)</f>
        <v>297691.38573667512</v>
      </c>
    </row>
    <row r="197" spans="1:6">
      <c r="A197">
        <f>IF(AND('Mortgage Inputs'!$B$12,191&lt;=IF('Mortgage Inputs'!$B$12,'Mortgage Inputs'!$B$7,0)*12+600,ISNUMBER(E196),E196&gt;0.005),191,"")</f>
        <v>191</v>
      </c>
      <c r="B197" s="5">
        <f t="shared" si="5"/>
        <v>453508.69744947023</v>
      </c>
      <c r="C197" s="5">
        <f>IF(A197="","",B197*'Mortgage Inputs'!$B$15)</f>
        <v>2414.9338139184288</v>
      </c>
      <c r="D197" s="5">
        <f>IF(A197="","",MIN(B197,MAX(0,'Mortgage Inputs'!$B$17-C197)))</f>
        <v>1646.5995538889247</v>
      </c>
      <c r="E197" s="5">
        <f t="shared" si="4"/>
        <v>451862.09789558133</v>
      </c>
      <c r="F197" s="5">
        <f>IF('Monthly Projection'!A197="",0,'Monthly Projection'!G197)</f>
        <v>294442.93399791553</v>
      </c>
    </row>
    <row r="198" spans="1:6">
      <c r="A198">
        <f>IF(AND('Mortgage Inputs'!$B$12,192&lt;=IF('Mortgage Inputs'!$B$12,'Mortgage Inputs'!$B$7,0)*12+600,ISNUMBER(E197),E197&gt;0.005),192,"")</f>
        <v>192</v>
      </c>
      <c r="B198" s="5">
        <f t="shared" si="5"/>
        <v>451862.09789558133</v>
      </c>
      <c r="C198" s="5">
        <f>IF(A198="","",B198*'Mortgage Inputs'!$B$15)</f>
        <v>2406.1656712939707</v>
      </c>
      <c r="D198" s="5">
        <f>IF(A198="","",MIN(B198,MAX(0,'Mortgage Inputs'!$B$17-C198)))</f>
        <v>1655.3676965133827</v>
      </c>
      <c r="E198" s="5">
        <f t="shared" si="4"/>
        <v>450206.73019906797</v>
      </c>
      <c r="F198" s="5">
        <f>IF('Monthly Projection'!A198="",0,'Monthly Projection'!G198)</f>
        <v>291174.52175364707</v>
      </c>
    </row>
    <row r="199" spans="1:6">
      <c r="A199">
        <f>IF(AND('Mortgage Inputs'!$B$12,193&lt;=IF('Mortgage Inputs'!$B$12,'Mortgage Inputs'!$B$7,0)*12+600,ISNUMBER(E198),E198&gt;0.005),193,"")</f>
        <v>193</v>
      </c>
      <c r="B199" s="5">
        <f t="shared" si="5"/>
        <v>450206.73019906797</v>
      </c>
      <c r="C199" s="5">
        <f>IF(A199="","",B199*'Mortgage Inputs'!$B$15)</f>
        <v>2397.350838310037</v>
      </c>
      <c r="D199" s="5">
        <f>IF(A199="","",MIN(B199,MAX(0,'Mortgage Inputs'!$B$17-C199)))</f>
        <v>1664.1825294973164</v>
      </c>
      <c r="E199" s="5">
        <f t="shared" ref="E199:E262" si="6">IF(A199="","",MAX(0,B199-D199))</f>
        <v>448542.54766957066</v>
      </c>
      <c r="F199" s="5">
        <f>IF('Monthly Projection'!A199="",0,'Monthly Projection'!G199)</f>
        <v>287886.04271417786</v>
      </c>
    </row>
    <row r="200" spans="1:6">
      <c r="A200">
        <f>IF(AND('Mortgage Inputs'!$B$12,194&lt;=IF('Mortgage Inputs'!$B$12,'Mortgage Inputs'!$B$7,0)*12+600,ISNUMBER(E199),E199&gt;0.005),194,"")</f>
        <v>194</v>
      </c>
      <c r="B200" s="5">
        <f t="shared" ref="B200:B263" si="7">IF(A200="","",E199)</f>
        <v>448542.54766957066</v>
      </c>
      <c r="C200" s="5">
        <f>IF(A200="","",B200*'Mortgage Inputs'!$B$15)</f>
        <v>2388.4890663404635</v>
      </c>
      <c r="D200" s="5">
        <f>IF(A200="","",MIN(B200,MAX(0,'Mortgage Inputs'!$B$17-C200)))</f>
        <v>1673.0443014668899</v>
      </c>
      <c r="E200" s="5">
        <f t="shared" si="6"/>
        <v>446869.50336810376</v>
      </c>
      <c r="F200" s="5">
        <f>IF('Monthly Projection'!A200="",0,'Monthly Projection'!G200)</f>
        <v>284577.39002382348</v>
      </c>
    </row>
    <row r="201" spans="1:6">
      <c r="A201">
        <f>IF(AND('Mortgage Inputs'!$B$12,195&lt;=IF('Mortgage Inputs'!$B$12,'Mortgage Inputs'!$B$7,0)*12+600,ISNUMBER(E200),E200&gt;0.005),195,"")</f>
        <v>195</v>
      </c>
      <c r="B201" s="5">
        <f t="shared" si="7"/>
        <v>446869.50336810376</v>
      </c>
      <c r="C201" s="5">
        <f>IF(A201="","",B201*'Mortgage Inputs'!$B$15)</f>
        <v>2379.5801054351523</v>
      </c>
      <c r="D201" s="5">
        <f>IF(A201="","",MIN(B201,MAX(0,'Mortgage Inputs'!$B$17-C201)))</f>
        <v>1681.9532623722012</v>
      </c>
      <c r="E201" s="5">
        <f t="shared" si="6"/>
        <v>445187.55010573159</v>
      </c>
      <c r="F201" s="5">
        <f>IF('Monthly Projection'!A201="",0,'Monthly Projection'!G201)</f>
        <v>281248.45625789301</v>
      </c>
    </row>
    <row r="202" spans="1:6">
      <c r="A202">
        <f>IF(AND('Mortgage Inputs'!$B$12,196&lt;=IF('Mortgage Inputs'!$B$12,'Mortgage Inputs'!$B$7,0)*12+600,ISNUMBER(E201),E201&gt;0.005),196,"")</f>
        <v>196</v>
      </c>
      <c r="B202" s="5">
        <f t="shared" si="7"/>
        <v>445187.55010573159</v>
      </c>
      <c r="C202" s="5">
        <f>IF(A202="","",B202*'Mortgage Inputs'!$B$15)</f>
        <v>2370.6237043130204</v>
      </c>
      <c r="D202" s="5">
        <f>IF(A202="","",MIN(B202,MAX(0,'Mortgage Inputs'!$B$17-C202)))</f>
        <v>1690.909663494333</v>
      </c>
      <c r="E202" s="5">
        <f t="shared" si="6"/>
        <v>443496.64044223726</v>
      </c>
      <c r="F202" s="5">
        <f>IF('Monthly Projection'!A202="",0,'Monthly Projection'!G202)</f>
        <v>277899.13341965893</v>
      </c>
    </row>
    <row r="203" spans="1:6">
      <c r="A203">
        <f>IF(AND('Mortgage Inputs'!$B$12,197&lt;=IF('Mortgage Inputs'!$B$12,'Mortgage Inputs'!$B$7,0)*12+600,ISNUMBER(E202),E202&gt;0.005),197,"")</f>
        <v>197</v>
      </c>
      <c r="B203" s="5">
        <f t="shared" si="7"/>
        <v>443496.64044223726</v>
      </c>
      <c r="C203" s="5">
        <f>IF(A203="","",B203*'Mortgage Inputs'!$B$15)</f>
        <v>2361.6196103549132</v>
      </c>
      <c r="D203" s="5">
        <f>IF(A203="","",MIN(B203,MAX(0,'Mortgage Inputs'!$B$17-C203)))</f>
        <v>1699.9137574524402</v>
      </c>
      <c r="E203" s="5">
        <f t="shared" si="6"/>
        <v>441796.72668478481</v>
      </c>
      <c r="F203" s="5">
        <f>IF('Monthly Projection'!A203="",0,'Monthly Projection'!G203)</f>
        <v>274529.31293731125</v>
      </c>
    </row>
    <row r="204" spans="1:6">
      <c r="A204">
        <f>IF(AND('Mortgage Inputs'!$B$12,198&lt;=IF('Mortgage Inputs'!$B$12,'Mortgage Inputs'!$B$7,0)*12+600,ISNUMBER(E203),E203&gt;0.005),198,"")</f>
        <v>198</v>
      </c>
      <c r="B204" s="5">
        <f t="shared" si="7"/>
        <v>441796.72668478481</v>
      </c>
      <c r="C204" s="5">
        <f>IF(A204="","",B204*'Mortgage Inputs'!$B$15)</f>
        <v>2352.5675695964792</v>
      </c>
      <c r="D204" s="5">
        <f>IF(A204="","",MIN(B204,MAX(0,'Mortgage Inputs'!$B$17-C204)))</f>
        <v>1708.9657982108743</v>
      </c>
      <c r="E204" s="5">
        <f t="shared" si="6"/>
        <v>440087.76088657393</v>
      </c>
      <c r="F204" s="5">
        <f>IF('Monthly Projection'!A204="",0,'Monthly Projection'!G204)</f>
        <v>271138.88566089509</v>
      </c>
    </row>
    <row r="205" spans="1:6">
      <c r="A205">
        <f>IF(AND('Mortgage Inputs'!$B$12,199&lt;=IF('Mortgage Inputs'!$B$12,'Mortgage Inputs'!$B$7,0)*12+600,ISNUMBER(E204),E204&gt;0.005),199,"")</f>
        <v>199</v>
      </c>
      <c r="B205" s="5">
        <f t="shared" si="7"/>
        <v>440087.76088657393</v>
      </c>
      <c r="C205" s="5">
        <f>IF(A205="","",B205*'Mortgage Inputs'!$B$15)</f>
        <v>2343.467326721006</v>
      </c>
      <c r="D205" s="5">
        <f>IF(A205="","",MIN(B205,MAX(0,'Mortgage Inputs'!$B$17-C205)))</f>
        <v>1718.0660410863475</v>
      </c>
      <c r="E205" s="5">
        <f t="shared" si="6"/>
        <v>438369.6948454876</v>
      </c>
      <c r="F205" s="5">
        <f>IF('Monthly Projection'!A205="",0,'Monthly Projection'!G205)</f>
        <v>267727.74185923202</v>
      </c>
    </row>
    <row r="206" spans="1:6">
      <c r="A206">
        <f>IF(AND('Mortgage Inputs'!$B$12,200&lt;=IF('Mortgage Inputs'!$B$12,'Mortgage Inputs'!$B$7,0)*12+600,ISNUMBER(E205),E205&gt;0.005),200,"")</f>
        <v>200</v>
      </c>
      <c r="B206" s="5">
        <f t="shared" si="7"/>
        <v>438369.6948454876</v>
      </c>
      <c r="C206" s="5">
        <f>IF(A206="","",B206*'Mortgage Inputs'!$B$15)</f>
        <v>2334.3186250522213</v>
      </c>
      <c r="D206" s="5">
        <f>IF(A206="","",MIN(B206,MAX(0,'Mortgage Inputs'!$B$17-C206)))</f>
        <v>1727.2147427551322</v>
      </c>
      <c r="E206" s="5">
        <f t="shared" si="6"/>
        <v>436642.48010273249</v>
      </c>
      <c r="F206" s="5">
        <f>IF('Monthly Projection'!A206="",0,'Monthly Projection'!G206)</f>
        <v>264295.77121682506</v>
      </c>
    </row>
    <row r="207" spans="1:6">
      <c r="A207">
        <f>IF(AND('Mortgage Inputs'!$B$12,201&lt;=IF('Mortgage Inputs'!$B$12,'Mortgage Inputs'!$B$7,0)*12+600,ISNUMBER(E206),E206&gt;0.005),201,"")</f>
        <v>201</v>
      </c>
      <c r="B207" s="5">
        <f t="shared" si="7"/>
        <v>436642.48010273249</v>
      </c>
      <c r="C207" s="5">
        <f>IF(A207="","",B207*'Mortgage Inputs'!$B$15)</f>
        <v>2325.1212065470504</v>
      </c>
      <c r="D207" s="5">
        <f>IF(A207="","",MIN(B207,MAX(0,'Mortgage Inputs'!$B$17-C207)))</f>
        <v>1736.412161260303</v>
      </c>
      <c r="E207" s="5">
        <f t="shared" si="6"/>
        <v>434906.06794147217</v>
      </c>
      <c r="F207" s="5">
        <f>IF('Monthly Projection'!A207="",0,'Monthly Projection'!G207)</f>
        <v>260842.8628307473</v>
      </c>
    </row>
    <row r="208" spans="1:6">
      <c r="A208">
        <f>IF(AND('Mortgage Inputs'!$B$12,202&lt;=IF('Mortgage Inputs'!$B$12,'Mortgage Inputs'!$B$7,0)*12+600,ISNUMBER(E207),E207&gt;0.005),202,"")</f>
        <v>202</v>
      </c>
      <c r="B208" s="5">
        <f t="shared" si="7"/>
        <v>434906.06794147217</v>
      </c>
      <c r="C208" s="5">
        <f>IF(A208="","",B208*'Mortgage Inputs'!$B$15)</f>
        <v>2315.8748117883392</v>
      </c>
      <c r="D208" s="5">
        <f>IF(A208="","",MIN(B208,MAX(0,'Mortgage Inputs'!$B$17-C208)))</f>
        <v>1745.6585560190142</v>
      </c>
      <c r="E208" s="5">
        <f t="shared" si="6"/>
        <v>433160.40938545315</v>
      </c>
      <c r="F208" s="5">
        <f>IF('Monthly Projection'!A208="",0,'Monthly Projection'!G208)</f>
        <v>257368.90520751369</v>
      </c>
    </row>
    <row r="209" spans="1:6">
      <c r="A209">
        <f>IF(AND('Mortgage Inputs'!$B$12,203&lt;=IF('Mortgage Inputs'!$B$12,'Mortgage Inputs'!$B$7,0)*12+600,ISNUMBER(E208),E208&gt;0.005),203,"")</f>
        <v>203</v>
      </c>
      <c r="B209" s="5">
        <f t="shared" si="7"/>
        <v>433160.40938545315</v>
      </c>
      <c r="C209" s="5">
        <f>IF(A209="","",B209*'Mortgage Inputs'!$B$15)</f>
        <v>2306.5791799775379</v>
      </c>
      <c r="D209" s="5">
        <f>IF(A209="","",MIN(B209,MAX(0,'Mortgage Inputs'!$B$17-C209)))</f>
        <v>1754.9541878298155</v>
      </c>
      <c r="E209" s="5">
        <f t="shared" si="6"/>
        <v>431405.45519762335</v>
      </c>
      <c r="F209" s="5">
        <f>IF('Monthly Projection'!A209="",0,'Monthly Projection'!G209)</f>
        <v>253873.78625993634</v>
      </c>
    </row>
    <row r="210" spans="1:6">
      <c r="A210">
        <f>IF(AND('Mortgage Inputs'!$B$12,204&lt;=IF('Mortgage Inputs'!$B$12,'Mortgage Inputs'!$B$7,0)*12+600,ISNUMBER(E209),E209&gt;0.005),204,"")</f>
        <v>204</v>
      </c>
      <c r="B210" s="5">
        <f t="shared" si="7"/>
        <v>431405.45519762335</v>
      </c>
      <c r="C210" s="5">
        <f>IF(A210="","",B210*'Mortgage Inputs'!$B$15)</f>
        <v>2297.2340489273442</v>
      </c>
      <c r="D210" s="5">
        <f>IF(A210="","",MIN(B210,MAX(0,'Mortgage Inputs'!$B$17-C210)))</f>
        <v>1764.2993188800092</v>
      </c>
      <c r="E210" s="5">
        <f t="shared" si="6"/>
        <v>429641.15587874333</v>
      </c>
      <c r="F210" s="5">
        <f>IF('Monthly Projection'!A210="",0,'Monthly Projection'!G210)</f>
        <v>250357.39330396315</v>
      </c>
    </row>
    <row r="211" spans="1:6">
      <c r="A211">
        <f>IF(AND('Mortgage Inputs'!$B$12,205&lt;=IF('Mortgage Inputs'!$B$12,'Mortgage Inputs'!$B$7,0)*12+600,ISNUMBER(E210),E210&gt;0.005),205,"")</f>
        <v>205</v>
      </c>
      <c r="B211" s="5">
        <f t="shared" si="7"/>
        <v>429641.15587874333</v>
      </c>
      <c r="C211" s="5">
        <f>IF(A211="","",B211*'Mortgage Inputs'!$B$15)</f>
        <v>2287.8391550543083</v>
      </c>
      <c r="D211" s="5">
        <f>IF(A211="","",MIN(B211,MAX(0,'Mortgage Inputs'!$B$17-C211)))</f>
        <v>1773.6942127530451</v>
      </c>
      <c r="E211" s="5">
        <f t="shared" si="6"/>
        <v>427867.4616659903</v>
      </c>
      <c r="F211" s="5">
        <f>IF('Monthly Projection'!A211="",0,'Monthly Projection'!G211)</f>
        <v>246819.61305549942</v>
      </c>
    </row>
    <row r="212" spans="1:6">
      <c r="A212">
        <f>IF(AND('Mortgage Inputs'!$B$12,206&lt;=IF('Mortgage Inputs'!$B$12,'Mortgage Inputs'!$B$7,0)*12+600,ISNUMBER(E211),E211&gt;0.005),206,"")</f>
        <v>206</v>
      </c>
      <c r="B212" s="5">
        <f t="shared" si="7"/>
        <v>427867.4616659903</v>
      </c>
      <c r="C212" s="5">
        <f>IF(A212="","",B212*'Mortgage Inputs'!$B$15)</f>
        <v>2278.3942333713981</v>
      </c>
      <c r="D212" s="5">
        <f>IF(A212="","",MIN(B212,MAX(0,'Mortgage Inputs'!$B$17-C212)))</f>
        <v>1783.1391344359554</v>
      </c>
      <c r="E212" s="5">
        <f t="shared" si="6"/>
        <v>426084.32253155432</v>
      </c>
      <c r="F212" s="5">
        <f>IF('Monthly Projection'!A212="",0,'Monthly Projection'!G212)</f>
        <v>243260.33162721261</v>
      </c>
    </row>
    <row r="213" spans="1:6">
      <c r="A213">
        <f>IF(AND('Mortgage Inputs'!$B$12,207&lt;=IF('Mortgage Inputs'!$B$12,'Mortgage Inputs'!$B$7,0)*12+600,ISNUMBER(E212),E212&gt;0.005),207,"")</f>
        <v>207</v>
      </c>
      <c r="B213" s="5">
        <f t="shared" si="7"/>
        <v>426084.32253155432</v>
      </c>
      <c r="C213" s="5">
        <f>IF(A213="","",B213*'Mortgage Inputs'!$B$15)</f>
        <v>2268.8990174805267</v>
      </c>
      <c r="D213" s="5">
        <f>IF(A213="","",MIN(B213,MAX(0,'Mortgage Inputs'!$B$17-C213)))</f>
        <v>1792.6343503268267</v>
      </c>
      <c r="E213" s="5">
        <f t="shared" si="6"/>
        <v>424291.68818122748</v>
      </c>
      <c r="F213" s="5">
        <f>IF('Monthly Projection'!A213="",0,'Monthly Projection'!G213)</f>
        <v>239679.43452532016</v>
      </c>
    </row>
    <row r="214" spans="1:6">
      <c r="A214">
        <f>IF(AND('Mortgage Inputs'!$B$12,208&lt;=IF('Mortgage Inputs'!$B$12,'Mortgage Inputs'!$B$7,0)*12+600,ISNUMBER(E213),E213&gt;0.005),208,"")</f>
        <v>208</v>
      </c>
      <c r="B214" s="5">
        <f t="shared" si="7"/>
        <v>424291.68818122748</v>
      </c>
      <c r="C214" s="5">
        <f>IF(A214="","",B214*'Mortgage Inputs'!$B$15)</f>
        <v>2259.3532395650363</v>
      </c>
      <c r="D214" s="5">
        <f>IF(A214="","",MIN(B214,MAX(0,'Mortgage Inputs'!$B$17-C214)))</f>
        <v>1802.1801282423171</v>
      </c>
      <c r="E214" s="5">
        <f t="shared" si="6"/>
        <v>422489.50805298518</v>
      </c>
      <c r="F214" s="5">
        <f>IF('Monthly Projection'!A214="",0,'Monthly Projection'!G214)</f>
        <v>236076.80664636014</v>
      </c>
    </row>
    <row r="215" spans="1:6">
      <c r="A215">
        <f>IF(AND('Mortgage Inputs'!$B$12,209&lt;=IF('Mortgage Inputs'!$B$12,'Mortgage Inputs'!$B$7,0)*12+600,ISNUMBER(E214),E214&gt;0.005),209,"")</f>
        <v>209</v>
      </c>
      <c r="B215" s="5">
        <f t="shared" si="7"/>
        <v>422489.50805298518</v>
      </c>
      <c r="C215" s="5">
        <f>IF(A215="","",B215*'Mortgage Inputs'!$B$15)</f>
        <v>2249.7566303821459</v>
      </c>
      <c r="D215" s="5">
        <f>IF(A215="","",MIN(B215,MAX(0,'Mortgage Inputs'!$B$17-C215)))</f>
        <v>1811.7767374252076</v>
      </c>
      <c r="E215" s="5">
        <f t="shared" si="6"/>
        <v>420677.73131556</v>
      </c>
      <c r="F215" s="5">
        <f>IF('Monthly Projection'!A215="",0,'Monthly Projection'!G215)</f>
        <v>232452.33227394466</v>
      </c>
    </row>
    <row r="216" spans="1:6">
      <c r="A216">
        <f>IF(AND('Mortgage Inputs'!$B$12,210&lt;=IF('Mortgage Inputs'!$B$12,'Mortgage Inputs'!$B$7,0)*12+600,ISNUMBER(E215),E215&gt;0.005),210,"")</f>
        <v>210</v>
      </c>
      <c r="B216" s="5">
        <f t="shared" si="7"/>
        <v>420677.73131556</v>
      </c>
      <c r="C216" s="5">
        <f>IF(A216="","",B216*'Mortgage Inputs'!$B$15)</f>
        <v>2240.1089192553568</v>
      </c>
      <c r="D216" s="5">
        <f>IF(A216="","",MIN(B216,MAX(0,'Mortgage Inputs'!$B$17-C216)))</f>
        <v>1821.4244485519966</v>
      </c>
      <c r="E216" s="5">
        <f t="shared" si="6"/>
        <v>418856.30686700798</v>
      </c>
      <c r="F216" s="5">
        <f>IF('Monthly Projection'!A216="",0,'Monthly Projection'!G216)</f>
        <v>228805.89507549605</v>
      </c>
    </row>
    <row r="217" spans="1:6">
      <c r="A217">
        <f>IF(AND('Mortgage Inputs'!$B$12,211&lt;=IF('Mortgage Inputs'!$B$12,'Mortgage Inputs'!$B$7,0)*12+600,ISNUMBER(E216),E216&gt;0.005),211,"")</f>
        <v>211</v>
      </c>
      <c r="B217" s="5">
        <f t="shared" si="7"/>
        <v>418856.30686700798</v>
      </c>
      <c r="C217" s="5">
        <f>IF(A217="","",B217*'Mortgage Inputs'!$B$15)</f>
        <v>2230.4098340668174</v>
      </c>
      <c r="D217" s="5">
        <f>IF(A217="","",MIN(B217,MAX(0,'Mortgage Inputs'!$B$17-C217)))</f>
        <v>1831.123533740536</v>
      </c>
      <c r="E217" s="5">
        <f t="shared" si="6"/>
        <v>417025.18333326746</v>
      </c>
      <c r="F217" s="5">
        <f>IF('Monthly Projection'!A217="",0,'Monthly Projection'!G217)</f>
        <v>225137.37809896571</v>
      </c>
    </row>
    <row r="218" spans="1:6">
      <c r="A218">
        <f>IF(AND('Mortgage Inputs'!$B$12,212&lt;=IF('Mortgage Inputs'!$B$12,'Mortgage Inputs'!$B$7,0)*12+600,ISNUMBER(E217),E217&gt;0.005),212,"")</f>
        <v>212</v>
      </c>
      <c r="B218" s="5">
        <f t="shared" si="7"/>
        <v>417025.18333326746</v>
      </c>
      <c r="C218" s="5">
        <f>IF(A218="","",B218*'Mortgage Inputs'!$B$15)</f>
        <v>2220.6591012496492</v>
      </c>
      <c r="D218" s="5">
        <f>IF(A218="","",MIN(B218,MAX(0,'Mortgage Inputs'!$B$17-C218)))</f>
        <v>1840.8742665577042</v>
      </c>
      <c r="E218" s="5">
        <f t="shared" si="6"/>
        <v>415184.30906670977</v>
      </c>
      <c r="F218" s="5">
        <f>IF('Monthly Projection'!A218="",0,'Monthly Projection'!G218)</f>
        <v>221446.66376953534</v>
      </c>
    </row>
    <row r="219" spans="1:6">
      <c r="A219">
        <f>IF(AND('Mortgage Inputs'!$B$12,213&lt;=IF('Mortgage Inputs'!$B$12,'Mortgage Inputs'!$B$7,0)*12+600,ISNUMBER(E218),E218&gt;0.005),213,"")</f>
        <v>213</v>
      </c>
      <c r="B219" s="5">
        <f t="shared" si="7"/>
        <v>415184.30906670977</v>
      </c>
      <c r="C219" s="5">
        <f>IF(A219="","",B219*'Mortgage Inputs'!$B$15)</f>
        <v>2210.8564457802295</v>
      </c>
      <c r="D219" s="5">
        <f>IF(A219="","",MIN(B219,MAX(0,'Mortgage Inputs'!$B$17-C219)))</f>
        <v>1850.676922027124</v>
      </c>
      <c r="E219" s="5">
        <f t="shared" si="6"/>
        <v>413333.63214468263</v>
      </c>
      <c r="F219" s="5">
        <f>IF('Monthly Projection'!A219="",0,'Monthly Projection'!G219)</f>
        <v>217733.63388630075</v>
      </c>
    </row>
    <row r="220" spans="1:6">
      <c r="A220">
        <f>IF(AND('Mortgage Inputs'!$B$12,214&lt;=IF('Mortgage Inputs'!$B$12,'Mortgage Inputs'!$B$7,0)*12+600,ISNUMBER(E219),E219&gt;0.005),214,"")</f>
        <v>214</v>
      </c>
      <c r="B220" s="5">
        <f t="shared" si="7"/>
        <v>413333.63214468263</v>
      </c>
      <c r="C220" s="5">
        <f>IF(A220="","",B220*'Mortgage Inputs'!$B$15)</f>
        <v>2201.0015911704349</v>
      </c>
      <c r="D220" s="5">
        <f>IF(A220="","",MIN(B220,MAX(0,'Mortgage Inputs'!$B$17-C220)))</f>
        <v>1860.5317766369185</v>
      </c>
      <c r="E220" s="5">
        <f t="shared" si="6"/>
        <v>411473.10036804574</v>
      </c>
      <c r="F220" s="5">
        <f>IF('Monthly Projection'!A220="",0,'Monthly Projection'!G220)</f>
        <v>213998.16961893794</v>
      </c>
    </row>
    <row r="221" spans="1:6">
      <c r="A221">
        <f>IF(AND('Mortgage Inputs'!$B$12,215&lt;=IF('Mortgage Inputs'!$B$12,'Mortgage Inputs'!$B$7,0)*12+600,ISNUMBER(E220),E220&gt;0.005),215,"")</f>
        <v>215</v>
      </c>
      <c r="B221" s="5">
        <f t="shared" si="7"/>
        <v>411473.10036804574</v>
      </c>
      <c r="C221" s="5">
        <f>IF(A221="","",B221*'Mortgage Inputs'!$B$15)</f>
        <v>2191.0942594598437</v>
      </c>
      <c r="D221" s="5">
        <f>IF(A221="","",MIN(B221,MAX(0,'Mortgage Inputs'!$B$17-C221)))</f>
        <v>1870.4391083475098</v>
      </c>
      <c r="E221" s="5">
        <f t="shared" si="6"/>
        <v>409602.66125969822</v>
      </c>
      <c r="F221" s="5">
        <f>IF('Monthly Projection'!A221="",0,'Monthly Projection'!G221)</f>
        <v>210240.15150435144</v>
      </c>
    </row>
    <row r="222" spans="1:6">
      <c r="A222">
        <f>IF(AND('Mortgage Inputs'!$B$12,216&lt;=IF('Mortgage Inputs'!$B$12,'Mortgage Inputs'!$B$7,0)*12+600,ISNUMBER(E221),E221&gt;0.005),216,"")</f>
        <v>216</v>
      </c>
      <c r="B222" s="5">
        <f t="shared" si="7"/>
        <v>409602.66125969822</v>
      </c>
      <c r="C222" s="5">
        <f>IF(A222="","",B222*'Mortgage Inputs'!$B$15)</f>
        <v>2181.1341712078929</v>
      </c>
      <c r="D222" s="5">
        <f>IF(A222="","",MIN(B222,MAX(0,'Mortgage Inputs'!$B$17-C222)))</f>
        <v>1880.3991965994605</v>
      </c>
      <c r="E222" s="5">
        <f t="shared" si="6"/>
        <v>407722.26206309878</v>
      </c>
      <c r="F222" s="5">
        <f>IF('Monthly Projection'!A222="",0,'Monthly Projection'!G222)</f>
        <v>206459.45944330475</v>
      </c>
    </row>
    <row r="223" spans="1:6">
      <c r="A223">
        <f>IF(AND('Mortgage Inputs'!$B$12,217&lt;=IF('Mortgage Inputs'!$B$12,'Mortgage Inputs'!$B$7,0)*12+600,ISNUMBER(E222),E222&gt;0.005),217,"")</f>
        <v>217</v>
      </c>
      <c r="B223" s="5">
        <f t="shared" si="7"/>
        <v>407722.26206309878</v>
      </c>
      <c r="C223" s="5">
        <f>IF(A223="","",B223*'Mortgage Inputs'!$B$15)</f>
        <v>2171.1210454860011</v>
      </c>
      <c r="D223" s="5">
        <f>IF(A223="","",MIN(B223,MAX(0,'Mortgage Inputs'!$B$17-C223)))</f>
        <v>1890.4123223213523</v>
      </c>
      <c r="E223" s="5">
        <f t="shared" si="6"/>
        <v>405831.84974077746</v>
      </c>
      <c r="F223" s="5">
        <f>IF('Monthly Projection'!A223="",0,'Monthly Projection'!G223)</f>
        <v>202655.97269703299</v>
      </c>
    </row>
    <row r="224" spans="1:6">
      <c r="A224">
        <f>IF(AND('Mortgage Inputs'!$B$12,218&lt;=IF('Mortgage Inputs'!$B$12,'Mortgage Inputs'!$B$7,0)*12+600,ISNUMBER(E223),E223&gt;0.005),218,"")</f>
        <v>218</v>
      </c>
      <c r="B224" s="5">
        <f t="shared" si="7"/>
        <v>405831.84974077746</v>
      </c>
      <c r="C224" s="5">
        <f>IF(A224="","",B224*'Mortgage Inputs'!$B$15)</f>
        <v>2161.0545998696398</v>
      </c>
      <c r="D224" s="5">
        <f>IF(A224="","",MIN(B224,MAX(0,'Mortgage Inputs'!$B$17-C224)))</f>
        <v>1900.4787679377137</v>
      </c>
      <c r="E224" s="5">
        <f t="shared" si="6"/>
        <v>403931.37097283977</v>
      </c>
      <c r="F224" s="5">
        <f>IF('Monthly Projection'!A224="",0,'Monthly Projection'!G224)</f>
        <v>198829.56988383734</v>
      </c>
    </row>
    <row r="225" spans="1:6">
      <c r="A225">
        <f>IF(AND('Mortgage Inputs'!$B$12,219&lt;=IF('Mortgage Inputs'!$B$12,'Mortgage Inputs'!$B$7,0)*12+600,ISNUMBER(E224),E224&gt;0.005),219,"")</f>
        <v>219</v>
      </c>
      <c r="B225" s="5">
        <f t="shared" si="7"/>
        <v>403931.37097283977</v>
      </c>
      <c r="C225" s="5">
        <f>IF(A225="","",B225*'Mortgage Inputs'!$B$15)</f>
        <v>2150.9345504303719</v>
      </c>
      <c r="D225" s="5">
        <f>IF(A225="","",MIN(B225,MAX(0,'Mortgage Inputs'!$B$17-C225)))</f>
        <v>1910.5988173769815</v>
      </c>
      <c r="E225" s="5">
        <f t="shared" si="6"/>
        <v>402020.77215546276</v>
      </c>
      <c r="F225" s="5">
        <f>IF('Monthly Projection'!A225="",0,'Monthly Projection'!G225)</f>
        <v>194980.12897566141</v>
      </c>
    </row>
    <row r="226" spans="1:6">
      <c r="A226">
        <f>IF(AND('Mortgage Inputs'!$B$12,220&lt;=IF('Mortgage Inputs'!$B$12,'Mortgage Inputs'!$B$7,0)*12+600,ISNUMBER(E225),E225&gt;0.005),220,"")</f>
        <v>220</v>
      </c>
      <c r="B226" s="5">
        <f t="shared" si="7"/>
        <v>402020.77215546276</v>
      </c>
      <c r="C226" s="5">
        <f>IF(A226="","",B226*'Mortgage Inputs'!$B$15)</f>
        <v>2140.7606117278392</v>
      </c>
      <c r="D226" s="5">
        <f>IF(A226="","",MIN(B226,MAX(0,'Mortgage Inputs'!$B$17-C226)))</f>
        <v>1920.7727560795142</v>
      </c>
      <c r="E226" s="5">
        <f t="shared" si="6"/>
        <v>400099.99939938326</v>
      </c>
      <c r="F226" s="5">
        <f>IF('Monthly Projection'!A226="",0,'Monthly Projection'!G226)</f>
        <v>191107.52729464945</v>
      </c>
    </row>
    <row r="227" spans="1:6">
      <c r="A227">
        <f>IF(AND('Mortgage Inputs'!$B$12,221&lt;=IF('Mortgage Inputs'!$B$12,'Mortgage Inputs'!$B$7,0)*12+600,ISNUMBER(E226),E226&gt;0.005),221,"")</f>
        <v>221</v>
      </c>
      <c r="B227" s="5">
        <f t="shared" si="7"/>
        <v>400099.99939938326</v>
      </c>
      <c r="C227" s="5">
        <f>IF(A227="","",B227*'Mortgage Inputs'!$B$15)</f>
        <v>2130.5324968017158</v>
      </c>
      <c r="D227" s="5">
        <f>IF(A227="","",MIN(B227,MAX(0,'Mortgage Inputs'!$B$17-C227)))</f>
        <v>1931.0008710056377</v>
      </c>
      <c r="E227" s="5">
        <f t="shared" si="6"/>
        <v>398168.99852837762</v>
      </c>
      <c r="F227" s="5">
        <f>IF('Monthly Projection'!A227="",0,'Monthly Projection'!G227)</f>
        <v>187211.6415096861</v>
      </c>
    </row>
    <row r="228" spans="1:6">
      <c r="A228">
        <f>IF(AND('Mortgage Inputs'!$B$12,222&lt;=IF('Mortgage Inputs'!$B$12,'Mortgage Inputs'!$B$7,0)*12+600,ISNUMBER(E227),E227&gt;0.005),222,"")</f>
        <v>222</v>
      </c>
      <c r="B228" s="5">
        <f t="shared" si="7"/>
        <v>398168.99852837762</v>
      </c>
      <c r="C228" s="5">
        <f>IF(A228="","",B228*'Mortgage Inputs'!$B$15)</f>
        <v>2120.2499171636109</v>
      </c>
      <c r="D228" s="5">
        <f>IF(A228="","",MIN(B228,MAX(0,'Mortgage Inputs'!$B$17-C228)))</f>
        <v>1941.2834506437425</v>
      </c>
      <c r="E228" s="5">
        <f t="shared" si="6"/>
        <v>396227.71507773385</v>
      </c>
      <c r="F228" s="5">
        <f>IF('Monthly Projection'!A228="",0,'Monthly Projection'!G228)</f>
        <v>183292.34763291784</v>
      </c>
    </row>
    <row r="229" spans="1:6">
      <c r="A229">
        <f>IF(AND('Mortgage Inputs'!$B$12,223&lt;=IF('Mortgage Inputs'!$B$12,'Mortgage Inputs'!$B$7,0)*12+600,ISNUMBER(E228),E228&gt;0.005),223,"")</f>
        <v>223</v>
      </c>
      <c r="B229" s="5">
        <f t="shared" si="7"/>
        <v>396227.71507773385</v>
      </c>
      <c r="C229" s="5">
        <f>IF(A229="","",B229*'Mortgage Inputs'!$B$15)</f>
        <v>2109.9125827889329</v>
      </c>
      <c r="D229" s="5">
        <f>IF(A229="","",MIN(B229,MAX(0,'Mortgage Inputs'!$B$17-C229)))</f>
        <v>1951.6207850184205</v>
      </c>
      <c r="E229" s="5">
        <f t="shared" si="6"/>
        <v>394276.09429271542</v>
      </c>
      <c r="F229" s="5">
        <f>IF('Monthly Projection'!A229="",0,'Monthly Projection'!G229)</f>
        <v>179349.52101625578</v>
      </c>
    </row>
    <row r="230" spans="1:6">
      <c r="A230">
        <f>IF(AND('Mortgage Inputs'!$B$12,224&lt;=IF('Mortgage Inputs'!$B$12,'Mortgage Inputs'!$B$7,0)*12+600,ISNUMBER(E229),E229&gt;0.005),224,"")</f>
        <v>224</v>
      </c>
      <c r="B230" s="5">
        <f t="shared" si="7"/>
        <v>394276.09429271542</v>
      </c>
      <c r="C230" s="5">
        <f>IF(A230="","",B230*'Mortgage Inputs'!$B$15)</f>
        <v>2099.5202021087098</v>
      </c>
      <c r="D230" s="5">
        <f>IF(A230="","",MIN(B230,MAX(0,'Mortgage Inputs'!$B$17-C230)))</f>
        <v>1962.0131656986437</v>
      </c>
      <c r="E230" s="5">
        <f t="shared" si="6"/>
        <v>392314.08112701681</v>
      </c>
      <c r="F230" s="5">
        <f>IF('Monthly Projection'!A230="",0,'Monthly Projection'!G230)</f>
        <v>175383.03634785998</v>
      </c>
    </row>
    <row r="231" spans="1:6">
      <c r="A231">
        <f>IF(AND('Mortgage Inputs'!$B$12,225&lt;=IF('Mortgage Inputs'!$B$12,'Mortgage Inputs'!$B$7,0)*12+600,ISNUMBER(E230),E230&gt;0.005),225,"")</f>
        <v>225</v>
      </c>
      <c r="B231" s="5">
        <f t="shared" si="7"/>
        <v>392314.08112701681</v>
      </c>
      <c r="C231" s="5">
        <f>IF(A231="","",B231*'Mortgage Inputs'!$B$15)</f>
        <v>2089.0724820013643</v>
      </c>
      <c r="D231" s="5">
        <f>IF(A231="","",MIN(B231,MAX(0,'Mortgage Inputs'!$B$17-C231)))</f>
        <v>1972.4608858059892</v>
      </c>
      <c r="E231" s="5">
        <f t="shared" si="6"/>
        <v>390341.6202412108</v>
      </c>
      <c r="F231" s="5">
        <f>IF('Monthly Projection'!A231="",0,'Monthly Projection'!G231)</f>
        <v>171392.76764860499</v>
      </c>
    </row>
    <row r="232" spans="1:6">
      <c r="A232">
        <f>IF(AND('Mortgage Inputs'!$B$12,226&lt;=IF('Mortgage Inputs'!$B$12,'Mortgage Inputs'!$B$7,0)*12+600,ISNUMBER(E231),E231&gt;0.005),226,"")</f>
        <v>226</v>
      </c>
      <c r="B232" s="5">
        <f t="shared" si="7"/>
        <v>390341.6202412108</v>
      </c>
      <c r="C232" s="5">
        <f>IF(A232="","",B232*'Mortgage Inputs'!$B$15)</f>
        <v>2078.5691277844476</v>
      </c>
      <c r="D232" s="5">
        <f>IF(A232="","",MIN(B232,MAX(0,'Mortgage Inputs'!$B$17-C232)))</f>
        <v>1982.9642400229059</v>
      </c>
      <c r="E232" s="5">
        <f t="shared" si="6"/>
        <v>388358.65600118786</v>
      </c>
      <c r="F232" s="5">
        <f>IF('Monthly Projection'!A232="",0,'Monthly Projection'!G232)</f>
        <v>167378.58826852645</v>
      </c>
    </row>
    <row r="233" spans="1:6">
      <c r="A233">
        <f>IF(AND('Mortgage Inputs'!$B$12,227&lt;=IF('Mortgage Inputs'!$B$12,'Mortgage Inputs'!$B$7,0)*12+600,ISNUMBER(E232),E232&gt;0.005),227,"")</f>
        <v>227</v>
      </c>
      <c r="B233" s="5">
        <f t="shared" si="7"/>
        <v>388358.65600118786</v>
      </c>
      <c r="C233" s="5">
        <f>IF(A233="","",B233*'Mortgage Inputs'!$B$15)</f>
        <v>2068.0098432063255</v>
      </c>
      <c r="D233" s="5">
        <f>IF(A233="","",MIN(B233,MAX(0,'Mortgage Inputs'!$B$17-C233)))</f>
        <v>1993.5235246010279</v>
      </c>
      <c r="E233" s="5">
        <f t="shared" si="6"/>
        <v>386365.13247658685</v>
      </c>
      <c r="F233" s="5">
        <f>IF('Monthly Projection'!A233="",0,'Monthly Projection'!G233)</f>
        <v>163340.37088324901</v>
      </c>
    </row>
    <row r="234" spans="1:6">
      <c r="A234">
        <f>IF(AND('Mortgage Inputs'!$B$12,228&lt;=IF('Mortgage Inputs'!$B$12,'Mortgage Inputs'!$B$7,0)*12+600,ISNUMBER(E233),E233&gt;0.005),228,"")</f>
        <v>228</v>
      </c>
      <c r="B234" s="5">
        <f t="shared" si="7"/>
        <v>386365.13247658685</v>
      </c>
      <c r="C234" s="5">
        <f>IF(A234="","",B234*'Mortgage Inputs'!$B$15)</f>
        <v>2057.3943304378249</v>
      </c>
      <c r="D234" s="5">
        <f>IF(A234="","",MIN(B234,MAX(0,'Mortgage Inputs'!$B$17-C234)))</f>
        <v>2004.1390373695285</v>
      </c>
      <c r="E234" s="5">
        <f t="shared" si="6"/>
        <v>384360.99343921733</v>
      </c>
      <c r="F234" s="5">
        <f>IF('Monthly Projection'!A234="",0,'Monthly Projection'!G234)</f>
        <v>159278.83751544164</v>
      </c>
    </row>
    <row r="235" spans="1:6">
      <c r="A235">
        <f>IF(AND('Mortgage Inputs'!$B$12,229&lt;=IF('Mortgage Inputs'!$B$12,'Mortgage Inputs'!$B$7,0)*12+600,ISNUMBER(E234),E234&gt;0.005),229,"")</f>
        <v>229</v>
      </c>
      <c r="B235" s="5">
        <f t="shared" si="7"/>
        <v>384360.99343921733</v>
      </c>
      <c r="C235" s="5">
        <f>IF(A235="","",B235*'Mortgage Inputs'!$B$15)</f>
        <v>2046.7222900638321</v>
      </c>
      <c r="D235" s="5">
        <f>IF(A235="","",MIN(B235,MAX(0,'Mortgage Inputs'!$B$17-C235)))</f>
        <v>2014.8110777435213</v>
      </c>
      <c r="E235" s="5">
        <f t="shared" si="6"/>
        <v>382346.1823614738</v>
      </c>
      <c r="F235" s="5">
        <f>IF('Monthly Projection'!A235="",0,'Monthly Projection'!G235)</f>
        <v>155217.30414763428</v>
      </c>
    </row>
    <row r="236" spans="1:6">
      <c r="A236">
        <f>IF(AND('Mortgage Inputs'!$B$12,230&lt;=IF('Mortgage Inputs'!$B$12,'Mortgage Inputs'!$B$7,0)*12+600,ISNUMBER(E235),E235&gt;0.005),230,"")</f>
        <v>230</v>
      </c>
      <c r="B236" s="5">
        <f t="shared" si="7"/>
        <v>382346.1823614738</v>
      </c>
      <c r="C236" s="5">
        <f>IF(A236="","",B236*'Mortgage Inputs'!$B$15)</f>
        <v>2035.9934210748479</v>
      </c>
      <c r="D236" s="5">
        <f>IF(A236="","",MIN(B236,MAX(0,'Mortgage Inputs'!$B$17-C236)))</f>
        <v>2025.5399467325055</v>
      </c>
      <c r="E236" s="5">
        <f t="shared" si="6"/>
        <v>380320.64241474128</v>
      </c>
      <c r="F236" s="5">
        <f>IF('Monthly Projection'!A236="",0,'Monthly Projection'!G236)</f>
        <v>151155.77077982691</v>
      </c>
    </row>
    <row r="237" spans="1:6">
      <c r="A237">
        <f>IF(AND('Mortgage Inputs'!$B$12,231&lt;=IF('Mortgage Inputs'!$B$12,'Mortgage Inputs'!$B$7,0)*12+600,ISNUMBER(E236),E236&gt;0.005),231,"")</f>
        <v>231</v>
      </c>
      <c r="B237" s="5">
        <f t="shared" si="7"/>
        <v>380320.64241474128</v>
      </c>
      <c r="C237" s="5">
        <f>IF(A237="","",B237*'Mortgage Inputs'!$B$15)</f>
        <v>2025.2074208584972</v>
      </c>
      <c r="D237" s="5">
        <f>IF(A237="","",MIN(B237,MAX(0,'Mortgage Inputs'!$B$17-C237)))</f>
        <v>2036.3259469488562</v>
      </c>
      <c r="E237" s="5">
        <f t="shared" si="6"/>
        <v>378284.31646779244</v>
      </c>
      <c r="F237" s="5">
        <f>IF('Monthly Projection'!A237="",0,'Monthly Projection'!G237)</f>
        <v>147094.23741201955</v>
      </c>
    </row>
    <row r="238" spans="1:6">
      <c r="A238">
        <f>IF(AND('Mortgage Inputs'!$B$12,232&lt;=IF('Mortgage Inputs'!$B$12,'Mortgage Inputs'!$B$7,0)*12+600,ISNUMBER(E237),E237&gt;0.005),232,"")</f>
        <v>232</v>
      </c>
      <c r="B238" s="5">
        <f t="shared" si="7"/>
        <v>378284.31646779244</v>
      </c>
      <c r="C238" s="5">
        <f>IF(A238="","",B238*'Mortgage Inputs'!$B$15)</f>
        <v>2014.3639851909948</v>
      </c>
      <c r="D238" s="5">
        <f>IF(A238="","",MIN(B238,MAX(0,'Mortgage Inputs'!$B$17-C238)))</f>
        <v>2047.1693826163587</v>
      </c>
      <c r="E238" s="5">
        <f t="shared" si="6"/>
        <v>376237.14708517608</v>
      </c>
      <c r="F238" s="5">
        <f>IF('Monthly Projection'!A238="",0,'Monthly Projection'!G238)</f>
        <v>143032.70404421218</v>
      </c>
    </row>
    <row r="239" spans="1:6">
      <c r="A239">
        <f>IF(AND('Mortgage Inputs'!$B$12,233&lt;=IF('Mortgage Inputs'!$B$12,'Mortgage Inputs'!$B$7,0)*12+600,ISNUMBER(E238),E238&gt;0.005),233,"")</f>
        <v>233</v>
      </c>
      <c r="B239" s="5">
        <f t="shared" si="7"/>
        <v>376237.14708517608</v>
      </c>
      <c r="C239" s="5">
        <f>IF(A239="","",B239*'Mortgage Inputs'!$B$15)</f>
        <v>2003.4628082285626</v>
      </c>
      <c r="D239" s="5">
        <f>IF(A239="","",MIN(B239,MAX(0,'Mortgage Inputs'!$B$17-C239)))</f>
        <v>2058.0705595787908</v>
      </c>
      <c r="E239" s="5">
        <f t="shared" si="6"/>
        <v>374179.07652559731</v>
      </c>
      <c r="F239" s="5">
        <f>IF('Monthly Projection'!A239="",0,'Monthly Projection'!G239)</f>
        <v>138971.17067640481</v>
      </c>
    </row>
    <row r="240" spans="1:6">
      <c r="A240">
        <f>IF(AND('Mortgage Inputs'!$B$12,234&lt;=IF('Mortgage Inputs'!$B$12,'Mortgage Inputs'!$B$7,0)*12+600,ISNUMBER(E239),E239&gt;0.005),234,"")</f>
        <v>234</v>
      </c>
      <c r="B240" s="5">
        <f t="shared" si="7"/>
        <v>374179.07652559731</v>
      </c>
      <c r="C240" s="5">
        <f>IF(A240="","",B240*'Mortgage Inputs'!$B$15)</f>
        <v>1992.5035824988056</v>
      </c>
      <c r="D240" s="5">
        <f>IF(A240="","",MIN(B240,MAX(0,'Mortgage Inputs'!$B$17-C240)))</f>
        <v>2069.0297853085476</v>
      </c>
      <c r="E240" s="5">
        <f t="shared" si="6"/>
        <v>372110.04674028879</v>
      </c>
      <c r="F240" s="5">
        <f>IF('Monthly Projection'!A240="",0,'Monthly Projection'!G240)</f>
        <v>134909.63730859745</v>
      </c>
    </row>
    <row r="241" spans="1:6">
      <c r="A241">
        <f>IF(AND('Mortgage Inputs'!$B$12,235&lt;=IF('Mortgage Inputs'!$B$12,'Mortgage Inputs'!$B$7,0)*12+600,ISNUMBER(E240),E240&gt;0.005),235,"")</f>
        <v>235</v>
      </c>
      <c r="B241" s="5">
        <f t="shared" si="7"/>
        <v>372110.04674028879</v>
      </c>
      <c r="C241" s="5">
        <f>IF(A241="","",B241*'Mortgage Inputs'!$B$15)</f>
        <v>1981.4859988920377</v>
      </c>
      <c r="D241" s="5">
        <f>IF(A241="","",MIN(B241,MAX(0,'Mortgage Inputs'!$B$17-C241)))</f>
        <v>2080.0473689153159</v>
      </c>
      <c r="E241" s="5">
        <f t="shared" si="6"/>
        <v>370029.99937137344</v>
      </c>
      <c r="F241" s="5">
        <f>IF('Monthly Projection'!A241="",0,'Monthly Projection'!G241)</f>
        <v>130848.1039407901</v>
      </c>
    </row>
    <row r="242" spans="1:6">
      <c r="A242">
        <f>IF(AND('Mortgage Inputs'!$B$12,236&lt;=IF('Mortgage Inputs'!$B$12,'Mortgage Inputs'!$B$7,0)*12+600,ISNUMBER(E241),E241&gt;0.005),236,"")</f>
        <v>236</v>
      </c>
      <c r="B242" s="5">
        <f t="shared" si="7"/>
        <v>370029.99937137344</v>
      </c>
      <c r="C242" s="5">
        <f>IF(A242="","",B242*'Mortgage Inputs'!$B$15)</f>
        <v>1970.4097466525636</v>
      </c>
      <c r="D242" s="5">
        <f>IF(A242="","",MIN(B242,MAX(0,'Mortgage Inputs'!$B$17-C242)))</f>
        <v>2091.1236211547898</v>
      </c>
      <c r="E242" s="5">
        <f t="shared" si="6"/>
        <v>367938.87575021863</v>
      </c>
      <c r="F242" s="5">
        <f>IF('Monthly Projection'!A242="",0,'Monthly Projection'!G242)</f>
        <v>126786.57057298275</v>
      </c>
    </row>
    <row r="243" spans="1:6">
      <c r="A243">
        <f>IF(AND('Mortgage Inputs'!$B$12,237&lt;=IF('Mortgage Inputs'!$B$12,'Mortgage Inputs'!$B$7,0)*12+600,ISNUMBER(E242),E242&gt;0.005),237,"")</f>
        <v>237</v>
      </c>
      <c r="B243" s="5">
        <f t="shared" si="7"/>
        <v>367938.87575021863</v>
      </c>
      <c r="C243" s="5">
        <f>IF(A243="","",B243*'Mortgage Inputs'!$B$15)</f>
        <v>1959.2745133699141</v>
      </c>
      <c r="D243" s="5">
        <f>IF(A243="","",MIN(B243,MAX(0,'Mortgage Inputs'!$B$17-C243)))</f>
        <v>2102.2588544374394</v>
      </c>
      <c r="E243" s="5">
        <f t="shared" si="6"/>
        <v>365836.61689578119</v>
      </c>
      <c r="F243" s="5">
        <f>IF('Monthly Projection'!A243="",0,'Monthly Projection'!G243)</f>
        <v>122725.03720517539</v>
      </c>
    </row>
    <row r="244" spans="1:6">
      <c r="A244">
        <f>IF(AND('Mortgage Inputs'!$B$12,238&lt;=IF('Mortgage Inputs'!$B$12,'Mortgage Inputs'!$B$7,0)*12+600,ISNUMBER(E243),E243&gt;0.005),238,"")</f>
        <v>238</v>
      </c>
      <c r="B244" s="5">
        <f t="shared" si="7"/>
        <v>365836.61689578119</v>
      </c>
      <c r="C244" s="5">
        <f>IF(A244="","",B244*'Mortgage Inputs'!$B$15)</f>
        <v>1948.0799849700347</v>
      </c>
      <c r="D244" s="5">
        <f>IF(A244="","",MIN(B244,MAX(0,'Mortgage Inputs'!$B$17-C244)))</f>
        <v>2113.4533828373187</v>
      </c>
      <c r="E244" s="5">
        <f t="shared" si="6"/>
        <v>363723.16351294389</v>
      </c>
      <c r="F244" s="5">
        <f>IF('Monthly Projection'!A244="",0,'Monthly Projection'!G244)</f>
        <v>118663.50383736804</v>
      </c>
    </row>
    <row r="245" spans="1:6">
      <c r="A245">
        <f>IF(AND('Mortgage Inputs'!$B$12,239&lt;=IF('Mortgage Inputs'!$B$12,'Mortgage Inputs'!$B$7,0)*12+600,ISNUMBER(E244),E244&gt;0.005),239,"")</f>
        <v>239</v>
      </c>
      <c r="B245" s="5">
        <f t="shared" si="7"/>
        <v>363723.16351294389</v>
      </c>
      <c r="C245" s="5">
        <f>IF(A245="","",B245*'Mortgage Inputs'!$B$15)</f>
        <v>1936.8258457064262</v>
      </c>
      <c r="D245" s="5">
        <f>IF(A245="","",MIN(B245,MAX(0,'Mortgage Inputs'!$B$17-C245)))</f>
        <v>2124.7075221009272</v>
      </c>
      <c r="E245" s="5">
        <f t="shared" si="6"/>
        <v>361598.45599084295</v>
      </c>
      <c r="F245" s="5">
        <f>IF('Monthly Projection'!A245="",0,'Monthly Projection'!G245)</f>
        <v>114601.97046956069</v>
      </c>
    </row>
    <row r="246" spans="1:6">
      <c r="A246">
        <f>IF(AND('Mortgage Inputs'!$B$12,240&lt;=IF('Mortgage Inputs'!$B$12,'Mortgage Inputs'!$B$7,0)*12+600,ISNUMBER(E245),E245&gt;0.005),240,"")</f>
        <v>240</v>
      </c>
      <c r="B246" s="5">
        <f t="shared" si="7"/>
        <v>361598.45599084295</v>
      </c>
      <c r="C246" s="5">
        <f>IF(A246="","",B246*'Mortgage Inputs'!$B$15)</f>
        <v>1925.5117781512386</v>
      </c>
      <c r="D246" s="5">
        <f>IF(A246="","",MIN(B246,MAX(0,'Mortgage Inputs'!$B$17-C246)))</f>
        <v>2136.0215896561149</v>
      </c>
      <c r="E246" s="5">
        <f t="shared" si="6"/>
        <v>359462.43440118682</v>
      </c>
      <c r="F246" s="5">
        <f>IF('Monthly Projection'!A246="",0,'Monthly Projection'!G246)</f>
        <v>110540.43710175334</v>
      </c>
    </row>
    <row r="247" spans="1:6">
      <c r="A247">
        <f>IF(AND('Mortgage Inputs'!$B$12,241&lt;=IF('Mortgage Inputs'!$B$12,'Mortgage Inputs'!$B$7,0)*12+600,ISNUMBER(E246),E246&gt;0.005),241,"")</f>
        <v>241</v>
      </c>
      <c r="B247" s="5">
        <f t="shared" si="7"/>
        <v>359462.43440118682</v>
      </c>
      <c r="C247" s="5">
        <f>IF(A247="","",B247*'Mortgage Inputs'!$B$15)</f>
        <v>1914.1374631863198</v>
      </c>
      <c r="D247" s="5">
        <f>IF(A247="","",MIN(B247,MAX(0,'Mortgage Inputs'!$B$17-C247)))</f>
        <v>2147.3959046210339</v>
      </c>
      <c r="E247" s="5">
        <f t="shared" si="6"/>
        <v>357315.03849656577</v>
      </c>
      <c r="F247" s="5">
        <f>IF('Monthly Projection'!A247="",0,'Monthly Projection'!G247)</f>
        <v>106478.90373394599</v>
      </c>
    </row>
    <row r="248" spans="1:6">
      <c r="A248">
        <f>IF(AND('Mortgage Inputs'!$B$12,242&lt;=IF('Mortgage Inputs'!$B$12,'Mortgage Inputs'!$B$7,0)*12+600,ISNUMBER(E247),E247&gt;0.005),242,"")</f>
        <v>242</v>
      </c>
      <c r="B248" s="5">
        <f t="shared" si="7"/>
        <v>357315.03849656577</v>
      </c>
      <c r="C248" s="5">
        <f>IF(A248="","",B248*'Mortgage Inputs'!$B$15)</f>
        <v>1902.7025799942128</v>
      </c>
      <c r="D248" s="5">
        <f>IF(A248="","",MIN(B248,MAX(0,'Mortgage Inputs'!$B$17-C248)))</f>
        <v>2158.8307878131409</v>
      </c>
      <c r="E248" s="5">
        <f t="shared" si="6"/>
        <v>355156.20770875266</v>
      </c>
      <c r="F248" s="5">
        <f>IF('Monthly Projection'!A248="",0,'Monthly Projection'!G248)</f>
        <v>102417.37036613864</v>
      </c>
    </row>
    <row r="249" spans="1:6">
      <c r="A249">
        <f>IF(AND('Mortgage Inputs'!$B$12,243&lt;=IF('Mortgage Inputs'!$B$12,'Mortgage Inputs'!$B$7,0)*12+600,ISNUMBER(E248),E248&gt;0.005),243,"")</f>
        <v>243</v>
      </c>
      <c r="B249" s="5">
        <f t="shared" si="7"/>
        <v>355156.20770875266</v>
      </c>
      <c r="C249" s="5">
        <f>IF(A249="","",B249*'Mortgage Inputs'!$B$15)</f>
        <v>1891.2068060491079</v>
      </c>
      <c r="D249" s="5">
        <f>IF(A249="","",MIN(B249,MAX(0,'Mortgage Inputs'!$B$17-C249)))</f>
        <v>2170.3265617582456</v>
      </c>
      <c r="E249" s="5">
        <f t="shared" si="6"/>
        <v>352985.88114699442</v>
      </c>
      <c r="F249" s="5">
        <f>IF('Monthly Projection'!A249="",0,'Monthly Projection'!G249)</f>
        <v>98355.836998331288</v>
      </c>
    </row>
    <row r="250" spans="1:6">
      <c r="A250">
        <f>IF(AND('Mortgage Inputs'!$B$12,244&lt;=IF('Mortgage Inputs'!$B$12,'Mortgage Inputs'!$B$7,0)*12+600,ISNUMBER(E249),E249&gt;0.005),244,"")</f>
        <v>244</v>
      </c>
      <c r="B250" s="5">
        <f t="shared" si="7"/>
        <v>352985.88114699442</v>
      </c>
      <c r="C250" s="5">
        <f>IF(A250="","",B250*'Mortgage Inputs'!$B$15)</f>
        <v>1879.6498171077453</v>
      </c>
      <c r="D250" s="5">
        <f>IF(A250="","",MIN(B250,MAX(0,'Mortgage Inputs'!$B$17-C250)))</f>
        <v>2181.8835506996083</v>
      </c>
      <c r="E250" s="5">
        <f t="shared" si="6"/>
        <v>350803.99759629479</v>
      </c>
      <c r="F250" s="5">
        <f>IF('Monthly Projection'!A250="",0,'Monthly Projection'!G250)</f>
        <v>94294.303630523937</v>
      </c>
    </row>
    <row r="251" spans="1:6">
      <c r="A251">
        <f>IF(AND('Mortgage Inputs'!$B$12,245&lt;=IF('Mortgage Inputs'!$B$12,'Mortgage Inputs'!$B$7,0)*12+600,ISNUMBER(E250),E250&gt;0.005),245,"")</f>
        <v>245</v>
      </c>
      <c r="B251" s="5">
        <f t="shared" si="7"/>
        <v>350803.99759629479</v>
      </c>
      <c r="C251" s="5">
        <f>IF(A251="","",B251*'Mortgage Inputs'!$B$15)</f>
        <v>1868.0312872002698</v>
      </c>
      <c r="D251" s="5">
        <f>IF(A251="","",MIN(B251,MAX(0,'Mortgage Inputs'!$B$17-C251)))</f>
        <v>2193.5020806070834</v>
      </c>
      <c r="E251" s="5">
        <f t="shared" si="6"/>
        <v>348610.49551568768</v>
      </c>
      <c r="F251" s="5">
        <f>IF('Monthly Projection'!A251="",0,'Monthly Projection'!G251)</f>
        <v>90232.770262716585</v>
      </c>
    </row>
    <row r="252" spans="1:6">
      <c r="A252">
        <f>IF(AND('Mortgage Inputs'!$B$12,246&lt;=IF('Mortgage Inputs'!$B$12,'Mortgage Inputs'!$B$7,0)*12+600,ISNUMBER(E251),E251&gt;0.005),246,"")</f>
        <v>246</v>
      </c>
      <c r="B252" s="5">
        <f t="shared" si="7"/>
        <v>348610.49551568768</v>
      </c>
      <c r="C252" s="5">
        <f>IF(A252="","",B252*'Mortgage Inputs'!$B$15)</f>
        <v>1856.3508886210368</v>
      </c>
      <c r="D252" s="5">
        <f>IF(A252="","",MIN(B252,MAX(0,'Mortgage Inputs'!$B$17-C252)))</f>
        <v>2205.1824791863164</v>
      </c>
      <c r="E252" s="5">
        <f t="shared" si="6"/>
        <v>346405.31303650135</v>
      </c>
      <c r="F252" s="5">
        <f>IF('Monthly Projection'!A252="",0,'Monthly Projection'!G252)</f>
        <v>86171.236894909234</v>
      </c>
    </row>
    <row r="253" spans="1:6">
      <c r="A253">
        <f>IF(AND('Mortgage Inputs'!$B$12,247&lt;=IF('Mortgage Inputs'!$B$12,'Mortgage Inputs'!$B$7,0)*12+600,ISNUMBER(E252),E252&gt;0.005),247,"")</f>
        <v>247</v>
      </c>
      <c r="B253" s="5">
        <f t="shared" si="7"/>
        <v>346405.31303650135</v>
      </c>
      <c r="C253" s="5">
        <f>IF(A253="","",B253*'Mortgage Inputs'!$B$15)</f>
        <v>1844.6082919193695</v>
      </c>
      <c r="D253" s="5">
        <f>IF(A253="","",MIN(B253,MAX(0,'Mortgage Inputs'!$B$17-C253)))</f>
        <v>2216.9250758879839</v>
      </c>
      <c r="E253" s="5">
        <f t="shared" si="6"/>
        <v>344188.38796061336</v>
      </c>
      <c r="F253" s="5">
        <f>IF('Monthly Projection'!A253="",0,'Monthly Projection'!G253)</f>
        <v>82109.703527101883</v>
      </c>
    </row>
    <row r="254" spans="1:6">
      <c r="A254">
        <f>IF(AND('Mortgage Inputs'!$B$12,248&lt;=IF('Mortgage Inputs'!$B$12,'Mortgage Inputs'!$B$7,0)*12+600,ISNUMBER(E253),E253&gt;0.005),248,"")</f>
        <v>248</v>
      </c>
      <c r="B254" s="5">
        <f t="shared" si="7"/>
        <v>344188.38796061336</v>
      </c>
      <c r="C254" s="5">
        <f>IF(A254="","",B254*'Mortgage Inputs'!$B$15)</f>
        <v>1832.803165890266</v>
      </c>
      <c r="D254" s="5">
        <f>IF(A254="","",MIN(B254,MAX(0,'Mortgage Inputs'!$B$17-C254)))</f>
        <v>2228.7302019170875</v>
      </c>
      <c r="E254" s="5">
        <f t="shared" si="6"/>
        <v>341959.6577586963</v>
      </c>
      <c r="F254" s="5">
        <f>IF('Monthly Projection'!A254="",0,'Monthly Projection'!G254)</f>
        <v>78048.170159294532</v>
      </c>
    </row>
    <row r="255" spans="1:6">
      <c r="A255">
        <f>IF(AND('Mortgage Inputs'!$B$12,249&lt;=IF('Mortgage Inputs'!$B$12,'Mortgage Inputs'!$B$7,0)*12+600,ISNUMBER(E254),E254&gt;0.005),249,"")</f>
        <v>249</v>
      </c>
      <c r="B255" s="5">
        <f t="shared" si="7"/>
        <v>341959.6577586963</v>
      </c>
      <c r="C255" s="5">
        <f>IF(A255="","",B255*'Mortgage Inputs'!$B$15)</f>
        <v>1820.9351775650578</v>
      </c>
      <c r="D255" s="5">
        <f>IF(A255="","",MIN(B255,MAX(0,'Mortgage Inputs'!$B$17-C255)))</f>
        <v>2240.5981902422955</v>
      </c>
      <c r="E255" s="5">
        <f t="shared" si="6"/>
        <v>339719.05956845399</v>
      </c>
      <c r="F255" s="5">
        <f>IF('Monthly Projection'!A255="",0,'Monthly Projection'!G255)</f>
        <v>73986.636791487181</v>
      </c>
    </row>
    <row r="256" spans="1:6">
      <c r="A256">
        <f>IF(AND('Mortgage Inputs'!$B$12,250&lt;=IF('Mortgage Inputs'!$B$12,'Mortgage Inputs'!$B$7,0)*12+600,ISNUMBER(E255),E255&gt;0.005),250,"")</f>
        <v>250</v>
      </c>
      <c r="B256" s="5">
        <f t="shared" si="7"/>
        <v>339719.05956845399</v>
      </c>
      <c r="C256" s="5">
        <f>IF(A256="","",B256*'Mortgage Inputs'!$B$15)</f>
        <v>1809.0039922020173</v>
      </c>
      <c r="D256" s="5">
        <f>IF(A256="","",MIN(B256,MAX(0,'Mortgage Inputs'!$B$17-C256)))</f>
        <v>2252.5293756053361</v>
      </c>
      <c r="E256" s="5">
        <f t="shared" si="6"/>
        <v>337466.53019284864</v>
      </c>
      <c r="F256" s="5">
        <f>IF('Monthly Projection'!A256="",0,'Monthly Projection'!G256)</f>
        <v>69925.10342367983</v>
      </c>
    </row>
    <row r="257" spans="1:6">
      <c r="A257">
        <f>IF(AND('Mortgage Inputs'!$B$12,251&lt;=IF('Mortgage Inputs'!$B$12,'Mortgage Inputs'!$B$7,0)*12+600,ISNUMBER(E256),E256&gt;0.005),251,"")</f>
        <v>251</v>
      </c>
      <c r="B257" s="5">
        <f t="shared" si="7"/>
        <v>337466.53019284864</v>
      </c>
      <c r="C257" s="5">
        <f>IF(A257="","",B257*'Mortgage Inputs'!$B$15)</f>
        <v>1797.009273276919</v>
      </c>
      <c r="D257" s="5">
        <f>IF(A257="","",MIN(B257,MAX(0,'Mortgage Inputs'!$B$17-C257)))</f>
        <v>2264.5240945304345</v>
      </c>
      <c r="E257" s="5">
        <f t="shared" si="6"/>
        <v>335202.0060983182</v>
      </c>
      <c r="F257" s="5">
        <f>IF('Monthly Projection'!A257="",0,'Monthly Projection'!G257)</f>
        <v>65863.570055872478</v>
      </c>
    </row>
    <row r="258" spans="1:6">
      <c r="A258">
        <f>IF(AND('Mortgage Inputs'!$B$12,252&lt;=IF('Mortgage Inputs'!$B$12,'Mortgage Inputs'!$B$7,0)*12+600,ISNUMBER(E257),E257&gt;0.005),252,"")</f>
        <v>252</v>
      </c>
      <c r="B258" s="5">
        <f t="shared" si="7"/>
        <v>335202.0060983182</v>
      </c>
      <c r="C258" s="5">
        <f>IF(A258="","",B258*'Mortgage Inputs'!$B$15)</f>
        <v>1784.9506824735445</v>
      </c>
      <c r="D258" s="5">
        <f>IF(A258="","",MIN(B258,MAX(0,'Mortgage Inputs'!$B$17-C258)))</f>
        <v>2276.582685333809</v>
      </c>
      <c r="E258" s="5">
        <f t="shared" si="6"/>
        <v>332925.42341298441</v>
      </c>
      <c r="F258" s="5">
        <f>IF('Monthly Projection'!A258="",0,'Monthly Projection'!G258)</f>
        <v>61802.036688065127</v>
      </c>
    </row>
    <row r="259" spans="1:6">
      <c r="A259">
        <f>IF(AND('Mortgage Inputs'!$B$12,253&lt;=IF('Mortgage Inputs'!$B$12,'Mortgage Inputs'!$B$7,0)*12+600,ISNUMBER(E258),E258&gt;0.005),253,"")</f>
        <v>253</v>
      </c>
      <c r="B259" s="5">
        <f t="shared" si="7"/>
        <v>332925.42341298441</v>
      </c>
      <c r="C259" s="5">
        <f>IF(A259="","",B259*'Mortgage Inputs'!$B$15)</f>
        <v>1772.827879674142</v>
      </c>
      <c r="D259" s="5">
        <f>IF(A259="","",MIN(B259,MAX(0,'Mortgage Inputs'!$B$17-C259)))</f>
        <v>2288.7054881332115</v>
      </c>
      <c r="E259" s="5">
        <f t="shared" si="6"/>
        <v>330636.71792485123</v>
      </c>
      <c r="F259" s="5">
        <f>IF('Monthly Projection'!A259="",0,'Monthly Projection'!G259)</f>
        <v>57740.503320257776</v>
      </c>
    </row>
    <row r="260" spans="1:6">
      <c r="A260">
        <f>IF(AND('Mortgage Inputs'!$B$12,254&lt;=IF('Mortgage Inputs'!$B$12,'Mortgage Inputs'!$B$7,0)*12+600,ISNUMBER(E259),E259&gt;0.005),254,"")</f>
        <v>254</v>
      </c>
      <c r="B260" s="5">
        <f t="shared" si="7"/>
        <v>330636.71792485123</v>
      </c>
      <c r="C260" s="5">
        <f>IF(A260="","",B260*'Mortgage Inputs'!$B$15)</f>
        <v>1760.6405229498328</v>
      </c>
      <c r="D260" s="5">
        <f>IF(A260="","",MIN(B260,MAX(0,'Mortgage Inputs'!$B$17-C260)))</f>
        <v>2300.8928448575207</v>
      </c>
      <c r="E260" s="5">
        <f t="shared" si="6"/>
        <v>328335.82507999369</v>
      </c>
      <c r="F260" s="5">
        <f>IF('Monthly Projection'!A260="",0,'Monthly Projection'!G260)</f>
        <v>53678.969952450425</v>
      </c>
    </row>
    <row r="261" spans="1:6">
      <c r="A261">
        <f>IF(AND('Mortgage Inputs'!$B$12,255&lt;=IF('Mortgage Inputs'!$B$12,'Mortgage Inputs'!$B$7,0)*12+600,ISNUMBER(E260),E260&gt;0.005),255,"")</f>
        <v>255</v>
      </c>
      <c r="B261" s="5">
        <f t="shared" si="7"/>
        <v>328335.82507999369</v>
      </c>
      <c r="C261" s="5">
        <f>IF(A261="","",B261*'Mortgage Inputs'!$B$15)</f>
        <v>1748.3882685509664</v>
      </c>
      <c r="D261" s="5">
        <f>IF(A261="","",MIN(B261,MAX(0,'Mortgage Inputs'!$B$17-C261)))</f>
        <v>2313.1450992563869</v>
      </c>
      <c r="E261" s="5">
        <f t="shared" si="6"/>
        <v>326022.67998073733</v>
      </c>
      <c r="F261" s="5">
        <f>IF('Monthly Projection'!A261="",0,'Monthly Projection'!G261)</f>
        <v>49617.436584643074</v>
      </c>
    </row>
    <row r="262" spans="1:6">
      <c r="A262">
        <f>IF(AND('Mortgage Inputs'!$B$12,256&lt;=IF('Mortgage Inputs'!$B$12,'Mortgage Inputs'!$B$7,0)*12+600,ISNUMBER(E261),E261&gt;0.005),256,"")</f>
        <v>256</v>
      </c>
      <c r="B262" s="5">
        <f t="shared" si="7"/>
        <v>326022.67998073733</v>
      </c>
      <c r="C262" s="5">
        <f>IF(A262="","",B262*'Mortgage Inputs'!$B$15)</f>
        <v>1736.0707708974262</v>
      </c>
      <c r="D262" s="5">
        <f>IF(A262="","",MIN(B262,MAX(0,'Mortgage Inputs'!$B$17-C262)))</f>
        <v>2325.462596909927</v>
      </c>
      <c r="E262" s="5">
        <f t="shared" si="6"/>
        <v>323697.21738382743</v>
      </c>
      <c r="F262" s="5">
        <f>IF('Monthly Projection'!A262="",0,'Monthly Projection'!G262)</f>
        <v>45555.903216835723</v>
      </c>
    </row>
    <row r="263" spans="1:6">
      <c r="A263">
        <f>IF(AND('Mortgage Inputs'!$B$12,257&lt;=IF('Mortgage Inputs'!$B$12,'Mortgage Inputs'!$B$7,0)*12+600,ISNUMBER(E262),E262&gt;0.005),257,"")</f>
        <v>257</v>
      </c>
      <c r="B263" s="5">
        <f t="shared" si="7"/>
        <v>323697.21738382743</v>
      </c>
      <c r="C263" s="5">
        <f>IF(A263="","",B263*'Mortgage Inputs'!$B$15)</f>
        <v>1723.687682568881</v>
      </c>
      <c r="D263" s="5">
        <f>IF(A263="","",MIN(B263,MAX(0,'Mortgage Inputs'!$B$17-C263)))</f>
        <v>2337.8456852384725</v>
      </c>
      <c r="E263" s="5">
        <f t="shared" ref="E263:E326" si="8">IF(A263="","",MAX(0,B263-D263))</f>
        <v>321359.37169858895</v>
      </c>
      <c r="F263" s="5">
        <f>IF('Monthly Projection'!A263="",0,'Monthly Projection'!G263)</f>
        <v>41494.369849028371</v>
      </c>
    </row>
    <row r="264" spans="1:6">
      <c r="A264">
        <f>IF(AND('Mortgage Inputs'!$B$12,258&lt;=IF('Mortgage Inputs'!$B$12,'Mortgage Inputs'!$B$7,0)*12+600,ISNUMBER(E263),E263&gt;0.005),258,"")</f>
        <v>258</v>
      </c>
      <c r="B264" s="5">
        <f t="shared" ref="B264:B327" si="9">IF(A264="","",E263)</f>
        <v>321359.37169858895</v>
      </c>
      <c r="C264" s="5">
        <f>IF(A264="","",B264*'Mortgage Inputs'!$B$15)</f>
        <v>1711.2386542949862</v>
      </c>
      <c r="D264" s="5">
        <f>IF(A264="","",MIN(B264,MAX(0,'Mortgage Inputs'!$B$17-C264)))</f>
        <v>2350.2947135123673</v>
      </c>
      <c r="E264" s="5">
        <f t="shared" si="8"/>
        <v>319009.07698507659</v>
      </c>
      <c r="F264" s="5">
        <f>IF('Monthly Projection'!A264="",0,'Monthly Projection'!G264)</f>
        <v>37432.83648122102</v>
      </c>
    </row>
    <row r="265" spans="1:6">
      <c r="A265">
        <f>IF(AND('Mortgage Inputs'!$B$12,259&lt;=IF('Mortgage Inputs'!$B$12,'Mortgage Inputs'!$B$7,0)*12+600,ISNUMBER(E264),E264&gt;0.005),259,"")</f>
        <v>259</v>
      </c>
      <c r="B265" s="5">
        <f t="shared" si="9"/>
        <v>319009.07698507659</v>
      </c>
      <c r="C265" s="5">
        <f>IF(A265="","",B265*'Mortgage Inputs'!$B$15)</f>
        <v>1698.7233349455328</v>
      </c>
      <c r="D265" s="5">
        <f>IF(A265="","",MIN(B265,MAX(0,'Mortgage Inputs'!$B$17-C265)))</f>
        <v>2362.8100328618207</v>
      </c>
      <c r="E265" s="5">
        <f t="shared" si="8"/>
        <v>316646.26695221476</v>
      </c>
      <c r="F265" s="5">
        <f>IF('Monthly Projection'!A265="",0,'Monthly Projection'!G265)</f>
        <v>33371.303113413669</v>
      </c>
    </row>
    <row r="266" spans="1:6">
      <c r="A266">
        <f>IF(AND('Mortgage Inputs'!$B$12,260&lt;=IF('Mortgage Inputs'!$B$12,'Mortgage Inputs'!$B$7,0)*12+600,ISNUMBER(E265),E265&gt;0.005),260,"")</f>
        <v>260</v>
      </c>
      <c r="B266" s="5">
        <f t="shared" si="9"/>
        <v>316646.26695221476</v>
      </c>
      <c r="C266" s="5">
        <f>IF(A266="","",B266*'Mortgage Inputs'!$B$15)</f>
        <v>1686.1413715205435</v>
      </c>
      <c r="D266" s="5">
        <f>IF(A266="","",MIN(B266,MAX(0,'Mortgage Inputs'!$B$17-C266)))</f>
        <v>2375.3919962868099</v>
      </c>
      <c r="E266" s="5">
        <f t="shared" si="8"/>
        <v>314270.87495592795</v>
      </c>
      <c r="F266" s="5">
        <f>IF('Monthly Projection'!A266="",0,'Monthly Projection'!G266)</f>
        <v>29309.769745606314</v>
      </c>
    </row>
    <row r="267" spans="1:6">
      <c r="A267">
        <f>IF(AND('Mortgage Inputs'!$B$12,261&lt;=IF('Mortgage Inputs'!$B$12,'Mortgage Inputs'!$B$7,0)*12+600,ISNUMBER(E266),E266&gt;0.005),261,"")</f>
        <v>261</v>
      </c>
      <c r="B267" s="5">
        <f t="shared" si="9"/>
        <v>314270.87495592795</v>
      </c>
      <c r="C267" s="5">
        <f>IF(A267="","",B267*'Mortgage Inputs'!$B$15)</f>
        <v>1673.4924091403163</v>
      </c>
      <c r="D267" s="5">
        <f>IF(A267="","",MIN(B267,MAX(0,'Mortgage Inputs'!$B$17-C267)))</f>
        <v>2388.0409586670371</v>
      </c>
      <c r="E267" s="5">
        <f t="shared" si="8"/>
        <v>311882.8339972609</v>
      </c>
      <c r="F267" s="5">
        <f>IF('Monthly Projection'!A267="",0,'Monthly Projection'!G267)</f>
        <v>25248.236377798959</v>
      </c>
    </row>
    <row r="268" spans="1:6">
      <c r="A268">
        <f>IF(AND('Mortgage Inputs'!$B$12,262&lt;=IF('Mortgage Inputs'!$B$12,'Mortgage Inputs'!$B$7,0)*12+600,ISNUMBER(E267),E267&gt;0.005),262,"")</f>
        <v>262</v>
      </c>
      <c r="B268" s="5">
        <f t="shared" si="9"/>
        <v>311882.8339972609</v>
      </c>
      <c r="C268" s="5">
        <f>IF(A268="","",B268*'Mortgage Inputs'!$B$15)</f>
        <v>1660.7760910354143</v>
      </c>
      <c r="D268" s="5">
        <f>IF(A268="","",MIN(B268,MAX(0,'Mortgage Inputs'!$B$17-C268)))</f>
        <v>2400.7572767719394</v>
      </c>
      <c r="E268" s="5">
        <f t="shared" si="8"/>
        <v>309482.07672048896</v>
      </c>
      <c r="F268" s="5">
        <f>IF('Monthly Projection'!A268="",0,'Monthly Projection'!G268)</f>
        <v>21186.703009991605</v>
      </c>
    </row>
    <row r="269" spans="1:6">
      <c r="A269">
        <f>IF(AND('Mortgage Inputs'!$B$12,263&lt;=IF('Mortgage Inputs'!$B$12,'Mortgage Inputs'!$B$7,0)*12+600,ISNUMBER(E268),E268&gt;0.005),263,"")</f>
        <v>263</v>
      </c>
      <c r="B269" s="5">
        <f t="shared" si="9"/>
        <v>309482.07672048896</v>
      </c>
      <c r="C269" s="5">
        <f>IF(A269="","",B269*'Mortgage Inputs'!$B$15)</f>
        <v>1647.9920585366037</v>
      </c>
      <c r="D269" s="5">
        <f>IF(A269="","",MIN(B269,MAX(0,'Mortgage Inputs'!$B$17-C269)))</f>
        <v>2413.5413092707495</v>
      </c>
      <c r="E269" s="5">
        <f t="shared" si="8"/>
        <v>307068.53541121818</v>
      </c>
      <c r="F269" s="5">
        <f>IF('Monthly Projection'!A269="",0,'Monthly Projection'!G269)</f>
        <v>17125.16964218425</v>
      </c>
    </row>
    <row r="270" spans="1:6">
      <c r="A270">
        <f>IF(AND('Mortgage Inputs'!$B$12,264&lt;=IF('Mortgage Inputs'!$B$12,'Mortgage Inputs'!$B$7,0)*12+600,ISNUMBER(E269),E269&gt;0.005),264,"")</f>
        <v>264</v>
      </c>
      <c r="B270" s="5">
        <f t="shared" si="9"/>
        <v>307068.53541121818</v>
      </c>
      <c r="C270" s="5">
        <f>IF(A270="","",B270*'Mortgage Inputs'!$B$15)</f>
        <v>1635.1399510647368</v>
      </c>
      <c r="D270" s="5">
        <f>IF(A270="","",MIN(B270,MAX(0,'Mortgage Inputs'!$B$17-C270)))</f>
        <v>2426.3934167426169</v>
      </c>
      <c r="E270" s="5">
        <f t="shared" si="8"/>
        <v>304642.14199447556</v>
      </c>
      <c r="F270" s="5">
        <f>IF('Monthly Projection'!A270="",0,'Monthly Projection'!G270)</f>
        <v>13063.636274376897</v>
      </c>
    </row>
    <row r="271" spans="1:6">
      <c r="A271">
        <f>IF(AND('Mortgage Inputs'!$B$12,265&lt;=IF('Mortgage Inputs'!$B$12,'Mortgage Inputs'!$B$7,0)*12+600,ISNUMBER(E270),E270&gt;0.005),265,"")</f>
        <v>265</v>
      </c>
      <c r="B271" s="5">
        <f t="shared" si="9"/>
        <v>304642.14199447556</v>
      </c>
      <c r="C271" s="5">
        <f>IF(A271="","",B271*'Mortgage Inputs'!$B$15)</f>
        <v>1622.2194061205823</v>
      </c>
      <c r="D271" s="5">
        <f>IF(A271="","",MIN(B271,MAX(0,'Mortgage Inputs'!$B$17-C271)))</f>
        <v>2439.3139616867711</v>
      </c>
      <c r="E271" s="5">
        <f t="shared" si="8"/>
        <v>302202.82803278876</v>
      </c>
      <c r="F271" s="5">
        <f>IF('Monthly Projection'!A271="",0,'Monthly Projection'!G271)</f>
        <v>9002.1029065695438</v>
      </c>
    </row>
    <row r="272" spans="1:6">
      <c r="A272">
        <f>IF(AND('Mortgage Inputs'!$B$12,266&lt;=IF('Mortgage Inputs'!$B$12,'Mortgage Inputs'!$B$7,0)*12+600,ISNUMBER(E271),E271&gt;0.005),266,"")</f>
        <v>266</v>
      </c>
      <c r="B272" s="5">
        <f t="shared" si="9"/>
        <v>302202.82803278876</v>
      </c>
      <c r="C272" s="5">
        <f>IF(A272="","",B272*'Mortgage Inputs'!$B$15)</f>
        <v>1609.2300592746001</v>
      </c>
      <c r="D272" s="5">
        <f>IF(A272="","",MIN(B272,MAX(0,'Mortgage Inputs'!$B$17-C272)))</f>
        <v>2452.3033085327534</v>
      </c>
      <c r="E272" s="5">
        <f t="shared" si="8"/>
        <v>299750.52472425601</v>
      </c>
      <c r="F272" s="5">
        <f>IF('Monthly Projection'!A272="",0,'Monthly Projection'!G272)</f>
        <v>4940.5695387621909</v>
      </c>
    </row>
    <row r="273" spans="1:6">
      <c r="A273">
        <f>IF(AND('Mortgage Inputs'!$B$12,267&lt;=IF('Mortgage Inputs'!$B$12,'Mortgage Inputs'!$B$7,0)*12+600,ISNUMBER(E272),E272&gt;0.005),267,"")</f>
        <v>267</v>
      </c>
      <c r="B273" s="5">
        <f t="shared" si="9"/>
        <v>299750.52472425601</v>
      </c>
      <c r="C273" s="5">
        <f>IF(A273="","",B273*'Mortgage Inputs'!$B$15)</f>
        <v>1596.1715441566632</v>
      </c>
      <c r="D273" s="5">
        <f>IF(A273="","",MIN(B273,MAX(0,'Mortgage Inputs'!$B$17-C273)))</f>
        <v>2465.36182365069</v>
      </c>
      <c r="E273" s="5">
        <f t="shared" si="8"/>
        <v>297285.1629006053</v>
      </c>
      <c r="F273" s="5">
        <f>IF('Monthly Projection'!A273="",0,'Monthly Projection'!G273)</f>
        <v>879.03617095483742</v>
      </c>
    </row>
    <row r="274" spans="1:6">
      <c r="A274">
        <f>IF(AND('Mortgage Inputs'!$B$12,268&lt;=IF('Mortgage Inputs'!$B$12,'Mortgage Inputs'!$B$7,0)*12+600,ISNUMBER(E273),E273&gt;0.005),268,"")</f>
        <v>268</v>
      </c>
      <c r="B274" s="5">
        <f t="shared" si="9"/>
        <v>297285.1629006053</v>
      </c>
      <c r="C274" s="5">
        <f>IF(A274="","",B274*'Mortgage Inputs'!$B$15)</f>
        <v>1583.0434924457231</v>
      </c>
      <c r="D274" s="5">
        <f>IF(A274="","",MIN(B274,MAX(0,'Mortgage Inputs'!$B$17-C274)))</f>
        <v>2478.4898753616303</v>
      </c>
      <c r="E274" s="5">
        <f t="shared" si="8"/>
        <v>294806.67302524368</v>
      </c>
      <c r="F274" s="5">
        <f>IF('Monthly Projection'!A274="",0,'Monthly Projection'!G274)</f>
        <v>0</v>
      </c>
    </row>
    <row r="275" spans="1:6">
      <c r="A275">
        <f>IF(AND('Mortgage Inputs'!$B$12,269&lt;=IF('Mortgage Inputs'!$B$12,'Mortgage Inputs'!$B$7,0)*12+600,ISNUMBER(E274),E274&gt;0.005),269,"")</f>
        <v>269</v>
      </c>
      <c r="B275" s="5">
        <f t="shared" si="9"/>
        <v>294806.67302524368</v>
      </c>
      <c r="C275" s="5">
        <f>IF(A275="","",B275*'Mortgage Inputs'!$B$15)</f>
        <v>1569.8455338594226</v>
      </c>
      <c r="D275" s="5">
        <f>IF(A275="","",MIN(B275,MAX(0,'Mortgage Inputs'!$B$17-C275)))</f>
        <v>2491.6878339479308</v>
      </c>
      <c r="E275" s="5">
        <f t="shared" si="8"/>
        <v>292314.98519129574</v>
      </c>
      <c r="F275" s="5">
        <f>IF('Monthly Projection'!A275="",0,'Monthly Projection'!G275)</f>
        <v>0</v>
      </c>
    </row>
    <row r="276" spans="1:6">
      <c r="A276">
        <f>IF(AND('Mortgage Inputs'!$B$12,270&lt;=IF('Mortgage Inputs'!$B$12,'Mortgage Inputs'!$B$7,0)*12+600,ISNUMBER(E275),E275&gt;0.005),270,"")</f>
        <v>270</v>
      </c>
      <c r="B276" s="5">
        <f t="shared" si="9"/>
        <v>292314.98519129574</v>
      </c>
      <c r="C276" s="5">
        <f>IF(A276="","",B276*'Mortgage Inputs'!$B$15)</f>
        <v>1556.5772961436498</v>
      </c>
      <c r="D276" s="5">
        <f>IF(A276="","",MIN(B276,MAX(0,'Mortgage Inputs'!$B$17-C276)))</f>
        <v>2504.9560716637034</v>
      </c>
      <c r="E276" s="5">
        <f t="shared" si="8"/>
        <v>289810.02911963203</v>
      </c>
      <c r="F276" s="5">
        <f>IF('Monthly Projection'!A276="",0,'Monthly Projection'!G276)</f>
        <v>0</v>
      </c>
    </row>
    <row r="277" spans="1:6">
      <c r="A277">
        <f>IF(AND('Mortgage Inputs'!$B$12,271&lt;=IF('Mortgage Inputs'!$B$12,'Mortgage Inputs'!$B$7,0)*12+600,ISNUMBER(E276),E276&gt;0.005),271,"")</f>
        <v>271</v>
      </c>
      <c r="B277" s="5">
        <f t="shared" si="9"/>
        <v>289810.02911963203</v>
      </c>
      <c r="C277" s="5">
        <f>IF(A277="","",B277*'Mortgage Inputs'!$B$15)</f>
        <v>1543.2384050620406</v>
      </c>
      <c r="D277" s="5">
        <f>IF(A277="","",MIN(B277,MAX(0,'Mortgage Inputs'!$B$17-C277)))</f>
        <v>2518.2949627453127</v>
      </c>
      <c r="E277" s="5">
        <f t="shared" si="8"/>
        <v>287291.7341568867</v>
      </c>
      <c r="F277" s="5">
        <f>IF('Monthly Projection'!A277="",0,'Monthly Projection'!G277)</f>
        <v>0</v>
      </c>
    </row>
    <row r="278" spans="1:6">
      <c r="A278">
        <f>IF(AND('Mortgage Inputs'!$B$12,272&lt;=IF('Mortgage Inputs'!$B$12,'Mortgage Inputs'!$B$7,0)*12+600,ISNUMBER(E277),E277&gt;0.005),272,"")</f>
        <v>272</v>
      </c>
      <c r="B278" s="5">
        <f t="shared" si="9"/>
        <v>287291.7341568867</v>
      </c>
      <c r="C278" s="5">
        <f>IF(A278="","",B278*'Mortgage Inputs'!$B$15)</f>
        <v>1529.8284843854217</v>
      </c>
      <c r="D278" s="5">
        <f>IF(A278="","",MIN(B278,MAX(0,'Mortgage Inputs'!$B$17-C278)))</f>
        <v>2531.7048834219318</v>
      </c>
      <c r="E278" s="5">
        <f t="shared" si="8"/>
        <v>284760.02927346475</v>
      </c>
      <c r="F278" s="5">
        <f>IF('Monthly Projection'!A278="",0,'Monthly Projection'!G278)</f>
        <v>0</v>
      </c>
    </row>
    <row r="279" spans="1:6">
      <c r="A279">
        <f>IF(AND('Mortgage Inputs'!$B$12,273&lt;=IF('Mortgage Inputs'!$B$12,'Mortgage Inputs'!$B$7,0)*12+600,ISNUMBER(E278),E278&gt;0.005),273,"")</f>
        <v>273</v>
      </c>
      <c r="B279" s="5">
        <f t="shared" si="9"/>
        <v>284760.02927346475</v>
      </c>
      <c r="C279" s="5">
        <f>IF(A279="","",B279*'Mortgage Inputs'!$B$15)</f>
        <v>1516.3471558811998</v>
      </c>
      <c r="D279" s="5">
        <f>IF(A279="","",MIN(B279,MAX(0,'Mortgage Inputs'!$B$17-C279)))</f>
        <v>2545.1862119261536</v>
      </c>
      <c r="E279" s="5">
        <f t="shared" si="8"/>
        <v>282214.84306153859</v>
      </c>
      <c r="F279" s="5">
        <f>IF('Monthly Projection'!A279="",0,'Monthly Projection'!G279)</f>
        <v>0</v>
      </c>
    </row>
    <row r="280" spans="1:6">
      <c r="A280">
        <f>IF(AND('Mortgage Inputs'!$B$12,274&lt;=IF('Mortgage Inputs'!$B$12,'Mortgage Inputs'!$B$7,0)*12+600,ISNUMBER(E279),E279&gt;0.005),274,"")</f>
        <v>274</v>
      </c>
      <c r="B280" s="5">
        <f t="shared" si="9"/>
        <v>282214.84306153859</v>
      </c>
      <c r="C280" s="5">
        <f>IF(A280="","",B280*'Mortgage Inputs'!$B$15)</f>
        <v>1502.7940393026929</v>
      </c>
      <c r="D280" s="5">
        <f>IF(A280="","",MIN(B280,MAX(0,'Mortgage Inputs'!$B$17-C280)))</f>
        <v>2558.7393285046605</v>
      </c>
      <c r="E280" s="5">
        <f t="shared" si="8"/>
        <v>279656.10373303393</v>
      </c>
      <c r="F280" s="5">
        <f>IF('Monthly Projection'!A280="",0,'Monthly Projection'!G280)</f>
        <v>0</v>
      </c>
    </row>
    <row r="281" spans="1:6">
      <c r="A281">
        <f>IF(AND('Mortgage Inputs'!$B$12,275&lt;=IF('Mortgage Inputs'!$B$12,'Mortgage Inputs'!$B$7,0)*12+600,ISNUMBER(E280),E280&gt;0.005),275,"")</f>
        <v>275</v>
      </c>
      <c r="B281" s="5">
        <f t="shared" si="9"/>
        <v>279656.10373303393</v>
      </c>
      <c r="C281" s="5">
        <f>IF(A281="","",B281*'Mortgage Inputs'!$B$15)</f>
        <v>1489.1687523784055</v>
      </c>
      <c r="D281" s="5">
        <f>IF(A281="","",MIN(B281,MAX(0,'Mortgage Inputs'!$B$17-C281)))</f>
        <v>2572.3646154289481</v>
      </c>
      <c r="E281" s="5">
        <f t="shared" si="8"/>
        <v>277083.73911760497</v>
      </c>
      <c r="F281" s="5">
        <f>IF('Monthly Projection'!A281="",0,'Monthly Projection'!G281)</f>
        <v>0</v>
      </c>
    </row>
    <row r="282" spans="1:6">
      <c r="A282">
        <f>IF(AND('Mortgage Inputs'!$B$12,276&lt;=IF('Mortgage Inputs'!$B$12,'Mortgage Inputs'!$B$7,0)*12+600,ISNUMBER(E281),E281&gt;0.005),276,"")</f>
        <v>276</v>
      </c>
      <c r="B282" s="5">
        <f t="shared" si="9"/>
        <v>277083.73911760497</v>
      </c>
      <c r="C282" s="5">
        <f>IF(A282="","",B282*'Mortgage Inputs'!$B$15)</f>
        <v>1475.4709108012464</v>
      </c>
      <c r="D282" s="5">
        <f>IF(A282="","",MIN(B282,MAX(0,'Mortgage Inputs'!$B$17-C282)))</f>
        <v>2586.0624570061073</v>
      </c>
      <c r="E282" s="5">
        <f t="shared" si="8"/>
        <v>274497.67666059884</v>
      </c>
      <c r="F282" s="5">
        <f>IF('Monthly Projection'!A282="",0,'Monthly Projection'!G282)</f>
        <v>0</v>
      </c>
    </row>
    <row r="283" spans="1:6">
      <c r="A283">
        <f>IF(AND('Mortgage Inputs'!$B$12,277&lt;=IF('Mortgage Inputs'!$B$12,'Mortgage Inputs'!$B$7,0)*12+600,ISNUMBER(E282),E282&gt;0.005),277,"")</f>
        <v>277</v>
      </c>
      <c r="B283" s="5">
        <f t="shared" si="9"/>
        <v>274497.67666059884</v>
      </c>
      <c r="C283" s="5">
        <f>IF(A283="","",B283*'Mortgage Inputs'!$B$15)</f>
        <v>1461.7001282176889</v>
      </c>
      <c r="D283" s="5">
        <f>IF(A283="","",MIN(B283,MAX(0,'Mortgage Inputs'!$B$17-C283)))</f>
        <v>2599.8332395896646</v>
      </c>
      <c r="E283" s="5">
        <f t="shared" si="8"/>
        <v>271897.84342100919</v>
      </c>
      <c r="F283" s="5">
        <f>IF('Monthly Projection'!A283="",0,'Monthly Projection'!G283)</f>
        <v>0</v>
      </c>
    </row>
    <row r="284" spans="1:6">
      <c r="A284">
        <f>IF(AND('Mortgage Inputs'!$B$12,278&lt;=IF('Mortgage Inputs'!$B$12,'Mortgage Inputs'!$B$7,0)*12+600,ISNUMBER(E283),E283&gt;0.005),278,"")</f>
        <v>278</v>
      </c>
      <c r="B284" s="5">
        <f t="shared" si="9"/>
        <v>271897.84342100919</v>
      </c>
      <c r="C284" s="5">
        <f>IF(A284="","",B284*'Mortgage Inputs'!$B$15)</f>
        <v>1447.856016216874</v>
      </c>
      <c r="D284" s="5">
        <f>IF(A284="","",MIN(B284,MAX(0,'Mortgage Inputs'!$B$17-C284)))</f>
        <v>2613.6773515904797</v>
      </c>
      <c r="E284" s="5">
        <f t="shared" si="8"/>
        <v>269284.16606941872</v>
      </c>
      <c r="F284" s="5">
        <f>IF('Monthly Projection'!A284="",0,'Monthly Projection'!G284)</f>
        <v>0</v>
      </c>
    </row>
    <row r="285" spans="1:6">
      <c r="A285">
        <f>IF(AND('Mortgage Inputs'!$B$12,279&lt;=IF('Mortgage Inputs'!$B$12,'Mortgage Inputs'!$B$7,0)*12+600,ISNUMBER(E284),E284&gt;0.005),279,"")</f>
        <v>279</v>
      </c>
      <c r="B285" s="5">
        <f t="shared" si="9"/>
        <v>269284.16606941872</v>
      </c>
      <c r="C285" s="5">
        <f>IF(A285="","",B285*'Mortgage Inputs'!$B$15)</f>
        <v>1433.9381843196547</v>
      </c>
      <c r="D285" s="5">
        <f>IF(A285="","",MIN(B285,MAX(0,'Mortgage Inputs'!$B$17-C285)))</f>
        <v>2627.5951834876987</v>
      </c>
      <c r="E285" s="5">
        <f t="shared" si="8"/>
        <v>266656.57088593103</v>
      </c>
      <c r="F285" s="5">
        <f>IF('Monthly Projection'!A285="",0,'Monthly Projection'!G285)</f>
        <v>0</v>
      </c>
    </row>
    <row r="286" spans="1:6">
      <c r="A286">
        <f>IF(AND('Mortgage Inputs'!$B$12,280&lt;=IF('Mortgage Inputs'!$B$12,'Mortgage Inputs'!$B$7,0)*12+600,ISNUMBER(E285),E285&gt;0.005),280,"")</f>
        <v>280</v>
      </c>
      <c r="B286" s="5">
        <f t="shared" si="9"/>
        <v>266656.57088593103</v>
      </c>
      <c r="C286" s="5">
        <f>IF(A286="","",B286*'Mortgage Inputs'!$B$15)</f>
        <v>1419.9462399675826</v>
      </c>
      <c r="D286" s="5">
        <f>IF(A286="","",MIN(B286,MAX(0,'Mortgage Inputs'!$B$17-C286)))</f>
        <v>2641.5871278397708</v>
      </c>
      <c r="E286" s="5">
        <f t="shared" si="8"/>
        <v>264014.98375809123</v>
      </c>
      <c r="F286" s="5">
        <f>IF('Monthly Projection'!A286="",0,'Monthly Projection'!G286)</f>
        <v>0</v>
      </c>
    </row>
    <row r="287" spans="1:6">
      <c r="A287">
        <f>IF(AND('Mortgage Inputs'!$B$12,281&lt;=IF('Mortgage Inputs'!$B$12,'Mortgage Inputs'!$B$7,0)*12+600,ISNUMBER(E286),E286&gt;0.005),281,"")</f>
        <v>281</v>
      </c>
      <c r="B287" s="5">
        <f t="shared" si="9"/>
        <v>264014.98375809123</v>
      </c>
      <c r="C287" s="5">
        <f>IF(A287="","",B287*'Mortgage Inputs'!$B$15)</f>
        <v>1405.8797885118358</v>
      </c>
      <c r="D287" s="5">
        <f>IF(A287="","",MIN(B287,MAX(0,'Mortgage Inputs'!$B$17-C287)))</f>
        <v>2655.6535792955174</v>
      </c>
      <c r="E287" s="5">
        <f t="shared" si="8"/>
        <v>261359.3301787957</v>
      </c>
      <c r="F287" s="5">
        <f>IF('Monthly Projection'!A287="",0,'Monthly Projection'!G287)</f>
        <v>0</v>
      </c>
    </row>
    <row r="288" spans="1:6">
      <c r="A288">
        <f>IF(AND('Mortgage Inputs'!$B$12,282&lt;=IF('Mortgage Inputs'!$B$12,'Mortgage Inputs'!$B$7,0)*12+600,ISNUMBER(E287),E287&gt;0.005),282,"")</f>
        <v>282</v>
      </c>
      <c r="B288" s="5">
        <f t="shared" si="9"/>
        <v>261359.3301787957</v>
      </c>
      <c r="C288" s="5">
        <f>IF(A288="","",B288*'Mortgage Inputs'!$B$15)</f>
        <v>1391.738433202087</v>
      </c>
      <c r="D288" s="5">
        <f>IF(A288="","",MIN(B288,MAX(0,'Mortgage Inputs'!$B$17-C288)))</f>
        <v>2669.7949346052665</v>
      </c>
      <c r="E288" s="5">
        <f t="shared" si="8"/>
        <v>258689.53524419043</v>
      </c>
      <c r="F288" s="5">
        <f>IF('Monthly Projection'!A288="",0,'Monthly Projection'!G288)</f>
        <v>0</v>
      </c>
    </row>
    <row r="289" spans="1:6">
      <c r="A289">
        <f>IF(AND('Mortgage Inputs'!$B$12,283&lt;=IF('Mortgage Inputs'!$B$12,'Mortgage Inputs'!$B$7,0)*12+600,ISNUMBER(E288),E288&gt;0.005),283,"")</f>
        <v>283</v>
      </c>
      <c r="B289" s="5">
        <f t="shared" si="9"/>
        <v>258689.53524419043</v>
      </c>
      <c r="C289" s="5">
        <f>IF(A289="","",B289*'Mortgage Inputs'!$B$15)</f>
        <v>1377.5217751753139</v>
      </c>
      <c r="D289" s="5">
        <f>IF(A289="","",MIN(B289,MAX(0,'Mortgage Inputs'!$B$17-C289)))</f>
        <v>2684.0115926320395</v>
      </c>
      <c r="E289" s="5">
        <f t="shared" si="8"/>
        <v>256005.52365155838</v>
      </c>
      <c r="F289" s="5">
        <f>IF('Monthly Projection'!A289="",0,'Monthly Projection'!G289)</f>
        <v>0</v>
      </c>
    </row>
    <row r="290" spans="1:6">
      <c r="A290">
        <f>IF(AND('Mortgage Inputs'!$B$12,284&lt;=IF('Mortgage Inputs'!$B$12,'Mortgage Inputs'!$B$7,0)*12+600,ISNUMBER(E289),E289&gt;0.005),284,"")</f>
        <v>284</v>
      </c>
      <c r="B290" s="5">
        <f t="shared" si="9"/>
        <v>256005.52365155838</v>
      </c>
      <c r="C290" s="5">
        <f>IF(A290="","",B290*'Mortgage Inputs'!$B$15)</f>
        <v>1363.2294134445483</v>
      </c>
      <c r="D290" s="5">
        <f>IF(A290="","",MIN(B290,MAX(0,'Mortgage Inputs'!$B$17-C290)))</f>
        <v>2698.3039543628051</v>
      </c>
      <c r="E290" s="5">
        <f t="shared" si="8"/>
        <v>253307.21969719557</v>
      </c>
      <c r="F290" s="5">
        <f>IF('Monthly Projection'!A290="",0,'Monthly Projection'!G290)</f>
        <v>0</v>
      </c>
    </row>
    <row r="291" spans="1:6">
      <c r="A291">
        <f>IF(AND('Mortgage Inputs'!$B$12,285&lt;=IF('Mortgage Inputs'!$B$12,'Mortgage Inputs'!$B$7,0)*12+600,ISNUMBER(E290),E290&gt;0.005),285,"")</f>
        <v>285</v>
      </c>
      <c r="B291" s="5">
        <f t="shared" si="9"/>
        <v>253307.21969719557</v>
      </c>
      <c r="C291" s="5">
        <f>IF(A291="","",B291*'Mortgage Inputs'!$B$15)</f>
        <v>1348.8609448875663</v>
      </c>
      <c r="D291" s="5">
        <f>IF(A291="","",MIN(B291,MAX(0,'Mortgage Inputs'!$B$17-C291)))</f>
        <v>2712.6724229197871</v>
      </c>
      <c r="E291" s="5">
        <f t="shared" si="8"/>
        <v>250594.54727427577</v>
      </c>
      <c r="F291" s="5">
        <f>IF('Monthly Projection'!A291="",0,'Monthly Projection'!G291)</f>
        <v>0</v>
      </c>
    </row>
    <row r="292" spans="1:6">
      <c r="A292">
        <f>IF(AND('Mortgage Inputs'!$B$12,286&lt;=IF('Mortgage Inputs'!$B$12,'Mortgage Inputs'!$B$7,0)*12+600,ISNUMBER(E291),E291&gt;0.005),286,"")</f>
        <v>286</v>
      </c>
      <c r="B292" s="5">
        <f t="shared" si="9"/>
        <v>250594.54727427577</v>
      </c>
      <c r="C292" s="5">
        <f>IF(A292="","",B292*'Mortgage Inputs'!$B$15)</f>
        <v>1334.4159642355185</v>
      </c>
      <c r="D292" s="5">
        <f>IF(A292="","",MIN(B292,MAX(0,'Mortgage Inputs'!$B$17-C292)))</f>
        <v>2727.117403571835</v>
      </c>
      <c r="E292" s="5">
        <f t="shared" si="8"/>
        <v>247867.42987070393</v>
      </c>
      <c r="F292" s="5">
        <f>IF('Monthly Projection'!A292="",0,'Monthly Projection'!G292)</f>
        <v>0</v>
      </c>
    </row>
    <row r="293" spans="1:6">
      <c r="A293">
        <f>IF(AND('Mortgage Inputs'!$B$12,287&lt;=IF('Mortgage Inputs'!$B$12,'Mortgage Inputs'!$B$7,0)*12+600,ISNUMBER(E292),E292&gt;0.005),287,"")</f>
        <v>287</v>
      </c>
      <c r="B293" s="5">
        <f t="shared" si="9"/>
        <v>247867.42987070393</v>
      </c>
      <c r="C293" s="5">
        <f>IF(A293="","",B293*'Mortgage Inputs'!$B$15)</f>
        <v>1319.8940640614983</v>
      </c>
      <c r="D293" s="5">
        <f>IF(A293="","",MIN(B293,MAX(0,'Mortgage Inputs'!$B$17-C293)))</f>
        <v>2741.6393037458552</v>
      </c>
      <c r="E293" s="5">
        <f t="shared" si="8"/>
        <v>245125.79056695808</v>
      </c>
      <c r="F293" s="5">
        <f>IF('Monthly Projection'!A293="",0,'Monthly Projection'!G293)</f>
        <v>0</v>
      </c>
    </row>
    <row r="294" spans="1:6">
      <c r="A294">
        <f>IF(AND('Mortgage Inputs'!$B$12,288&lt;=IF('Mortgage Inputs'!$B$12,'Mortgage Inputs'!$B$7,0)*12+600,ISNUMBER(E293),E293&gt;0.005),288,"")</f>
        <v>288</v>
      </c>
      <c r="B294" s="5">
        <f t="shared" si="9"/>
        <v>245125.79056695808</v>
      </c>
      <c r="C294" s="5">
        <f>IF(A294="","",B294*'Mortgage Inputs'!$B$15)</f>
        <v>1305.2948347690517</v>
      </c>
      <c r="D294" s="5">
        <f>IF(A294="","",MIN(B294,MAX(0,'Mortgage Inputs'!$B$17-C294)))</f>
        <v>2756.2385330383017</v>
      </c>
      <c r="E294" s="5">
        <f t="shared" si="8"/>
        <v>242369.55203391978</v>
      </c>
      <c r="F294" s="5">
        <f>IF('Monthly Projection'!A294="",0,'Monthly Projection'!G294)</f>
        <v>0</v>
      </c>
    </row>
    <row r="295" spans="1:6">
      <c r="A295">
        <f>IF(AND('Mortgage Inputs'!$B$12,289&lt;=IF('Mortgage Inputs'!$B$12,'Mortgage Inputs'!$B$7,0)*12+600,ISNUMBER(E294),E294&gt;0.005),289,"")</f>
        <v>289</v>
      </c>
      <c r="B295" s="5">
        <f t="shared" si="9"/>
        <v>242369.55203391978</v>
      </c>
      <c r="C295" s="5">
        <f>IF(A295="","",B295*'Mortgage Inputs'!$B$15)</f>
        <v>1290.6178645806228</v>
      </c>
      <c r="D295" s="5">
        <f>IF(A295="","",MIN(B295,MAX(0,'Mortgage Inputs'!$B$17-C295)))</f>
        <v>2770.9155032267308</v>
      </c>
      <c r="E295" s="5">
        <f t="shared" si="8"/>
        <v>239598.63653069304</v>
      </c>
      <c r="F295" s="5">
        <f>IF('Monthly Projection'!A295="",0,'Monthly Projection'!G295)</f>
        <v>0</v>
      </c>
    </row>
    <row r="296" spans="1:6">
      <c r="A296">
        <f>IF(AND('Mortgage Inputs'!$B$12,290&lt;=IF('Mortgage Inputs'!$B$12,'Mortgage Inputs'!$B$7,0)*12+600,ISNUMBER(E295),E295&gt;0.005),290,"")</f>
        <v>290</v>
      </c>
      <c r="B296" s="5">
        <f t="shared" si="9"/>
        <v>239598.63653069304</v>
      </c>
      <c r="C296" s="5">
        <f>IF(A296="","",B296*'Mortgage Inputs'!$B$15)</f>
        <v>1275.8627395259405</v>
      </c>
      <c r="D296" s="5">
        <f>IF(A296="","",MIN(B296,MAX(0,'Mortgage Inputs'!$B$17-C296)))</f>
        <v>2785.670628281413</v>
      </c>
      <c r="E296" s="5">
        <f t="shared" si="8"/>
        <v>236812.96590241161</v>
      </c>
      <c r="F296" s="5">
        <f>IF('Monthly Projection'!A296="",0,'Monthly Projection'!G296)</f>
        <v>0</v>
      </c>
    </row>
    <row r="297" spans="1:6">
      <c r="A297">
        <f>IF(AND('Mortgage Inputs'!$B$12,291&lt;=IF('Mortgage Inputs'!$B$12,'Mortgage Inputs'!$B$7,0)*12+600,ISNUMBER(E296),E296&gt;0.005),291,"")</f>
        <v>291</v>
      </c>
      <c r="B297" s="5">
        <f t="shared" si="9"/>
        <v>236812.96590241161</v>
      </c>
      <c r="C297" s="5">
        <f>IF(A297="","",B297*'Mortgage Inputs'!$B$15)</f>
        <v>1261.0290434303417</v>
      </c>
      <c r="D297" s="5">
        <f>IF(A297="","",MIN(B297,MAX(0,'Mortgage Inputs'!$B$17-C297)))</f>
        <v>2800.5043243770115</v>
      </c>
      <c r="E297" s="5">
        <f t="shared" si="8"/>
        <v>234012.46157803459</v>
      </c>
      <c r="F297" s="5">
        <f>IF('Monthly Projection'!A297="",0,'Monthly Projection'!G297)</f>
        <v>0</v>
      </c>
    </row>
    <row r="298" spans="1:6">
      <c r="A298">
        <f>IF(AND('Mortgage Inputs'!$B$12,292&lt;=IF('Mortgage Inputs'!$B$12,'Mortgage Inputs'!$B$7,0)*12+600,ISNUMBER(E297),E297&gt;0.005),292,"")</f>
        <v>292</v>
      </c>
      <c r="B298" s="5">
        <f t="shared" si="9"/>
        <v>234012.46157803459</v>
      </c>
      <c r="C298" s="5">
        <f>IF(A298="","",B298*'Mortgage Inputs'!$B$15)</f>
        <v>1246.1163579030342</v>
      </c>
      <c r="D298" s="5">
        <f>IF(A298="","",MIN(B298,MAX(0,'Mortgage Inputs'!$B$17-C298)))</f>
        <v>2815.4170099043195</v>
      </c>
      <c r="E298" s="5">
        <f t="shared" si="8"/>
        <v>231197.04456813028</v>
      </c>
      <c r="F298" s="5">
        <f>IF('Monthly Projection'!A298="",0,'Monthly Projection'!G298)</f>
        <v>0</v>
      </c>
    </row>
    <row r="299" spans="1:6">
      <c r="A299">
        <f>IF(AND('Mortgage Inputs'!$B$12,293&lt;=IF('Mortgage Inputs'!$B$12,'Mortgage Inputs'!$B$7,0)*12+600,ISNUMBER(E298),E298&gt;0.005),293,"")</f>
        <v>293</v>
      </c>
      <c r="B299" s="5">
        <f t="shared" si="9"/>
        <v>231197.04456813028</v>
      </c>
      <c r="C299" s="5">
        <f>IF(A299="","",B299*'Mortgage Inputs'!$B$15)</f>
        <v>1231.1242623252938</v>
      </c>
      <c r="D299" s="5">
        <f>IF(A299="","",MIN(B299,MAX(0,'Mortgage Inputs'!$B$17-C299)))</f>
        <v>2830.4091054820597</v>
      </c>
      <c r="E299" s="5">
        <f t="shared" si="8"/>
        <v>228366.63546264824</v>
      </c>
      <c r="F299" s="5">
        <f>IF('Monthly Projection'!A299="",0,'Monthly Projection'!G299)</f>
        <v>0</v>
      </c>
    </row>
    <row r="300" spans="1:6">
      <c r="A300">
        <f>IF(AND('Mortgage Inputs'!$B$12,294&lt;=IF('Mortgage Inputs'!$B$12,'Mortgage Inputs'!$B$7,0)*12+600,ISNUMBER(E299),E299&gt;0.005),294,"")</f>
        <v>294</v>
      </c>
      <c r="B300" s="5">
        <f t="shared" si="9"/>
        <v>228366.63546264824</v>
      </c>
      <c r="C300" s="5">
        <f>IF(A300="","",B300*'Mortgage Inputs'!$B$15)</f>
        <v>1216.0523338386017</v>
      </c>
      <c r="D300" s="5">
        <f>IF(A300="","",MIN(B300,MAX(0,'Mortgage Inputs'!$B$17-C300)))</f>
        <v>2845.4810339687519</v>
      </c>
      <c r="E300" s="5">
        <f t="shared" si="8"/>
        <v>225521.1544286795</v>
      </c>
      <c r="F300" s="5">
        <f>IF('Monthly Projection'!A300="",0,'Monthly Projection'!G300)</f>
        <v>0</v>
      </c>
    </row>
    <row r="301" spans="1:6">
      <c r="A301">
        <f>IF(AND('Mortgage Inputs'!$B$12,295&lt;=IF('Mortgage Inputs'!$B$12,'Mortgage Inputs'!$B$7,0)*12+600,ISNUMBER(E300),E300&gt;0.005),295,"")</f>
        <v>295</v>
      </c>
      <c r="B301" s="5">
        <f t="shared" si="9"/>
        <v>225521.1544286795</v>
      </c>
      <c r="C301" s="5">
        <f>IF(A301="","",B301*'Mortgage Inputs'!$B$15)</f>
        <v>1200.9001473327182</v>
      </c>
      <c r="D301" s="5">
        <f>IF(A301="","",MIN(B301,MAX(0,'Mortgage Inputs'!$B$17-C301)))</f>
        <v>2860.633220474635</v>
      </c>
      <c r="E301" s="5">
        <f t="shared" si="8"/>
        <v>222660.52120820485</v>
      </c>
      <c r="F301" s="5">
        <f>IF('Monthly Projection'!A301="",0,'Monthly Projection'!G301)</f>
        <v>0</v>
      </c>
    </row>
    <row r="302" spans="1:6">
      <c r="A302">
        <f>IF(AND('Mortgage Inputs'!$B$12,296&lt;=IF('Mortgage Inputs'!$B$12,'Mortgage Inputs'!$B$7,0)*12+600,ISNUMBER(E301),E301&gt;0.005),296,"")</f>
        <v>296</v>
      </c>
      <c r="B302" s="5">
        <f t="shared" si="9"/>
        <v>222660.52120820485</v>
      </c>
      <c r="C302" s="5">
        <f>IF(A302="","",B302*'Mortgage Inputs'!$B$15)</f>
        <v>1185.6672754336907</v>
      </c>
      <c r="D302" s="5">
        <f>IF(A302="","",MIN(B302,MAX(0,'Mortgage Inputs'!$B$17-C302)))</f>
        <v>2875.8660923736625</v>
      </c>
      <c r="E302" s="5">
        <f t="shared" si="8"/>
        <v>219784.65511583118</v>
      </c>
      <c r="F302" s="5">
        <f>IF('Monthly Projection'!A302="",0,'Monthly Projection'!G302)</f>
        <v>0</v>
      </c>
    </row>
    <row r="303" spans="1:6">
      <c r="A303">
        <f>IF(AND('Mortgage Inputs'!$B$12,297&lt;=IF('Mortgage Inputs'!$B$12,'Mortgage Inputs'!$B$7,0)*12+600,ISNUMBER(E302),E302&gt;0.005),297,"")</f>
        <v>297</v>
      </c>
      <c r="B303" s="5">
        <f t="shared" si="9"/>
        <v>219784.65511583118</v>
      </c>
      <c r="C303" s="5">
        <f>IF(A303="","",B303*'Mortgage Inputs'!$B$15)</f>
        <v>1170.3532884918011</v>
      </c>
      <c r="D303" s="5">
        <f>IF(A303="","",MIN(B303,MAX(0,'Mortgage Inputs'!$B$17-C303)))</f>
        <v>2891.1800793155526</v>
      </c>
      <c r="E303" s="5">
        <f t="shared" si="8"/>
        <v>216893.47503651562</v>
      </c>
      <c r="F303" s="5">
        <f>IF('Monthly Projection'!A303="",0,'Monthly Projection'!G303)</f>
        <v>0</v>
      </c>
    </row>
    <row r="304" spans="1:6">
      <c r="A304">
        <f>IF(AND('Mortgage Inputs'!$B$12,298&lt;=IF('Mortgage Inputs'!$B$12,'Mortgage Inputs'!$B$7,0)*12+600,ISNUMBER(E303),E303&gt;0.005),298,"")</f>
        <v>298</v>
      </c>
      <c r="B304" s="5">
        <f t="shared" si="9"/>
        <v>216893.47503651562</v>
      </c>
      <c r="C304" s="5">
        <f>IF(A304="","",B304*'Mortgage Inputs'!$B$15)</f>
        <v>1154.9577545694456</v>
      </c>
      <c r="D304" s="5">
        <f>IF(A304="","",MIN(B304,MAX(0,'Mortgage Inputs'!$B$17-C304)))</f>
        <v>2906.5756132379079</v>
      </c>
      <c r="E304" s="5">
        <f t="shared" si="8"/>
        <v>213986.8994232777</v>
      </c>
      <c r="F304" s="5">
        <f>IF('Monthly Projection'!A304="",0,'Monthly Projection'!G304)</f>
        <v>0</v>
      </c>
    </row>
    <row r="305" spans="1:6">
      <c r="A305">
        <f>IF(AND('Mortgage Inputs'!$B$12,299&lt;=IF('Mortgage Inputs'!$B$12,'Mortgage Inputs'!$B$7,0)*12+600,ISNUMBER(E304),E304&gt;0.005),299,"")</f>
        <v>299</v>
      </c>
      <c r="B305" s="5">
        <f t="shared" si="9"/>
        <v>213986.8994232777</v>
      </c>
      <c r="C305" s="5">
        <f>IF(A305="","",B305*'Mortgage Inputs'!$B$15)</f>
        <v>1139.4802394289538</v>
      </c>
      <c r="D305" s="5">
        <f>IF(A305="","",MIN(B305,MAX(0,'Mortgage Inputs'!$B$17-C305)))</f>
        <v>2922.0531283783994</v>
      </c>
      <c r="E305" s="5">
        <f t="shared" si="8"/>
        <v>211064.8462948993</v>
      </c>
      <c r="F305" s="5">
        <f>IF('Monthly Projection'!A305="",0,'Monthly Projection'!G305)</f>
        <v>0</v>
      </c>
    </row>
    <row r="306" spans="1:6">
      <c r="A306">
        <f>IF(AND('Mortgage Inputs'!$B$12,300&lt;=IF('Mortgage Inputs'!$B$12,'Mortgage Inputs'!$B$7,0)*12+600,ISNUMBER(E305),E305&gt;0.005),300,"")</f>
        <v>300</v>
      </c>
      <c r="B306" s="5">
        <f t="shared" si="9"/>
        <v>211064.8462948993</v>
      </c>
      <c r="C306" s="5">
        <f>IF(A306="","",B306*'Mortgage Inputs'!$B$15)</f>
        <v>1123.9203065203387</v>
      </c>
      <c r="D306" s="5">
        <f>IF(A306="","",MIN(B306,MAX(0,'Mortgage Inputs'!$B$17-C306)))</f>
        <v>2937.6130612870147</v>
      </c>
      <c r="E306" s="5">
        <f t="shared" si="8"/>
        <v>208127.23323361229</v>
      </c>
      <c r="F306" s="5">
        <f>IF('Monthly Projection'!A306="",0,'Monthly Projection'!G306)</f>
        <v>0</v>
      </c>
    </row>
    <row r="307" spans="1:6">
      <c r="A307">
        <f>IF(AND('Mortgage Inputs'!$B$12,301&lt;=IF('Mortgage Inputs'!$B$12,'Mortgage Inputs'!$B$7,0)*12+600,ISNUMBER(E306),E306&gt;0.005),301,"")</f>
        <v>301</v>
      </c>
      <c r="B307" s="5">
        <f t="shared" si="9"/>
        <v>208127.23323361229</v>
      </c>
      <c r="C307" s="5">
        <f>IF(A307="","",B307*'Mortgage Inputs'!$B$15)</f>
        <v>1108.2775169689855</v>
      </c>
      <c r="D307" s="5">
        <f>IF(A307="","",MIN(B307,MAX(0,'Mortgage Inputs'!$B$17-C307)))</f>
        <v>2953.2558508383681</v>
      </c>
      <c r="E307" s="5">
        <f t="shared" si="8"/>
        <v>205173.97738277391</v>
      </c>
      <c r="F307" s="5">
        <f>IF('Monthly Projection'!A307="",0,'Monthly Projection'!G307)</f>
        <v>0</v>
      </c>
    </row>
    <row r="308" spans="1:6">
      <c r="A308">
        <f>IF(AND('Mortgage Inputs'!$B$12,302&lt;=IF('Mortgage Inputs'!$B$12,'Mortgage Inputs'!$B$7,0)*12+600,ISNUMBER(E307),E307&gt;0.005),302,"")</f>
        <v>302</v>
      </c>
      <c r="B308" s="5">
        <f t="shared" si="9"/>
        <v>205173.97738277391</v>
      </c>
      <c r="C308" s="5">
        <f>IF(A308="","",B308*'Mortgage Inputs'!$B$15)</f>
        <v>1092.5514295632711</v>
      </c>
      <c r="D308" s="5">
        <f>IF(A308="","",MIN(B308,MAX(0,'Mortgage Inputs'!$B$17-C308)))</f>
        <v>2968.9819382440824</v>
      </c>
      <c r="E308" s="5">
        <f t="shared" si="8"/>
        <v>202204.99544452984</v>
      </c>
      <c r="F308" s="5">
        <f>IF('Monthly Projection'!A308="",0,'Monthly Projection'!G308)</f>
        <v>0</v>
      </c>
    </row>
    <row r="309" spans="1:6">
      <c r="A309">
        <f>IF(AND('Mortgage Inputs'!$B$12,303&lt;=IF('Mortgage Inputs'!$B$12,'Mortgage Inputs'!$B$7,0)*12+600,ISNUMBER(E308),E308&gt;0.005),303,"")</f>
        <v>303</v>
      </c>
      <c r="B309" s="5">
        <f t="shared" si="9"/>
        <v>202204.99544452984</v>
      </c>
      <c r="C309" s="5">
        <f>IF(A309="","",B309*'Mortgage Inputs'!$B$15)</f>
        <v>1076.7416007421214</v>
      </c>
      <c r="D309" s="5">
        <f>IF(A309="","",MIN(B309,MAX(0,'Mortgage Inputs'!$B$17-C309)))</f>
        <v>2984.7917670652323</v>
      </c>
      <c r="E309" s="5">
        <f t="shared" si="8"/>
        <v>199220.2036774646</v>
      </c>
      <c r="F309" s="5">
        <f>IF('Monthly Projection'!A309="",0,'Monthly Projection'!G309)</f>
        <v>0</v>
      </c>
    </row>
    <row r="310" spans="1:6">
      <c r="A310">
        <f>IF(AND('Mortgage Inputs'!$B$12,304&lt;=IF('Mortgage Inputs'!$B$12,'Mortgage Inputs'!$B$7,0)*12+600,ISNUMBER(E309),E309&gt;0.005),304,"")</f>
        <v>304</v>
      </c>
      <c r="B310" s="5">
        <f t="shared" si="9"/>
        <v>199220.2036774646</v>
      </c>
      <c r="C310" s="5">
        <f>IF(A310="","",B310*'Mortgage Inputs'!$B$15)</f>
        <v>1060.8475845824989</v>
      </c>
      <c r="D310" s="5">
        <f>IF(A310="","",MIN(B310,MAX(0,'Mortgage Inputs'!$B$17-C310)))</f>
        <v>3000.6857832248543</v>
      </c>
      <c r="E310" s="5">
        <f t="shared" si="8"/>
        <v>196219.51789423975</v>
      </c>
      <c r="F310" s="5">
        <f>IF('Monthly Projection'!A310="",0,'Monthly Projection'!G310)</f>
        <v>0</v>
      </c>
    </row>
    <row r="311" spans="1:6">
      <c r="A311">
        <f>IF(AND('Mortgage Inputs'!$B$12,305&lt;=IF('Mortgage Inputs'!$B$12,'Mortgage Inputs'!$B$7,0)*12+600,ISNUMBER(E310),E310&gt;0.005),305,"")</f>
        <v>305</v>
      </c>
      <c r="B311" s="5">
        <f t="shared" si="9"/>
        <v>196219.51789423975</v>
      </c>
      <c r="C311" s="5">
        <f>IF(A311="","",B311*'Mortgage Inputs'!$B$15)</f>
        <v>1044.8689327868267</v>
      </c>
      <c r="D311" s="5">
        <f>IF(A311="","",MIN(B311,MAX(0,'Mortgage Inputs'!$B$17-C311)))</f>
        <v>3016.664435020527</v>
      </c>
      <c r="E311" s="5">
        <f t="shared" si="8"/>
        <v>193202.85345921922</v>
      </c>
      <c r="F311" s="5">
        <f>IF('Monthly Projection'!A311="",0,'Monthly Projection'!G311)</f>
        <v>0</v>
      </c>
    </row>
    <row r="312" spans="1:6">
      <c r="A312">
        <f>IF(AND('Mortgage Inputs'!$B$12,306&lt;=IF('Mortgage Inputs'!$B$12,'Mortgage Inputs'!$B$7,0)*12+600,ISNUMBER(E311),E311&gt;0.005),306,"")</f>
        <v>306</v>
      </c>
      <c r="B312" s="5">
        <f t="shared" si="9"/>
        <v>193202.85345921922</v>
      </c>
      <c r="C312" s="5">
        <f>IF(A312="","",B312*'Mortgage Inputs'!$B$15)</f>
        <v>1028.8051946703422</v>
      </c>
      <c r="D312" s="5">
        <f>IF(A312="","",MIN(B312,MAX(0,'Mortgage Inputs'!$B$17-C312)))</f>
        <v>3032.7281731370113</v>
      </c>
      <c r="E312" s="5">
        <f t="shared" si="8"/>
        <v>190170.12528608221</v>
      </c>
      <c r="F312" s="5">
        <f>IF('Monthly Projection'!A312="",0,'Monthly Projection'!G312)</f>
        <v>0</v>
      </c>
    </row>
    <row r="313" spans="1:6">
      <c r="A313">
        <f>IF(AND('Mortgage Inputs'!$B$12,307&lt;=IF('Mortgage Inputs'!$B$12,'Mortgage Inputs'!$B$7,0)*12+600,ISNUMBER(E312),E312&gt;0.005),307,"")</f>
        <v>307</v>
      </c>
      <c r="B313" s="5">
        <f t="shared" si="9"/>
        <v>190170.12528608221</v>
      </c>
      <c r="C313" s="5">
        <f>IF(A313="","",B313*'Mortgage Inputs'!$B$15)</f>
        <v>1012.6559171483877</v>
      </c>
      <c r="D313" s="5">
        <f>IF(A313="","",MIN(B313,MAX(0,'Mortgage Inputs'!$B$17-C313)))</f>
        <v>3048.8774506589657</v>
      </c>
      <c r="E313" s="5">
        <f t="shared" si="8"/>
        <v>187121.24783542324</v>
      </c>
      <c r="F313" s="5">
        <f>IF('Monthly Projection'!A313="",0,'Monthly Projection'!G313)</f>
        <v>0</v>
      </c>
    </row>
    <row r="314" spans="1:6">
      <c r="A314">
        <f>IF(AND('Mortgage Inputs'!$B$12,308&lt;=IF('Mortgage Inputs'!$B$12,'Mortgage Inputs'!$B$7,0)*12+600,ISNUMBER(E313),E313&gt;0.005),308,"")</f>
        <v>308</v>
      </c>
      <c r="B314" s="5">
        <f t="shared" si="9"/>
        <v>187121.24783542324</v>
      </c>
      <c r="C314" s="5">
        <f>IF(A314="","",B314*'Mortgage Inputs'!$B$15)</f>
        <v>996.4206447236287</v>
      </c>
      <c r="D314" s="5">
        <f>IF(A314="","",MIN(B314,MAX(0,'Mortgage Inputs'!$B$17-C314)))</f>
        <v>3065.1127230837246</v>
      </c>
      <c r="E314" s="5">
        <f t="shared" si="8"/>
        <v>184056.13511233951</v>
      </c>
      <c r="F314" s="5">
        <f>IF('Monthly Projection'!A314="",0,'Monthly Projection'!G314)</f>
        <v>0</v>
      </c>
    </row>
    <row r="315" spans="1:6">
      <c r="A315">
        <f>IF(AND('Mortgage Inputs'!$B$12,309&lt;=IF('Mortgage Inputs'!$B$12,'Mortgage Inputs'!$B$7,0)*12+600,ISNUMBER(E314),E314&gt;0.005),309,"")</f>
        <v>309</v>
      </c>
      <c r="B315" s="5">
        <f t="shared" si="9"/>
        <v>184056.13511233951</v>
      </c>
      <c r="C315" s="5">
        <f>IF(A315="","",B315*'Mortgage Inputs'!$B$15)</f>
        <v>980.09891947320784</v>
      </c>
      <c r="D315" s="5">
        <f>IF(A315="","",MIN(B315,MAX(0,'Mortgage Inputs'!$B$17-C315)))</f>
        <v>3081.4344483341456</v>
      </c>
      <c r="E315" s="5">
        <f t="shared" si="8"/>
        <v>180974.70066400536</v>
      </c>
      <c r="F315" s="5">
        <f>IF('Monthly Projection'!A315="",0,'Monthly Projection'!G315)</f>
        <v>0</v>
      </c>
    </row>
    <row r="316" spans="1:6">
      <c r="A316">
        <f>IF(AND('Mortgage Inputs'!$B$12,310&lt;=IF('Mortgage Inputs'!$B$12,'Mortgage Inputs'!$B$7,0)*12+600,ISNUMBER(E315),E315&gt;0.005),310,"")</f>
        <v>310</v>
      </c>
      <c r="B316" s="5">
        <f t="shared" si="9"/>
        <v>180974.70066400536</v>
      </c>
      <c r="C316" s="5">
        <f>IF(A316="","",B316*'Mortgage Inputs'!$B$15)</f>
        <v>963.69028103582855</v>
      </c>
      <c r="D316" s="5">
        <f>IF(A316="","",MIN(B316,MAX(0,'Mortgage Inputs'!$B$17-C316)))</f>
        <v>3097.8430867715251</v>
      </c>
      <c r="E316" s="5">
        <f t="shared" si="8"/>
        <v>177876.85757723384</v>
      </c>
      <c r="F316" s="5">
        <f>IF('Monthly Projection'!A316="",0,'Monthly Projection'!G316)</f>
        <v>0</v>
      </c>
    </row>
    <row r="317" spans="1:6">
      <c r="A317">
        <f>IF(AND('Mortgage Inputs'!$B$12,311&lt;=IF('Mortgage Inputs'!$B$12,'Mortgage Inputs'!$B$7,0)*12+600,ISNUMBER(E316),E316&gt;0.005),311,"")</f>
        <v>311</v>
      </c>
      <c r="B317" s="5">
        <f t="shared" si="9"/>
        <v>177876.85757723384</v>
      </c>
      <c r="C317" s="5">
        <f>IF(A317="","",B317*'Mortgage Inputs'!$B$15)</f>
        <v>947.19426659877013</v>
      </c>
      <c r="D317" s="5">
        <f>IF(A317="","",MIN(B317,MAX(0,'Mortgage Inputs'!$B$17-C317)))</f>
        <v>3114.3391012085831</v>
      </c>
      <c r="E317" s="5">
        <f t="shared" si="8"/>
        <v>174762.51847602526</v>
      </c>
      <c r="F317" s="5">
        <f>IF('Monthly Projection'!A317="",0,'Monthly Projection'!G317)</f>
        <v>0</v>
      </c>
    </row>
    <row r="318" spans="1:6">
      <c r="A318">
        <f>IF(AND('Mortgage Inputs'!$B$12,312&lt;=IF('Mortgage Inputs'!$B$12,'Mortgage Inputs'!$B$7,0)*12+600,ISNUMBER(E317),E317&gt;0.005),312,"")</f>
        <v>312</v>
      </c>
      <c r="B318" s="5">
        <f t="shared" si="9"/>
        <v>174762.51847602526</v>
      </c>
      <c r="C318" s="5">
        <f>IF(A318="","",B318*'Mortgage Inputs'!$B$15)</f>
        <v>930.61041088483444</v>
      </c>
      <c r="D318" s="5">
        <f>IF(A318="","",MIN(B318,MAX(0,'Mortgage Inputs'!$B$17-C318)))</f>
        <v>3130.922956922519</v>
      </c>
      <c r="E318" s="5">
        <f t="shared" si="8"/>
        <v>171631.59551910273</v>
      </c>
      <c r="F318" s="5">
        <f>IF('Monthly Projection'!A318="",0,'Monthly Projection'!G318)</f>
        <v>0</v>
      </c>
    </row>
    <row r="319" spans="1:6">
      <c r="A319">
        <f>IF(AND('Mortgage Inputs'!$B$12,313&lt;=IF('Mortgage Inputs'!$B$12,'Mortgage Inputs'!$B$7,0)*12+600,ISNUMBER(E318),E318&gt;0.005),313,"")</f>
        <v>313</v>
      </c>
      <c r="B319" s="5">
        <f t="shared" si="9"/>
        <v>171631.59551910273</v>
      </c>
      <c r="C319" s="5">
        <f>IF(A319="","",B319*'Mortgage Inputs'!$B$15)</f>
        <v>913.93824613922197</v>
      </c>
      <c r="D319" s="5">
        <f>IF(A319="","",MIN(B319,MAX(0,'Mortgage Inputs'!$B$17-C319)))</f>
        <v>3147.5951216681315</v>
      </c>
      <c r="E319" s="5">
        <f t="shared" si="8"/>
        <v>168484.0003974346</v>
      </c>
      <c r="F319" s="5">
        <f>IF('Monthly Projection'!A319="",0,'Monthly Projection'!G319)</f>
        <v>0</v>
      </c>
    </row>
    <row r="320" spans="1:6">
      <c r="A320">
        <f>IF(AND('Mortgage Inputs'!$B$12,314&lt;=IF('Mortgage Inputs'!$B$12,'Mortgage Inputs'!$B$7,0)*12+600,ISNUMBER(E319),E319&gt;0.005),314,"")</f>
        <v>314</v>
      </c>
      <c r="B320" s="5">
        <f t="shared" si="9"/>
        <v>168484.0003974346</v>
      </c>
      <c r="C320" s="5">
        <f>IF(A320="","",B320*'Mortgage Inputs'!$B$15)</f>
        <v>897.17730211633921</v>
      </c>
      <c r="D320" s="5">
        <f>IF(A320="","",MIN(B320,MAX(0,'Mortgage Inputs'!$B$17-C320)))</f>
        <v>3164.356065691014</v>
      </c>
      <c r="E320" s="5">
        <f t="shared" si="8"/>
        <v>165319.64433174359</v>
      </c>
      <c r="F320" s="5">
        <f>IF('Monthly Projection'!A320="",0,'Monthly Projection'!G320)</f>
        <v>0</v>
      </c>
    </row>
    <row r="321" spans="1:6">
      <c r="A321">
        <f>IF(AND('Mortgage Inputs'!$B$12,315&lt;=IF('Mortgage Inputs'!$B$12,'Mortgage Inputs'!$B$7,0)*12+600,ISNUMBER(E320),E320&gt;0.005),315,"")</f>
        <v>315</v>
      </c>
      <c r="B321" s="5">
        <f t="shared" si="9"/>
        <v>165319.64433174359</v>
      </c>
      <c r="C321" s="5">
        <f>IF(A321="","",B321*'Mortgage Inputs'!$B$15)</f>
        <v>880.32710606653461</v>
      </c>
      <c r="D321" s="5">
        <f>IF(A321="","",MIN(B321,MAX(0,'Mortgage Inputs'!$B$17-C321)))</f>
        <v>3181.2062617408187</v>
      </c>
      <c r="E321" s="5">
        <f t="shared" si="8"/>
        <v>162138.43807000277</v>
      </c>
      <c r="F321" s="5">
        <f>IF('Monthly Projection'!A321="",0,'Monthly Projection'!G321)</f>
        <v>0</v>
      </c>
    </row>
    <row r="322" spans="1:6">
      <c r="A322">
        <f>IF(AND('Mortgage Inputs'!$B$12,316&lt;=IF('Mortgage Inputs'!$B$12,'Mortgage Inputs'!$B$7,0)*12+600,ISNUMBER(E321),E321&gt;0.005),316,"")</f>
        <v>316</v>
      </c>
      <c r="B322" s="5">
        <f t="shared" si="9"/>
        <v>162138.43807000277</v>
      </c>
      <c r="C322" s="5">
        <f>IF(A322="","",B322*'Mortgage Inputs'!$B$15)</f>
        <v>863.38718272276469</v>
      </c>
      <c r="D322" s="5">
        <f>IF(A322="","",MIN(B322,MAX(0,'Mortgage Inputs'!$B$17-C322)))</f>
        <v>3198.146185084589</v>
      </c>
      <c r="E322" s="5">
        <f t="shared" si="8"/>
        <v>158940.29188491817</v>
      </c>
      <c r="F322" s="5">
        <f>IF('Monthly Projection'!A322="",0,'Monthly Projection'!G322)</f>
        <v>0</v>
      </c>
    </row>
    <row r="323" spans="1:6">
      <c r="A323">
        <f>IF(AND('Mortgage Inputs'!$B$12,317&lt;=IF('Mortgage Inputs'!$B$12,'Mortgage Inputs'!$B$7,0)*12+600,ISNUMBER(E322),E322&gt;0.005),317,"")</f>
        <v>317</v>
      </c>
      <c r="B323" s="5">
        <f t="shared" si="9"/>
        <v>158940.29188491817</v>
      </c>
      <c r="C323" s="5">
        <f>IF(A323="","",B323*'Mortgage Inputs'!$B$15)</f>
        <v>846.35705428718927</v>
      </c>
      <c r="D323" s="5">
        <f>IF(A323="","",MIN(B323,MAX(0,'Mortgage Inputs'!$B$17-C323)))</f>
        <v>3215.1763135201641</v>
      </c>
      <c r="E323" s="5">
        <f t="shared" si="8"/>
        <v>155725.115571398</v>
      </c>
      <c r="F323" s="5">
        <f>IF('Monthly Projection'!A323="",0,'Monthly Projection'!G323)</f>
        <v>0</v>
      </c>
    </row>
    <row r="324" spans="1:6">
      <c r="A324">
        <f>IF(AND('Mortgage Inputs'!$B$12,318&lt;=IF('Mortgage Inputs'!$B$12,'Mortgage Inputs'!$B$7,0)*12+600,ISNUMBER(E323),E323&gt;0.005),318,"")</f>
        <v>318</v>
      </c>
      <c r="B324" s="5">
        <f t="shared" si="9"/>
        <v>155725.115571398</v>
      </c>
      <c r="C324" s="5">
        <f>IF(A324="","",B324*'Mortgage Inputs'!$B$15)</f>
        <v>829.23624041769426</v>
      </c>
      <c r="D324" s="5">
        <f>IF(A324="","",MIN(B324,MAX(0,'Mortgage Inputs'!$B$17-C324)))</f>
        <v>3232.2971273896592</v>
      </c>
      <c r="E324" s="5">
        <f t="shared" si="8"/>
        <v>152492.81844400833</v>
      </c>
      <c r="F324" s="5">
        <f>IF('Monthly Projection'!A324="",0,'Monthly Projection'!G324)</f>
        <v>0</v>
      </c>
    </row>
    <row r="325" spans="1:6">
      <c r="A325">
        <f>IF(AND('Mortgage Inputs'!$B$12,319&lt;=IF('Mortgage Inputs'!$B$12,'Mortgage Inputs'!$B$7,0)*12+600,ISNUMBER(E324),E324&gt;0.005),319,"")</f>
        <v>319</v>
      </c>
      <c r="B325" s="5">
        <f t="shared" si="9"/>
        <v>152492.81844400833</v>
      </c>
      <c r="C325" s="5">
        <f>IF(A325="","",B325*'Mortgage Inputs'!$B$15)</f>
        <v>812.02425821434429</v>
      </c>
      <c r="D325" s="5">
        <f>IF(A325="","",MIN(B325,MAX(0,'Mortgage Inputs'!$B$17-C325)))</f>
        <v>3249.5091095930093</v>
      </c>
      <c r="E325" s="5">
        <f t="shared" si="8"/>
        <v>149243.30933441533</v>
      </c>
      <c r="F325" s="5">
        <f>IF('Monthly Projection'!A325="",0,'Monthly Projection'!G325)</f>
        <v>0</v>
      </c>
    </row>
    <row r="326" spans="1:6">
      <c r="A326">
        <f>IF(AND('Mortgage Inputs'!$B$12,320&lt;=IF('Mortgage Inputs'!$B$12,'Mortgage Inputs'!$B$7,0)*12+600,ISNUMBER(E325),E325&gt;0.005),320,"")</f>
        <v>320</v>
      </c>
      <c r="B326" s="5">
        <f t="shared" si="9"/>
        <v>149243.30933441533</v>
      </c>
      <c r="C326" s="5">
        <f>IF(A326="","",B326*'Mortgage Inputs'!$B$15)</f>
        <v>794.72062220576163</v>
      </c>
      <c r="D326" s="5">
        <f>IF(A326="","",MIN(B326,MAX(0,'Mortgage Inputs'!$B$17-C326)))</f>
        <v>3266.8127456015918</v>
      </c>
      <c r="E326" s="5">
        <f t="shared" si="8"/>
        <v>145976.49658881375</v>
      </c>
      <c r="F326" s="5">
        <f>IF('Monthly Projection'!A326="",0,'Monthly Projection'!G326)</f>
        <v>0</v>
      </c>
    </row>
    <row r="327" spans="1:6">
      <c r="A327">
        <f>IF(AND('Mortgage Inputs'!$B$12,321&lt;=IF('Mortgage Inputs'!$B$12,'Mortgage Inputs'!$B$7,0)*12+600,ISNUMBER(E326),E326&gt;0.005),321,"")</f>
        <v>321</v>
      </c>
      <c r="B327" s="5">
        <f t="shared" si="9"/>
        <v>145976.49658881375</v>
      </c>
      <c r="C327" s="5">
        <f>IF(A327="","",B327*'Mortgage Inputs'!$B$15)</f>
        <v>777.32484433543323</v>
      </c>
      <c r="D327" s="5">
        <f>IF(A327="","",MIN(B327,MAX(0,'Mortgage Inputs'!$B$17-C327)))</f>
        <v>3284.2085234719202</v>
      </c>
      <c r="E327" s="5">
        <f t="shared" ref="E327:E390" si="10">IF(A327="","",MAX(0,B327-D327))</f>
        <v>142692.28806534183</v>
      </c>
      <c r="F327" s="5">
        <f>IF('Monthly Projection'!A327="",0,'Monthly Projection'!G327)</f>
        <v>0</v>
      </c>
    </row>
    <row r="328" spans="1:6">
      <c r="A328">
        <f>IF(AND('Mortgage Inputs'!$B$12,322&lt;=IF('Mortgage Inputs'!$B$12,'Mortgage Inputs'!$B$7,0)*12+600,ISNUMBER(E327),E327&gt;0.005),322,"")</f>
        <v>322</v>
      </c>
      <c r="B328" s="5">
        <f t="shared" ref="B328:B391" si="11">IF(A328="","",E327)</f>
        <v>142692.28806534183</v>
      </c>
      <c r="C328" s="5">
        <f>IF(A328="","",B328*'Mortgage Inputs'!$B$15)</f>
        <v>759.83643394794524</v>
      </c>
      <c r="D328" s="5">
        <f>IF(A328="","",MIN(B328,MAX(0,'Mortgage Inputs'!$B$17-C328)))</f>
        <v>3301.6969338594081</v>
      </c>
      <c r="E328" s="5">
        <f t="shared" si="10"/>
        <v>139390.59113148242</v>
      </c>
      <c r="F328" s="5">
        <f>IF('Monthly Projection'!A328="",0,'Monthly Projection'!G328)</f>
        <v>0</v>
      </c>
    </row>
    <row r="329" spans="1:6">
      <c r="A329">
        <f>IF(AND('Mortgage Inputs'!$B$12,323&lt;=IF('Mortgage Inputs'!$B$12,'Mortgage Inputs'!$B$7,0)*12+600,ISNUMBER(E328),E328&gt;0.005),323,"")</f>
        <v>323</v>
      </c>
      <c r="B329" s="5">
        <f t="shared" si="11"/>
        <v>139390.59113148242</v>
      </c>
      <c r="C329" s="5">
        <f>IF(A329="","",B329*'Mortgage Inputs'!$B$15)</f>
        <v>742.25489777514383</v>
      </c>
      <c r="D329" s="5">
        <f>IF(A329="","",MIN(B329,MAX(0,'Mortgage Inputs'!$B$17-C329)))</f>
        <v>3319.2784700322095</v>
      </c>
      <c r="E329" s="5">
        <f t="shared" si="10"/>
        <v>136071.31266145021</v>
      </c>
      <c r="F329" s="5">
        <f>IF('Monthly Projection'!A329="",0,'Monthly Projection'!G329)</f>
        <v>0</v>
      </c>
    </row>
    <row r="330" spans="1:6">
      <c r="A330">
        <f>IF(AND('Mortgage Inputs'!$B$12,324&lt;=IF('Mortgage Inputs'!$B$12,'Mortgage Inputs'!$B$7,0)*12+600,ISNUMBER(E329),E329&gt;0.005),324,"")</f>
        <v>324</v>
      </c>
      <c r="B330" s="5">
        <f t="shared" si="11"/>
        <v>136071.31266145021</v>
      </c>
      <c r="C330" s="5">
        <f>IF(A330="","",B330*'Mortgage Inputs'!$B$15)</f>
        <v>724.5797399222223</v>
      </c>
      <c r="D330" s="5">
        <f>IF(A330="","",MIN(B330,MAX(0,'Mortgage Inputs'!$B$17-C330)))</f>
        <v>3336.953627885131</v>
      </c>
      <c r="E330" s="5">
        <f t="shared" si="10"/>
        <v>132734.35903356507</v>
      </c>
      <c r="F330" s="5">
        <f>IF('Monthly Projection'!A330="",0,'Monthly Projection'!G330)</f>
        <v>0</v>
      </c>
    </row>
    <row r="331" spans="1:6">
      <c r="A331">
        <f>IF(AND('Mortgage Inputs'!$B$12,325&lt;=IF('Mortgage Inputs'!$B$12,'Mortgage Inputs'!$B$7,0)*12+600,ISNUMBER(E330),E330&gt;0.005),325,"")</f>
        <v>325</v>
      </c>
      <c r="B331" s="5">
        <f t="shared" si="11"/>
        <v>132734.35903356507</v>
      </c>
      <c r="C331" s="5">
        <f>IF(A331="","",B331*'Mortgage Inputs'!$B$15)</f>
        <v>706.81046185373395</v>
      </c>
      <c r="D331" s="5">
        <f>IF(A331="","",MIN(B331,MAX(0,'Mortgage Inputs'!$B$17-C331)))</f>
        <v>3354.7229059536194</v>
      </c>
      <c r="E331" s="5">
        <f t="shared" si="10"/>
        <v>129379.63612761145</v>
      </c>
      <c r="F331" s="5">
        <f>IF('Monthly Projection'!A331="",0,'Monthly Projection'!G331)</f>
        <v>0</v>
      </c>
    </row>
    <row r="332" spans="1:6">
      <c r="A332">
        <f>IF(AND('Mortgage Inputs'!$B$12,326&lt;=IF('Mortgage Inputs'!$B$12,'Mortgage Inputs'!$B$7,0)*12+600,ISNUMBER(E331),E331&gt;0.005),326,"")</f>
        <v>326</v>
      </c>
      <c r="B332" s="5">
        <f t="shared" si="11"/>
        <v>129379.63612761145</v>
      </c>
      <c r="C332" s="5">
        <f>IF(A332="","",B332*'Mortgage Inputs'!$B$15)</f>
        <v>688.94656237953097</v>
      </c>
      <c r="D332" s="5">
        <f>IF(A332="","",MIN(B332,MAX(0,'Mortgage Inputs'!$B$17-C332)))</f>
        <v>3372.5868054278226</v>
      </c>
      <c r="E332" s="5">
        <f t="shared" si="10"/>
        <v>126007.04932218362</v>
      </c>
      <c r="F332" s="5">
        <f>IF('Monthly Projection'!A332="",0,'Monthly Projection'!G332)</f>
        <v>0</v>
      </c>
    </row>
    <row r="333" spans="1:6">
      <c r="A333">
        <f>IF(AND('Mortgage Inputs'!$B$12,327&lt;=IF('Mortgage Inputs'!$B$12,'Mortgage Inputs'!$B$7,0)*12+600,ISNUMBER(E332),E332&gt;0.005),327,"")</f>
        <v>327</v>
      </c>
      <c r="B333" s="5">
        <f t="shared" si="11"/>
        <v>126007.04932218362</v>
      </c>
      <c r="C333" s="5">
        <f>IF(A333="","",B333*'Mortgage Inputs'!$B$15)</f>
        <v>670.98753764062781</v>
      </c>
      <c r="D333" s="5">
        <f>IF(A333="","",MIN(B333,MAX(0,'Mortgage Inputs'!$B$17-C333)))</f>
        <v>3390.5458301667259</v>
      </c>
      <c r="E333" s="5">
        <f t="shared" si="10"/>
        <v>122616.5034920169</v>
      </c>
      <c r="F333" s="5">
        <f>IF('Monthly Projection'!A333="",0,'Monthly Projection'!G333)</f>
        <v>0</v>
      </c>
    </row>
    <row r="334" spans="1:6">
      <c r="A334">
        <f>IF(AND('Mortgage Inputs'!$B$12,328&lt;=IF('Mortgage Inputs'!$B$12,'Mortgage Inputs'!$B$7,0)*12+600,ISNUMBER(E333),E333&gt;0.005),328,"")</f>
        <v>328</v>
      </c>
      <c r="B334" s="5">
        <f t="shared" si="11"/>
        <v>122616.5034920169</v>
      </c>
      <c r="C334" s="5">
        <f>IF(A334="","",B334*'Mortgage Inputs'!$B$15)</f>
        <v>652.93288109498997</v>
      </c>
      <c r="D334" s="5">
        <f>IF(A334="","",MIN(B334,MAX(0,'Mortgage Inputs'!$B$17-C334)))</f>
        <v>3408.6004867123634</v>
      </c>
      <c r="E334" s="5">
        <f t="shared" si="10"/>
        <v>119207.90300530453</v>
      </c>
      <c r="F334" s="5">
        <f>IF('Monthly Projection'!A334="",0,'Monthly Projection'!G334)</f>
        <v>0</v>
      </c>
    </row>
    <row r="335" spans="1:6">
      <c r="A335">
        <f>IF(AND('Mortgage Inputs'!$B$12,329&lt;=IF('Mortgage Inputs'!$B$12,'Mortgage Inputs'!$B$7,0)*12+600,ISNUMBER(E334),E334&gt;0.005),329,"")</f>
        <v>329</v>
      </c>
      <c r="B335" s="5">
        <f t="shared" si="11"/>
        <v>119207.90300530453</v>
      </c>
      <c r="C335" s="5">
        <f>IF(A335="","",B335*'Mortgage Inputs'!$B$15)</f>
        <v>634.78208350324655</v>
      </c>
      <c r="D335" s="5">
        <f>IF(A335="","",MIN(B335,MAX(0,'Mortgage Inputs'!$B$17-C335)))</f>
        <v>3426.7512843041068</v>
      </c>
      <c r="E335" s="5">
        <f t="shared" si="10"/>
        <v>115781.15172100042</v>
      </c>
      <c r="F335" s="5">
        <f>IF('Monthly Projection'!A335="",0,'Monthly Projection'!G335)</f>
        <v>0</v>
      </c>
    </row>
    <row r="336" spans="1:6">
      <c r="A336">
        <f>IF(AND('Mortgage Inputs'!$B$12,330&lt;=IF('Mortgage Inputs'!$B$12,'Mortgage Inputs'!$B$7,0)*12+600,ISNUMBER(E335),E335&gt;0.005),330,"")</f>
        <v>330</v>
      </c>
      <c r="B336" s="5">
        <f t="shared" si="11"/>
        <v>115781.15172100042</v>
      </c>
      <c r="C336" s="5">
        <f>IF(A336="","",B336*'Mortgage Inputs'!$B$15)</f>
        <v>616.53463291432729</v>
      </c>
      <c r="D336" s="5">
        <f>IF(A336="","",MIN(B336,MAX(0,'Mortgage Inputs'!$B$17-C336)))</f>
        <v>3444.9987348930263</v>
      </c>
      <c r="E336" s="5">
        <f t="shared" si="10"/>
        <v>112336.15298610739</v>
      </c>
      <c r="F336" s="5">
        <f>IF('Monthly Projection'!A336="",0,'Monthly Projection'!G336)</f>
        <v>0</v>
      </c>
    </row>
    <row r="337" spans="1:6">
      <c r="A337">
        <f>IF(AND('Mortgage Inputs'!$B$12,331&lt;=IF('Mortgage Inputs'!$B$12,'Mortgage Inputs'!$B$7,0)*12+600,ISNUMBER(E336),E336&gt;0.005),331,"")</f>
        <v>331</v>
      </c>
      <c r="B337" s="5">
        <f t="shared" si="11"/>
        <v>112336.15298610739</v>
      </c>
      <c r="C337" s="5">
        <f>IF(A337="","",B337*'Mortgage Inputs'!$B$15)</f>
        <v>598.1900146510219</v>
      </c>
      <c r="D337" s="5">
        <f>IF(A337="","",MIN(B337,MAX(0,'Mortgage Inputs'!$B$17-C337)))</f>
        <v>3463.3433531563314</v>
      </c>
      <c r="E337" s="5">
        <f t="shared" si="10"/>
        <v>108872.80963295106</v>
      </c>
      <c r="F337" s="5">
        <f>IF('Monthly Projection'!A337="",0,'Monthly Projection'!G337)</f>
        <v>0</v>
      </c>
    </row>
    <row r="338" spans="1:6">
      <c r="A338">
        <f>IF(AND('Mortgage Inputs'!$B$12,332&lt;=IF('Mortgage Inputs'!$B$12,'Mortgage Inputs'!$B$7,0)*12+600,ISNUMBER(E337),E337&gt;0.005),332,"")</f>
        <v>332</v>
      </c>
      <c r="B338" s="5">
        <f t="shared" si="11"/>
        <v>108872.80963295106</v>
      </c>
      <c r="C338" s="5">
        <f>IF(A338="","",B338*'Mortgage Inputs'!$B$15)</f>
        <v>579.74771129546434</v>
      </c>
      <c r="D338" s="5">
        <f>IF(A338="","",MIN(B338,MAX(0,'Mortgage Inputs'!$B$17-C338)))</f>
        <v>3481.7856565118891</v>
      </c>
      <c r="E338" s="5">
        <f t="shared" si="10"/>
        <v>105391.02397643917</v>
      </c>
      <c r="F338" s="5">
        <f>IF('Monthly Projection'!A338="",0,'Monthly Projection'!G338)</f>
        <v>0</v>
      </c>
    </row>
    <row r="339" spans="1:6">
      <c r="A339">
        <f>IF(AND('Mortgage Inputs'!$B$12,333&lt;=IF('Mortgage Inputs'!$B$12,'Mortgage Inputs'!$B$7,0)*12+600,ISNUMBER(E338),E338&gt;0.005),333,"")</f>
        <v>333</v>
      </c>
      <c r="B339" s="5">
        <f t="shared" si="11"/>
        <v>105391.02397643917</v>
      </c>
      <c r="C339" s="5">
        <f>IF(A339="","",B339*'Mortgage Inputs'!$B$15)</f>
        <v>561.20720267453862</v>
      </c>
      <c r="D339" s="5">
        <f>IF(A339="","",MIN(B339,MAX(0,'Mortgage Inputs'!$B$17-C339)))</f>
        <v>3500.3261651328148</v>
      </c>
      <c r="E339" s="5">
        <f t="shared" si="10"/>
        <v>101890.69781130635</v>
      </c>
      <c r="F339" s="5">
        <f>IF('Monthly Projection'!A339="",0,'Monthly Projection'!G339)</f>
        <v>0</v>
      </c>
    </row>
    <row r="340" spans="1:6">
      <c r="A340">
        <f>IF(AND('Mortgage Inputs'!$B$12,334&lt;=IF('Mortgage Inputs'!$B$12,'Mortgage Inputs'!$B$7,0)*12+600,ISNUMBER(E339),E339&gt;0.005),334,"")</f>
        <v>334</v>
      </c>
      <c r="B340" s="5">
        <f t="shared" si="11"/>
        <v>101890.69781130635</v>
      </c>
      <c r="C340" s="5">
        <f>IF(A340="","",B340*'Mortgage Inputs'!$B$15)</f>
        <v>542.56796584520634</v>
      </c>
      <c r="D340" s="5">
        <f>IF(A340="","",MIN(B340,MAX(0,'Mortgage Inputs'!$B$17-C340)))</f>
        <v>3518.9654019621471</v>
      </c>
      <c r="E340" s="5">
        <f t="shared" si="10"/>
        <v>98371.7324093442</v>
      </c>
      <c r="F340" s="5">
        <f>IF('Monthly Projection'!A340="",0,'Monthly Projection'!G340)</f>
        <v>0</v>
      </c>
    </row>
    <row r="341" spans="1:6">
      <c r="A341">
        <f>IF(AND('Mortgage Inputs'!$B$12,335&lt;=IF('Mortgage Inputs'!$B$12,'Mortgage Inputs'!$B$7,0)*12+600,ISNUMBER(E340),E340&gt;0.005),335,"")</f>
        <v>335</v>
      </c>
      <c r="B341" s="5">
        <f t="shared" si="11"/>
        <v>98371.7324093442</v>
      </c>
      <c r="C341" s="5">
        <f>IF(A341="","",B341*'Mortgage Inputs'!$B$15)</f>
        <v>523.8294750797578</v>
      </c>
      <c r="D341" s="5">
        <f>IF(A341="","",MIN(B341,MAX(0,'Mortgage Inputs'!$B$17-C341)))</f>
        <v>3537.7038927275958</v>
      </c>
      <c r="E341" s="5">
        <f t="shared" si="10"/>
        <v>94834.0285166166</v>
      </c>
      <c r="F341" s="5">
        <f>IF('Monthly Projection'!A341="",0,'Monthly Projection'!G341)</f>
        <v>0</v>
      </c>
    </row>
    <row r="342" spans="1:6">
      <c r="A342">
        <f>IF(AND('Mortgage Inputs'!$B$12,336&lt;=IF('Mortgage Inputs'!$B$12,'Mortgage Inputs'!$B$7,0)*12+600,ISNUMBER(E341),E341&gt;0.005),336,"")</f>
        <v>336</v>
      </c>
      <c r="B342" s="5">
        <f t="shared" si="11"/>
        <v>94834.0285166166</v>
      </c>
      <c r="C342" s="5">
        <f>IF(A342="","",B342*'Mortgage Inputs'!$B$15)</f>
        <v>504.99120185098337</v>
      </c>
      <c r="D342" s="5">
        <f>IF(A342="","",MIN(B342,MAX(0,'Mortgage Inputs'!$B$17-C342)))</f>
        <v>3556.5421659563699</v>
      </c>
      <c r="E342" s="5">
        <f t="shared" si="10"/>
        <v>91277.486350660227</v>
      </c>
      <c r="F342" s="5">
        <f>IF('Monthly Projection'!A342="",0,'Monthly Projection'!G342)</f>
        <v>0</v>
      </c>
    </row>
    <row r="343" spans="1:6">
      <c r="A343">
        <f>IF(AND('Mortgage Inputs'!$B$12,337&lt;=IF('Mortgage Inputs'!$B$12,'Mortgage Inputs'!$B$7,0)*12+600,ISNUMBER(E342),E342&gt;0.005),337,"")</f>
        <v>337</v>
      </c>
      <c r="B343" s="5">
        <f t="shared" si="11"/>
        <v>91277.486350660227</v>
      </c>
      <c r="C343" s="5">
        <f>IF(A343="","",B343*'Mortgage Inputs'!$B$15)</f>
        <v>486.05261481726569</v>
      </c>
      <c r="D343" s="5">
        <f>IF(A343="","",MIN(B343,MAX(0,'Mortgage Inputs'!$B$17-C343)))</f>
        <v>3575.4807529900877</v>
      </c>
      <c r="E343" s="5">
        <f t="shared" si="10"/>
        <v>87702.005597670141</v>
      </c>
      <c r="F343" s="5">
        <f>IF('Monthly Projection'!A343="",0,'Monthly Projection'!G343)</f>
        <v>0</v>
      </c>
    </row>
    <row r="344" spans="1:6">
      <c r="A344">
        <f>IF(AND('Mortgage Inputs'!$B$12,338&lt;=IF('Mortgage Inputs'!$B$12,'Mortgage Inputs'!$B$7,0)*12+600,ISNUMBER(E343),E343&gt;0.005),338,"")</f>
        <v>338</v>
      </c>
      <c r="B344" s="5">
        <f t="shared" si="11"/>
        <v>87702.005597670141</v>
      </c>
      <c r="C344" s="5">
        <f>IF(A344="","",B344*'Mortgage Inputs'!$B$15)</f>
        <v>467.01317980759347</v>
      </c>
      <c r="D344" s="5">
        <f>IF(A344="","",MIN(B344,MAX(0,'Mortgage Inputs'!$B$17-C344)))</f>
        <v>3594.5201879997599</v>
      </c>
      <c r="E344" s="5">
        <f t="shared" si="10"/>
        <v>84107.485409670378</v>
      </c>
      <c r="F344" s="5">
        <f>IF('Monthly Projection'!A344="",0,'Monthly Projection'!G344)</f>
        <v>0</v>
      </c>
    </row>
    <row r="345" spans="1:6">
      <c r="A345">
        <f>IF(AND('Mortgage Inputs'!$B$12,339&lt;=IF('Mortgage Inputs'!$B$12,'Mortgage Inputs'!$B$7,0)*12+600,ISNUMBER(E344),E344&gt;0.005),339,"")</f>
        <v>339</v>
      </c>
      <c r="B345" s="5">
        <f t="shared" si="11"/>
        <v>84107.485409670378</v>
      </c>
      <c r="C345" s="5">
        <f>IF(A345="","",B345*'Mortgage Inputs'!$B$15)</f>
        <v>447.87235980649473</v>
      </c>
      <c r="D345" s="5">
        <f>IF(A345="","",MIN(B345,MAX(0,'Mortgage Inputs'!$B$17-C345)))</f>
        <v>3613.6610080008586</v>
      </c>
      <c r="E345" s="5">
        <f t="shared" si="10"/>
        <v>80493.824401669524</v>
      </c>
      <c r="F345" s="5">
        <f>IF('Monthly Projection'!A345="",0,'Monthly Projection'!G345)</f>
        <v>0</v>
      </c>
    </row>
    <row r="346" spans="1:6">
      <c r="A346">
        <f>IF(AND('Mortgage Inputs'!$B$12,340&lt;=IF('Mortgage Inputs'!$B$12,'Mortgage Inputs'!$B$7,0)*12+600,ISNUMBER(E345),E345&gt;0.005),340,"")</f>
        <v>340</v>
      </c>
      <c r="B346" s="5">
        <f t="shared" si="11"/>
        <v>80493.824401669524</v>
      </c>
      <c r="C346" s="5">
        <f>IF(A346="","",B346*'Mortgage Inputs'!$B$15)</f>
        <v>428.6296149388902</v>
      </c>
      <c r="D346" s="5">
        <f>IF(A346="","",MIN(B346,MAX(0,'Mortgage Inputs'!$B$17-C346)))</f>
        <v>3632.903752868463</v>
      </c>
      <c r="E346" s="5">
        <f t="shared" si="10"/>
        <v>76860.920648801068</v>
      </c>
      <c r="F346" s="5">
        <f>IF('Monthly Projection'!A346="",0,'Monthly Projection'!G346)</f>
        <v>0</v>
      </c>
    </row>
    <row r="347" spans="1:6">
      <c r="A347">
        <f>IF(AND('Mortgage Inputs'!$B$12,341&lt;=IF('Mortgage Inputs'!$B$12,'Mortgage Inputs'!$B$7,0)*12+600,ISNUMBER(E346),E346&gt;0.005),341,"")</f>
        <v>341</v>
      </c>
      <c r="B347" s="5">
        <f t="shared" si="11"/>
        <v>76860.920648801068</v>
      </c>
      <c r="C347" s="5">
        <f>IF(A347="","",B347*'Mortgage Inputs'!$B$15)</f>
        <v>409.2844024548657</v>
      </c>
      <c r="D347" s="5">
        <f>IF(A347="","",MIN(B347,MAX(0,'Mortgage Inputs'!$B$17-C347)))</f>
        <v>3652.2489653524876</v>
      </c>
      <c r="E347" s="5">
        <f t="shared" si="10"/>
        <v>73208.671683448585</v>
      </c>
      <c r="F347" s="5">
        <f>IF('Monthly Projection'!A347="",0,'Monthly Projection'!G347)</f>
        <v>0</v>
      </c>
    </row>
    <row r="348" spans="1:6">
      <c r="A348">
        <f>IF(AND('Mortgage Inputs'!$B$12,342&lt;=IF('Mortgage Inputs'!$B$12,'Mortgage Inputs'!$B$7,0)*12+600,ISNUMBER(E347),E347&gt;0.005),342,"")</f>
        <v>342</v>
      </c>
      <c r="B348" s="5">
        <f t="shared" si="11"/>
        <v>73208.671683448585</v>
      </c>
      <c r="C348" s="5">
        <f>IF(A348="","",B348*'Mortgage Inputs'!$B$15)</f>
        <v>389.83617671436372</v>
      </c>
      <c r="D348" s="5">
        <f>IF(A348="","",MIN(B348,MAX(0,'Mortgage Inputs'!$B$17-C348)))</f>
        <v>3671.6971910929897</v>
      </c>
      <c r="E348" s="5">
        <f t="shared" si="10"/>
        <v>69536.974492355599</v>
      </c>
      <c r="F348" s="5">
        <f>IF('Monthly Projection'!A348="",0,'Monthly Projection'!G348)</f>
        <v>0</v>
      </c>
    </row>
    <row r="349" spans="1:6">
      <c r="A349">
        <f>IF(AND('Mortgage Inputs'!$B$12,343&lt;=IF('Mortgage Inputs'!$B$12,'Mortgage Inputs'!$B$7,0)*12+600,ISNUMBER(E348),E348&gt;0.005),343,"")</f>
        <v>343</v>
      </c>
      <c r="B349" s="5">
        <f t="shared" si="11"/>
        <v>69536.974492355599</v>
      </c>
      <c r="C349" s="5">
        <f>IF(A349="","",B349*'Mortgage Inputs'!$B$15)</f>
        <v>370.28438917179358</v>
      </c>
      <c r="D349" s="5">
        <f>IF(A349="","",MIN(B349,MAX(0,'Mortgage Inputs'!$B$17-C349)))</f>
        <v>3691.24897863556</v>
      </c>
      <c r="E349" s="5">
        <f t="shared" si="10"/>
        <v>65845.725513720041</v>
      </c>
      <c r="F349" s="5">
        <f>IF('Monthly Projection'!A349="",0,'Monthly Projection'!G349)</f>
        <v>0</v>
      </c>
    </row>
    <row r="350" spans="1:6">
      <c r="A350">
        <f>IF(AND('Mortgage Inputs'!$B$12,344&lt;=IF('Mortgage Inputs'!$B$12,'Mortgage Inputs'!$B$7,0)*12+600,ISNUMBER(E349),E349&gt;0.005),344,"")</f>
        <v>344</v>
      </c>
      <c r="B350" s="5">
        <f t="shared" si="11"/>
        <v>65845.725513720041</v>
      </c>
      <c r="C350" s="5">
        <f>IF(A350="","",B350*'Mortgage Inputs'!$B$15)</f>
        <v>350.62848836055923</v>
      </c>
      <c r="D350" s="5">
        <f>IF(A350="","",MIN(B350,MAX(0,'Mortgage Inputs'!$B$17-C350)))</f>
        <v>3710.9048794467944</v>
      </c>
      <c r="E350" s="5">
        <f t="shared" si="10"/>
        <v>62134.820634273245</v>
      </c>
      <c r="F350" s="5">
        <f>IF('Monthly Projection'!A350="",0,'Monthly Projection'!G350)</f>
        <v>0</v>
      </c>
    </row>
    <row r="351" spans="1:6">
      <c r="A351">
        <f>IF(AND('Mortgage Inputs'!$B$12,345&lt;=IF('Mortgage Inputs'!$B$12,'Mortgage Inputs'!$B$7,0)*12+600,ISNUMBER(E350),E350&gt;0.005),345,"")</f>
        <v>345</v>
      </c>
      <c r="B351" s="5">
        <f t="shared" si="11"/>
        <v>62134.820634273245</v>
      </c>
      <c r="C351" s="5">
        <f>IF(A351="","",B351*'Mortgage Inputs'!$B$15)</f>
        <v>330.86791987750502</v>
      </c>
      <c r="D351" s="5">
        <f>IF(A351="","",MIN(B351,MAX(0,'Mortgage Inputs'!$B$17-C351)))</f>
        <v>3730.6654479298486</v>
      </c>
      <c r="E351" s="5">
        <f t="shared" si="10"/>
        <v>58404.1551863434</v>
      </c>
      <c r="F351" s="5">
        <f>IF('Monthly Projection'!A351="",0,'Monthly Projection'!G351)</f>
        <v>0</v>
      </c>
    </row>
    <row r="352" spans="1:6">
      <c r="A352">
        <f>IF(AND('Mortgage Inputs'!$B$12,346&lt;=IF('Mortgage Inputs'!$B$12,'Mortgage Inputs'!$B$7,0)*12+600,ISNUMBER(E351),E351&gt;0.005),346,"")</f>
        <v>346</v>
      </c>
      <c r="B352" s="5">
        <f t="shared" si="11"/>
        <v>58404.1551863434</v>
      </c>
      <c r="C352" s="5">
        <f>IF(A352="","",B352*'Mortgage Inputs'!$B$15)</f>
        <v>311.00212636727861</v>
      </c>
      <c r="D352" s="5">
        <f>IF(A352="","",MIN(B352,MAX(0,'Mortgage Inputs'!$B$17-C352)))</f>
        <v>3750.5312414400751</v>
      </c>
      <c r="E352" s="5">
        <f t="shared" si="10"/>
        <v>54653.623944903324</v>
      </c>
      <c r="F352" s="5">
        <f>IF('Monthly Projection'!A352="",0,'Monthly Projection'!G352)</f>
        <v>0</v>
      </c>
    </row>
    <row r="353" spans="1:6">
      <c r="A353">
        <f>IF(AND('Mortgage Inputs'!$B$12,347&lt;=IF('Mortgage Inputs'!$B$12,'Mortgage Inputs'!$B$7,0)*12+600,ISNUMBER(E352),E352&gt;0.005),347,"")</f>
        <v>347</v>
      </c>
      <c r="B353" s="5">
        <f t="shared" si="11"/>
        <v>54653.623944903324</v>
      </c>
      <c r="C353" s="5">
        <f>IF(A353="","",B353*'Mortgage Inputs'!$B$15)</f>
        <v>291.03054750661022</v>
      </c>
      <c r="D353" s="5">
        <f>IF(A353="","",MIN(B353,MAX(0,'Mortgage Inputs'!$B$17-C353)))</f>
        <v>3770.5028203007432</v>
      </c>
      <c r="E353" s="5">
        <f t="shared" si="10"/>
        <v>50883.121124602578</v>
      </c>
      <c r="F353" s="5">
        <f>IF('Monthly Projection'!A353="",0,'Monthly Projection'!G353)</f>
        <v>0</v>
      </c>
    </row>
    <row r="354" spans="1:6">
      <c r="A354">
        <f>IF(AND('Mortgage Inputs'!$B$12,348&lt;=IF('Mortgage Inputs'!$B$12,'Mortgage Inputs'!$B$7,0)*12+600,ISNUMBER(E353),E353&gt;0.005),348,"")</f>
        <v>348</v>
      </c>
      <c r="B354" s="5">
        <f t="shared" si="11"/>
        <v>50883.121124602578</v>
      </c>
      <c r="C354" s="5">
        <f>IF(A354="","",B354*'Mortgage Inputs'!$B$15)</f>
        <v>270.95261998850873</v>
      </c>
      <c r="D354" s="5">
        <f>IF(A354="","",MIN(B354,MAX(0,'Mortgage Inputs'!$B$17-C354)))</f>
        <v>3790.5807478188449</v>
      </c>
      <c r="E354" s="5">
        <f t="shared" si="10"/>
        <v>47092.540376783734</v>
      </c>
      <c r="F354" s="5">
        <f>IF('Monthly Projection'!A354="",0,'Monthly Projection'!G354)</f>
        <v>0</v>
      </c>
    </row>
    <row r="355" spans="1:6">
      <c r="A355">
        <f>IF(AND('Mortgage Inputs'!$B$12,349&lt;=IF('Mortgage Inputs'!$B$12,'Mortgage Inputs'!$B$7,0)*12+600,ISNUMBER(E354),E354&gt;0.005),349,"")</f>
        <v>349</v>
      </c>
      <c r="B355" s="5">
        <f t="shared" si="11"/>
        <v>47092.540376783734</v>
      </c>
      <c r="C355" s="5">
        <f>IF(A355="","",B355*'Mortgage Inputs'!$B$15)</f>
        <v>250.76777750637339</v>
      </c>
      <c r="D355" s="5">
        <f>IF(A355="","",MIN(B355,MAX(0,'Mortgage Inputs'!$B$17-C355)))</f>
        <v>3810.76559030098</v>
      </c>
      <c r="E355" s="5">
        <f t="shared" si="10"/>
        <v>43281.774786482754</v>
      </c>
      <c r="F355" s="5">
        <f>IF('Monthly Projection'!A355="",0,'Monthly Projection'!G355)</f>
        <v>0</v>
      </c>
    </row>
    <row r="356" spans="1:6">
      <c r="A356">
        <f>IF(AND('Mortgage Inputs'!$B$12,350&lt;=IF('Mortgage Inputs'!$B$12,'Mortgage Inputs'!$B$7,0)*12+600,ISNUMBER(E355),E355&gt;0.005),350,"")</f>
        <v>350</v>
      </c>
      <c r="B356" s="5">
        <f t="shared" si="11"/>
        <v>43281.774786482754</v>
      </c>
      <c r="C356" s="5">
        <f>IF(A356="","",B356*'Mortgage Inputs'!$B$15)</f>
        <v>230.47545073802067</v>
      </c>
      <c r="D356" s="5">
        <f>IF(A356="","",MIN(B356,MAX(0,'Mortgage Inputs'!$B$17-C356)))</f>
        <v>3831.0579170693327</v>
      </c>
      <c r="E356" s="5">
        <f t="shared" si="10"/>
        <v>39450.716869413423</v>
      </c>
      <c r="F356" s="5">
        <f>IF('Monthly Projection'!A356="",0,'Monthly Projection'!G356)</f>
        <v>0</v>
      </c>
    </row>
    <row r="357" spans="1:6">
      <c r="A357">
        <f>IF(AND('Mortgage Inputs'!$B$12,351&lt;=IF('Mortgage Inputs'!$B$12,'Mortgage Inputs'!$B$7,0)*12+600,ISNUMBER(E356),E356&gt;0.005),351,"")</f>
        <v>351</v>
      </c>
      <c r="B357" s="5">
        <f t="shared" si="11"/>
        <v>39450.716869413423</v>
      </c>
      <c r="C357" s="5">
        <f>IF(A357="","",B357*'Mortgage Inputs'!$B$15)</f>
        <v>210.07506732962648</v>
      </c>
      <c r="D357" s="5">
        <f>IF(A357="","",MIN(B357,MAX(0,'Mortgage Inputs'!$B$17-C357)))</f>
        <v>3851.4583004777269</v>
      </c>
      <c r="E357" s="5">
        <f t="shared" si="10"/>
        <v>35599.258568935693</v>
      </c>
      <c r="F357" s="5">
        <f>IF('Monthly Projection'!A357="",0,'Monthly Projection'!G357)</f>
        <v>0</v>
      </c>
    </row>
    <row r="358" spans="1:6">
      <c r="A358">
        <f>IF(AND('Mortgage Inputs'!$B$12,352&lt;=IF('Mortgage Inputs'!$B$12,'Mortgage Inputs'!$B$7,0)*12+600,ISNUMBER(E357),E357&gt;0.005),352,"")</f>
        <v>352</v>
      </c>
      <c r="B358" s="5">
        <f t="shared" si="11"/>
        <v>35599.258568935693</v>
      </c>
      <c r="C358" s="5">
        <f>IF(A358="","",B358*'Mortgage Inputs'!$B$15)</f>
        <v>189.56605187958257</v>
      </c>
      <c r="D358" s="5">
        <f>IF(A358="","",MIN(B358,MAX(0,'Mortgage Inputs'!$B$17-C358)))</f>
        <v>3871.9673159277709</v>
      </c>
      <c r="E358" s="5">
        <f t="shared" si="10"/>
        <v>31727.291253007923</v>
      </c>
      <c r="F358" s="5">
        <f>IF('Monthly Projection'!A358="",0,'Monthly Projection'!G358)</f>
        <v>0</v>
      </c>
    </row>
    <row r="359" spans="1:6">
      <c r="A359">
        <f>IF(AND('Mortgage Inputs'!$B$12,353&lt;=IF('Mortgage Inputs'!$B$12,'Mortgage Inputs'!$B$7,0)*12+600,ISNUMBER(E358),E358&gt;0.005),353,"")</f>
        <v>353</v>
      </c>
      <c r="B359" s="5">
        <f t="shared" si="11"/>
        <v>31727.291253007923</v>
      </c>
      <c r="C359" s="5">
        <f>IF(A359="","",B359*'Mortgage Inputs'!$B$15)</f>
        <v>168.94782592226719</v>
      </c>
      <c r="D359" s="5">
        <f>IF(A359="","",MIN(B359,MAX(0,'Mortgage Inputs'!$B$17-C359)))</f>
        <v>3892.5855418850861</v>
      </c>
      <c r="E359" s="5">
        <f t="shared" si="10"/>
        <v>27834.705711122835</v>
      </c>
      <c r="F359" s="5">
        <f>IF('Monthly Projection'!A359="",0,'Monthly Projection'!G359)</f>
        <v>0</v>
      </c>
    </row>
    <row r="360" spans="1:6">
      <c r="A360">
        <f>IF(AND('Mortgage Inputs'!$B$12,354&lt;=IF('Mortgage Inputs'!$B$12,'Mortgage Inputs'!$B$7,0)*12+600,ISNUMBER(E359),E359&gt;0.005),354,"")</f>
        <v>354</v>
      </c>
      <c r="B360" s="5">
        <f t="shared" si="11"/>
        <v>27834.705711122835</v>
      </c>
      <c r="C360" s="5">
        <f>IF(A360="","",B360*'Mortgage Inputs'!$B$15)</f>
        <v>148.21980791172911</v>
      </c>
      <c r="D360" s="5">
        <f>IF(A360="","",MIN(B360,MAX(0,'Mortgage Inputs'!$B$17-C360)))</f>
        <v>3913.3135598956242</v>
      </c>
      <c r="E360" s="5">
        <f t="shared" si="10"/>
        <v>23921.39215122721</v>
      </c>
      <c r="F360" s="5">
        <f>IF('Monthly Projection'!A360="",0,'Monthly Projection'!G360)</f>
        <v>0</v>
      </c>
    </row>
    <row r="361" spans="1:6">
      <c r="A361">
        <f>IF(AND('Mortgage Inputs'!$B$12,355&lt;=IF('Mortgage Inputs'!$B$12,'Mortgage Inputs'!$B$7,0)*12+600,ISNUMBER(E360),E360&gt;0.005),355,"")</f>
        <v>355</v>
      </c>
      <c r="B361" s="5">
        <f t="shared" si="11"/>
        <v>23921.39215122721</v>
      </c>
      <c r="C361" s="5">
        <f>IF(A361="","",B361*'Mortgage Inputs'!$B$15)</f>
        <v>127.38141320528489</v>
      </c>
      <c r="D361" s="5">
        <f>IF(A361="","",MIN(B361,MAX(0,'Mortgage Inputs'!$B$17-C361)))</f>
        <v>3934.1519546020686</v>
      </c>
      <c r="E361" s="5">
        <f t="shared" si="10"/>
        <v>19987.240196625142</v>
      </c>
      <c r="F361" s="5">
        <f>IF('Monthly Projection'!A361="",0,'Monthly Projection'!G361)</f>
        <v>0</v>
      </c>
    </row>
    <row r="362" spans="1:6">
      <c r="A362">
        <f>IF(AND('Mortgage Inputs'!$B$12,356&lt;=IF('Mortgage Inputs'!$B$12,'Mortgage Inputs'!$B$7,0)*12+600,ISNUMBER(E361),E361&gt;0.005),356,"")</f>
        <v>356</v>
      </c>
      <c r="B362" s="5">
        <f t="shared" si="11"/>
        <v>19987.240196625142</v>
      </c>
      <c r="C362" s="5">
        <f>IF(A362="","",B362*'Mortgage Inputs'!$B$15)</f>
        <v>106.43205404702888</v>
      </c>
      <c r="D362" s="5">
        <f>IF(A362="","",MIN(B362,MAX(0,'Mortgage Inputs'!$B$17-C362)))</f>
        <v>3955.1013137603245</v>
      </c>
      <c r="E362" s="5">
        <f t="shared" si="10"/>
        <v>16032.138882864818</v>
      </c>
      <c r="F362" s="5">
        <f>IF('Monthly Projection'!A362="",0,'Monthly Projection'!G362)</f>
        <v>0</v>
      </c>
    </row>
    <row r="363" spans="1:6">
      <c r="A363">
        <f>IF(AND('Mortgage Inputs'!$B$12,357&lt;=IF('Mortgage Inputs'!$B$12,'Mortgage Inputs'!$B$7,0)*12+600,ISNUMBER(E362),E362&gt;0.005),357,"")</f>
        <v>357</v>
      </c>
      <c r="B363" s="5">
        <f t="shared" si="11"/>
        <v>16032.138882864818</v>
      </c>
      <c r="C363" s="5">
        <f>IF(A363="","",B363*'Mortgage Inputs'!$B$15)</f>
        <v>85.371139551255155</v>
      </c>
      <c r="D363" s="5">
        <f>IF(A363="","",MIN(B363,MAX(0,'Mortgage Inputs'!$B$17-C363)))</f>
        <v>3976.1622282560984</v>
      </c>
      <c r="E363" s="5">
        <f t="shared" si="10"/>
        <v>12055.976654608719</v>
      </c>
      <c r="F363" s="5">
        <f>IF('Monthly Projection'!A363="",0,'Monthly Projection'!G363)</f>
        <v>0</v>
      </c>
    </row>
    <row r="364" spans="1:6">
      <c r="A364">
        <f>IF(AND('Mortgage Inputs'!$B$12,358&lt;=IF('Mortgage Inputs'!$B$12,'Mortgage Inputs'!$B$7,0)*12+600,ISNUMBER(E363),E363&gt;0.005),358,"")</f>
        <v>358</v>
      </c>
      <c r="B364" s="5">
        <f t="shared" si="11"/>
        <v>12055.976654608719</v>
      </c>
      <c r="C364" s="5">
        <f>IF(A364="","",B364*'Mortgage Inputs'!$B$15)</f>
        <v>64.198075685791423</v>
      </c>
      <c r="D364" s="5">
        <f>IF(A364="","",MIN(B364,MAX(0,'Mortgage Inputs'!$B$17-C364)))</f>
        <v>3997.3352921215619</v>
      </c>
      <c r="E364" s="5">
        <f t="shared" si="10"/>
        <v>8058.6413624871575</v>
      </c>
      <c r="F364" s="5">
        <f>IF('Monthly Projection'!A364="",0,'Monthly Projection'!G364)</f>
        <v>0</v>
      </c>
    </row>
    <row r="365" spans="1:6">
      <c r="A365">
        <f>IF(AND('Mortgage Inputs'!$B$12,359&lt;=IF('Mortgage Inputs'!$B$12,'Mortgage Inputs'!$B$7,0)*12+600,ISNUMBER(E364),E364&gt;0.005),359,"")</f>
        <v>359</v>
      </c>
      <c r="B365" s="5">
        <f t="shared" si="11"/>
        <v>8058.6413624871575</v>
      </c>
      <c r="C365" s="5">
        <f>IF(A365="","",B365*'Mortgage Inputs'!$B$15)</f>
        <v>42.912265255244115</v>
      </c>
      <c r="D365" s="5">
        <f>IF(A365="","",MIN(B365,MAX(0,'Mortgage Inputs'!$B$17-C365)))</f>
        <v>4018.6211025521093</v>
      </c>
      <c r="E365" s="5">
        <f t="shared" si="10"/>
        <v>4040.0202599350482</v>
      </c>
      <c r="F365" s="5">
        <f>IF('Monthly Projection'!A365="",0,'Monthly Projection'!G365)</f>
        <v>0</v>
      </c>
    </row>
    <row r="366" spans="1:6">
      <c r="A366">
        <f>IF(AND('Mortgage Inputs'!$B$12,360&lt;=IF('Mortgage Inputs'!$B$12,'Mortgage Inputs'!$B$7,0)*12+600,ISNUMBER(E365),E365&gt;0.005),360,"")</f>
        <v>360</v>
      </c>
      <c r="B366" s="5">
        <f t="shared" si="11"/>
        <v>4040.0202599350482</v>
      </c>
      <c r="C366" s="5">
        <f>IF(A366="","",B366*'Mortgage Inputs'!$B$15)</f>
        <v>21.513107884154131</v>
      </c>
      <c r="D366" s="5">
        <f>IF(A366="","",MIN(B366,MAX(0,'Mortgage Inputs'!$B$17-C366)))</f>
        <v>4040.0202599231993</v>
      </c>
      <c r="E366" s="5">
        <f t="shared" si="10"/>
        <v>1.1848896974697709E-8</v>
      </c>
      <c r="F366" s="5">
        <f>IF('Monthly Projection'!A366="",0,'Monthly Projection'!G366)</f>
        <v>0</v>
      </c>
    </row>
    <row r="367" spans="1:6">
      <c r="A367" t="str">
        <f>IF(AND('Mortgage Inputs'!$B$12,361&lt;=IF('Mortgage Inputs'!$B$12,'Mortgage Inputs'!$B$7,0)*12+600,ISNUMBER(E366),E366&gt;0.005),361,"")</f>
        <v/>
      </c>
      <c r="B367" s="5" t="str">
        <f t="shared" si="11"/>
        <v/>
      </c>
      <c r="C367" s="5" t="str">
        <f>IF(A367="","",B367*'Mortgage Inputs'!$B$15)</f>
        <v/>
      </c>
      <c r="D367" s="5" t="str">
        <f>IF(A367="","",MIN(B367,MAX(0,'Mortgage Inputs'!$B$17-C367)))</f>
        <v/>
      </c>
      <c r="E367" s="5" t="str">
        <f t="shared" si="10"/>
        <v/>
      </c>
      <c r="F367" s="5">
        <f>IF('Monthly Projection'!A367="",0,'Monthly Projection'!G367)</f>
        <v>0</v>
      </c>
    </row>
    <row r="368" spans="1:6">
      <c r="A368" t="str">
        <f>IF(AND('Mortgage Inputs'!$B$12,362&lt;=IF('Mortgage Inputs'!$B$12,'Mortgage Inputs'!$B$7,0)*12+600,ISNUMBER(E367),E367&gt;0.005),362,"")</f>
        <v/>
      </c>
      <c r="B368" s="5" t="str">
        <f t="shared" si="11"/>
        <v/>
      </c>
      <c r="C368" s="5" t="str">
        <f>IF(A368="","",B368*'Mortgage Inputs'!$B$15)</f>
        <v/>
      </c>
      <c r="D368" s="5" t="str">
        <f>IF(A368="","",MIN(B368,MAX(0,'Mortgage Inputs'!$B$17-C368)))</f>
        <v/>
      </c>
      <c r="E368" s="5" t="str">
        <f t="shared" si="10"/>
        <v/>
      </c>
      <c r="F368" s="5">
        <f>IF('Monthly Projection'!A368="",0,'Monthly Projection'!G368)</f>
        <v>0</v>
      </c>
    </row>
    <row r="369" spans="1:6">
      <c r="A369" t="str">
        <f>IF(AND('Mortgage Inputs'!$B$12,363&lt;=IF('Mortgage Inputs'!$B$12,'Mortgage Inputs'!$B$7,0)*12+600,ISNUMBER(E368),E368&gt;0.005),363,"")</f>
        <v/>
      </c>
      <c r="B369" s="5" t="str">
        <f t="shared" si="11"/>
        <v/>
      </c>
      <c r="C369" s="5" t="str">
        <f>IF(A369="","",B369*'Mortgage Inputs'!$B$15)</f>
        <v/>
      </c>
      <c r="D369" s="5" t="str">
        <f>IF(A369="","",MIN(B369,MAX(0,'Mortgage Inputs'!$B$17-C369)))</f>
        <v/>
      </c>
      <c r="E369" s="5" t="str">
        <f t="shared" si="10"/>
        <v/>
      </c>
      <c r="F369" s="5">
        <f>IF('Monthly Projection'!A369="",0,'Monthly Projection'!G369)</f>
        <v>0</v>
      </c>
    </row>
    <row r="370" spans="1:6">
      <c r="A370" t="str">
        <f>IF(AND('Mortgage Inputs'!$B$12,364&lt;=IF('Mortgage Inputs'!$B$12,'Mortgage Inputs'!$B$7,0)*12+600,ISNUMBER(E369),E369&gt;0.005),364,"")</f>
        <v/>
      </c>
      <c r="B370" s="5" t="str">
        <f t="shared" si="11"/>
        <v/>
      </c>
      <c r="C370" s="5" t="str">
        <f>IF(A370="","",B370*'Mortgage Inputs'!$B$15)</f>
        <v/>
      </c>
      <c r="D370" s="5" t="str">
        <f>IF(A370="","",MIN(B370,MAX(0,'Mortgage Inputs'!$B$17-C370)))</f>
        <v/>
      </c>
      <c r="E370" s="5" t="str">
        <f t="shared" si="10"/>
        <v/>
      </c>
      <c r="F370" s="5">
        <f>IF('Monthly Projection'!A370="",0,'Monthly Projection'!G370)</f>
        <v>0</v>
      </c>
    </row>
    <row r="371" spans="1:6">
      <c r="A371" t="str">
        <f>IF(AND('Mortgage Inputs'!$B$12,365&lt;=IF('Mortgage Inputs'!$B$12,'Mortgage Inputs'!$B$7,0)*12+600,ISNUMBER(E370),E370&gt;0.005),365,"")</f>
        <v/>
      </c>
      <c r="B371" s="5" t="str">
        <f t="shared" si="11"/>
        <v/>
      </c>
      <c r="C371" s="5" t="str">
        <f>IF(A371="","",B371*'Mortgage Inputs'!$B$15)</f>
        <v/>
      </c>
      <c r="D371" s="5" t="str">
        <f>IF(A371="","",MIN(B371,MAX(0,'Mortgage Inputs'!$B$17-C371)))</f>
        <v/>
      </c>
      <c r="E371" s="5" t="str">
        <f t="shared" si="10"/>
        <v/>
      </c>
      <c r="F371" s="5">
        <f>IF('Monthly Projection'!A371="",0,'Monthly Projection'!G371)</f>
        <v>0</v>
      </c>
    </row>
    <row r="372" spans="1:6">
      <c r="A372" t="str">
        <f>IF(AND('Mortgage Inputs'!$B$12,366&lt;=IF('Mortgage Inputs'!$B$12,'Mortgage Inputs'!$B$7,0)*12+600,ISNUMBER(E371),E371&gt;0.005),366,"")</f>
        <v/>
      </c>
      <c r="B372" s="5" t="str">
        <f t="shared" si="11"/>
        <v/>
      </c>
      <c r="C372" s="5" t="str">
        <f>IF(A372="","",B372*'Mortgage Inputs'!$B$15)</f>
        <v/>
      </c>
      <c r="D372" s="5" t="str">
        <f>IF(A372="","",MIN(B372,MAX(0,'Mortgage Inputs'!$B$17-C372)))</f>
        <v/>
      </c>
      <c r="E372" s="5" t="str">
        <f t="shared" si="10"/>
        <v/>
      </c>
      <c r="F372" s="5">
        <f>IF('Monthly Projection'!A372="",0,'Monthly Projection'!G372)</f>
        <v>0</v>
      </c>
    </row>
    <row r="373" spans="1:6">
      <c r="A373" t="str">
        <f>IF(AND('Mortgage Inputs'!$B$12,367&lt;=IF('Mortgage Inputs'!$B$12,'Mortgage Inputs'!$B$7,0)*12+600,ISNUMBER(E372),E372&gt;0.005),367,"")</f>
        <v/>
      </c>
      <c r="B373" s="5" t="str">
        <f t="shared" si="11"/>
        <v/>
      </c>
      <c r="C373" s="5" t="str">
        <f>IF(A373="","",B373*'Mortgage Inputs'!$B$15)</f>
        <v/>
      </c>
      <c r="D373" s="5" t="str">
        <f>IF(A373="","",MIN(B373,MAX(0,'Mortgage Inputs'!$B$17-C373)))</f>
        <v/>
      </c>
      <c r="E373" s="5" t="str">
        <f t="shared" si="10"/>
        <v/>
      </c>
      <c r="F373" s="5">
        <f>IF('Monthly Projection'!A373="",0,'Monthly Projection'!G373)</f>
        <v>0</v>
      </c>
    </row>
    <row r="374" spans="1:6">
      <c r="A374" t="str">
        <f>IF(AND('Mortgage Inputs'!$B$12,368&lt;=IF('Mortgage Inputs'!$B$12,'Mortgage Inputs'!$B$7,0)*12+600,ISNUMBER(E373),E373&gt;0.005),368,"")</f>
        <v/>
      </c>
      <c r="B374" s="5" t="str">
        <f t="shared" si="11"/>
        <v/>
      </c>
      <c r="C374" s="5" t="str">
        <f>IF(A374="","",B374*'Mortgage Inputs'!$B$15)</f>
        <v/>
      </c>
      <c r="D374" s="5" t="str">
        <f>IF(A374="","",MIN(B374,MAX(0,'Mortgage Inputs'!$B$17-C374)))</f>
        <v/>
      </c>
      <c r="E374" s="5" t="str">
        <f t="shared" si="10"/>
        <v/>
      </c>
      <c r="F374" s="5">
        <f>IF('Monthly Projection'!A374="",0,'Monthly Projection'!G374)</f>
        <v>0</v>
      </c>
    </row>
    <row r="375" spans="1:6">
      <c r="A375" t="str">
        <f>IF(AND('Mortgage Inputs'!$B$12,369&lt;=IF('Mortgage Inputs'!$B$12,'Mortgage Inputs'!$B$7,0)*12+600,ISNUMBER(E374),E374&gt;0.005),369,"")</f>
        <v/>
      </c>
      <c r="B375" s="5" t="str">
        <f t="shared" si="11"/>
        <v/>
      </c>
      <c r="C375" s="5" t="str">
        <f>IF(A375="","",B375*'Mortgage Inputs'!$B$15)</f>
        <v/>
      </c>
      <c r="D375" s="5" t="str">
        <f>IF(A375="","",MIN(B375,MAX(0,'Mortgage Inputs'!$B$17-C375)))</f>
        <v/>
      </c>
      <c r="E375" s="5" t="str">
        <f t="shared" si="10"/>
        <v/>
      </c>
      <c r="F375" s="5">
        <f>IF('Monthly Projection'!A375="",0,'Monthly Projection'!G375)</f>
        <v>0</v>
      </c>
    </row>
    <row r="376" spans="1:6">
      <c r="A376" t="str">
        <f>IF(AND('Mortgage Inputs'!$B$12,370&lt;=IF('Mortgage Inputs'!$B$12,'Mortgage Inputs'!$B$7,0)*12+600,ISNUMBER(E375),E375&gt;0.005),370,"")</f>
        <v/>
      </c>
      <c r="B376" s="5" t="str">
        <f t="shared" si="11"/>
        <v/>
      </c>
      <c r="C376" s="5" t="str">
        <f>IF(A376="","",B376*'Mortgage Inputs'!$B$15)</f>
        <v/>
      </c>
      <c r="D376" s="5" t="str">
        <f>IF(A376="","",MIN(B376,MAX(0,'Mortgage Inputs'!$B$17-C376)))</f>
        <v/>
      </c>
      <c r="E376" s="5" t="str">
        <f t="shared" si="10"/>
        <v/>
      </c>
      <c r="F376" s="5">
        <f>IF('Monthly Projection'!A376="",0,'Monthly Projection'!G376)</f>
        <v>0</v>
      </c>
    </row>
    <row r="377" spans="1:6">
      <c r="A377" t="str">
        <f>IF(AND('Mortgage Inputs'!$B$12,371&lt;=IF('Mortgage Inputs'!$B$12,'Mortgage Inputs'!$B$7,0)*12+600,ISNUMBER(E376),E376&gt;0.005),371,"")</f>
        <v/>
      </c>
      <c r="B377" s="5" t="str">
        <f t="shared" si="11"/>
        <v/>
      </c>
      <c r="C377" s="5" t="str">
        <f>IF(A377="","",B377*'Mortgage Inputs'!$B$15)</f>
        <v/>
      </c>
      <c r="D377" s="5" t="str">
        <f>IF(A377="","",MIN(B377,MAX(0,'Mortgage Inputs'!$B$17-C377)))</f>
        <v/>
      </c>
      <c r="E377" s="5" t="str">
        <f t="shared" si="10"/>
        <v/>
      </c>
      <c r="F377" s="5">
        <f>IF('Monthly Projection'!A377="",0,'Monthly Projection'!G377)</f>
        <v>0</v>
      </c>
    </row>
    <row r="378" spans="1:6">
      <c r="A378" t="str">
        <f>IF(AND('Mortgage Inputs'!$B$12,372&lt;=IF('Mortgage Inputs'!$B$12,'Mortgage Inputs'!$B$7,0)*12+600,ISNUMBER(E377),E377&gt;0.005),372,"")</f>
        <v/>
      </c>
      <c r="B378" s="5" t="str">
        <f t="shared" si="11"/>
        <v/>
      </c>
      <c r="C378" s="5" t="str">
        <f>IF(A378="","",B378*'Mortgage Inputs'!$B$15)</f>
        <v/>
      </c>
      <c r="D378" s="5" t="str">
        <f>IF(A378="","",MIN(B378,MAX(0,'Mortgage Inputs'!$B$17-C378)))</f>
        <v/>
      </c>
      <c r="E378" s="5" t="str">
        <f t="shared" si="10"/>
        <v/>
      </c>
      <c r="F378" s="5">
        <f>IF('Monthly Projection'!A378="",0,'Monthly Projection'!G378)</f>
        <v>0</v>
      </c>
    </row>
    <row r="379" spans="1:6">
      <c r="A379" t="str">
        <f>IF(AND('Mortgage Inputs'!$B$12,373&lt;=IF('Mortgage Inputs'!$B$12,'Mortgage Inputs'!$B$7,0)*12+600,ISNUMBER(E378),E378&gt;0.005),373,"")</f>
        <v/>
      </c>
      <c r="B379" s="5" t="str">
        <f t="shared" si="11"/>
        <v/>
      </c>
      <c r="C379" s="5" t="str">
        <f>IF(A379="","",B379*'Mortgage Inputs'!$B$15)</f>
        <v/>
      </c>
      <c r="D379" s="5" t="str">
        <f>IF(A379="","",MIN(B379,MAX(0,'Mortgage Inputs'!$B$17-C379)))</f>
        <v/>
      </c>
      <c r="E379" s="5" t="str">
        <f t="shared" si="10"/>
        <v/>
      </c>
      <c r="F379" s="5">
        <f>IF('Monthly Projection'!A379="",0,'Monthly Projection'!G379)</f>
        <v>0</v>
      </c>
    </row>
    <row r="380" spans="1:6">
      <c r="A380" t="str">
        <f>IF(AND('Mortgage Inputs'!$B$12,374&lt;=IF('Mortgage Inputs'!$B$12,'Mortgage Inputs'!$B$7,0)*12+600,ISNUMBER(E379),E379&gt;0.005),374,"")</f>
        <v/>
      </c>
      <c r="B380" s="5" t="str">
        <f t="shared" si="11"/>
        <v/>
      </c>
      <c r="C380" s="5" t="str">
        <f>IF(A380="","",B380*'Mortgage Inputs'!$B$15)</f>
        <v/>
      </c>
      <c r="D380" s="5" t="str">
        <f>IF(A380="","",MIN(B380,MAX(0,'Mortgage Inputs'!$B$17-C380)))</f>
        <v/>
      </c>
      <c r="E380" s="5" t="str">
        <f t="shared" si="10"/>
        <v/>
      </c>
      <c r="F380" s="5">
        <f>IF('Monthly Projection'!A380="",0,'Monthly Projection'!G380)</f>
        <v>0</v>
      </c>
    </row>
    <row r="381" spans="1:6">
      <c r="A381" t="str">
        <f>IF(AND('Mortgage Inputs'!$B$12,375&lt;=IF('Mortgage Inputs'!$B$12,'Mortgage Inputs'!$B$7,0)*12+600,ISNUMBER(E380),E380&gt;0.005),375,"")</f>
        <v/>
      </c>
      <c r="B381" s="5" t="str">
        <f t="shared" si="11"/>
        <v/>
      </c>
      <c r="C381" s="5" t="str">
        <f>IF(A381="","",B381*'Mortgage Inputs'!$B$15)</f>
        <v/>
      </c>
      <c r="D381" s="5" t="str">
        <f>IF(A381="","",MIN(B381,MAX(0,'Mortgage Inputs'!$B$17-C381)))</f>
        <v/>
      </c>
      <c r="E381" s="5" t="str">
        <f t="shared" si="10"/>
        <v/>
      </c>
      <c r="F381" s="5">
        <f>IF('Monthly Projection'!A381="",0,'Monthly Projection'!G381)</f>
        <v>0</v>
      </c>
    </row>
    <row r="382" spans="1:6">
      <c r="A382" t="str">
        <f>IF(AND('Mortgage Inputs'!$B$12,376&lt;=IF('Mortgage Inputs'!$B$12,'Mortgage Inputs'!$B$7,0)*12+600,ISNUMBER(E381),E381&gt;0.005),376,"")</f>
        <v/>
      </c>
      <c r="B382" s="5" t="str">
        <f t="shared" si="11"/>
        <v/>
      </c>
      <c r="C382" s="5" t="str">
        <f>IF(A382="","",B382*'Mortgage Inputs'!$B$15)</f>
        <v/>
      </c>
      <c r="D382" s="5" t="str">
        <f>IF(A382="","",MIN(B382,MAX(0,'Mortgage Inputs'!$B$17-C382)))</f>
        <v/>
      </c>
      <c r="E382" s="5" t="str">
        <f t="shared" si="10"/>
        <v/>
      </c>
      <c r="F382" s="5">
        <f>IF('Monthly Projection'!A382="",0,'Monthly Projection'!G382)</f>
        <v>0</v>
      </c>
    </row>
    <row r="383" spans="1:6">
      <c r="A383" t="str">
        <f>IF(AND('Mortgage Inputs'!$B$12,377&lt;=IF('Mortgage Inputs'!$B$12,'Mortgage Inputs'!$B$7,0)*12+600,ISNUMBER(E382),E382&gt;0.005),377,"")</f>
        <v/>
      </c>
      <c r="B383" s="5" t="str">
        <f t="shared" si="11"/>
        <v/>
      </c>
      <c r="C383" s="5" t="str">
        <f>IF(A383="","",B383*'Mortgage Inputs'!$B$15)</f>
        <v/>
      </c>
      <c r="D383" s="5" t="str">
        <f>IF(A383="","",MIN(B383,MAX(0,'Mortgage Inputs'!$B$17-C383)))</f>
        <v/>
      </c>
      <c r="E383" s="5" t="str">
        <f t="shared" si="10"/>
        <v/>
      </c>
      <c r="F383" s="5">
        <f>IF('Monthly Projection'!A383="",0,'Monthly Projection'!G383)</f>
        <v>0</v>
      </c>
    </row>
    <row r="384" spans="1:6">
      <c r="A384" t="str">
        <f>IF(AND('Mortgage Inputs'!$B$12,378&lt;=IF('Mortgage Inputs'!$B$12,'Mortgage Inputs'!$B$7,0)*12+600,ISNUMBER(E383),E383&gt;0.005),378,"")</f>
        <v/>
      </c>
      <c r="B384" s="5" t="str">
        <f t="shared" si="11"/>
        <v/>
      </c>
      <c r="C384" s="5" t="str">
        <f>IF(A384="","",B384*'Mortgage Inputs'!$B$15)</f>
        <v/>
      </c>
      <c r="D384" s="5" t="str">
        <f>IF(A384="","",MIN(B384,MAX(0,'Mortgage Inputs'!$B$17-C384)))</f>
        <v/>
      </c>
      <c r="E384" s="5" t="str">
        <f t="shared" si="10"/>
        <v/>
      </c>
      <c r="F384" s="5">
        <f>IF('Monthly Projection'!A384="",0,'Monthly Projection'!G384)</f>
        <v>0</v>
      </c>
    </row>
    <row r="385" spans="1:6">
      <c r="A385" t="str">
        <f>IF(AND('Mortgage Inputs'!$B$12,379&lt;=IF('Mortgage Inputs'!$B$12,'Mortgage Inputs'!$B$7,0)*12+600,ISNUMBER(E384),E384&gt;0.005),379,"")</f>
        <v/>
      </c>
      <c r="B385" s="5" t="str">
        <f t="shared" si="11"/>
        <v/>
      </c>
      <c r="C385" s="5" t="str">
        <f>IF(A385="","",B385*'Mortgage Inputs'!$B$15)</f>
        <v/>
      </c>
      <c r="D385" s="5" t="str">
        <f>IF(A385="","",MIN(B385,MAX(0,'Mortgage Inputs'!$B$17-C385)))</f>
        <v/>
      </c>
      <c r="E385" s="5" t="str">
        <f t="shared" si="10"/>
        <v/>
      </c>
      <c r="F385" s="5">
        <f>IF('Monthly Projection'!A385="",0,'Monthly Projection'!G385)</f>
        <v>0</v>
      </c>
    </row>
    <row r="386" spans="1:6">
      <c r="A386" t="str">
        <f>IF(AND('Mortgage Inputs'!$B$12,380&lt;=IF('Mortgage Inputs'!$B$12,'Mortgage Inputs'!$B$7,0)*12+600,ISNUMBER(E385),E385&gt;0.005),380,"")</f>
        <v/>
      </c>
      <c r="B386" s="5" t="str">
        <f t="shared" si="11"/>
        <v/>
      </c>
      <c r="C386" s="5" t="str">
        <f>IF(A386="","",B386*'Mortgage Inputs'!$B$15)</f>
        <v/>
      </c>
      <c r="D386" s="5" t="str">
        <f>IF(A386="","",MIN(B386,MAX(0,'Mortgage Inputs'!$B$17-C386)))</f>
        <v/>
      </c>
      <c r="E386" s="5" t="str">
        <f t="shared" si="10"/>
        <v/>
      </c>
      <c r="F386" s="5">
        <f>IF('Monthly Projection'!A386="",0,'Monthly Projection'!G386)</f>
        <v>0</v>
      </c>
    </row>
    <row r="387" spans="1:6">
      <c r="A387" t="str">
        <f>IF(AND('Mortgage Inputs'!$B$12,381&lt;=IF('Mortgage Inputs'!$B$12,'Mortgage Inputs'!$B$7,0)*12+600,ISNUMBER(E386),E386&gt;0.005),381,"")</f>
        <v/>
      </c>
      <c r="B387" s="5" t="str">
        <f t="shared" si="11"/>
        <v/>
      </c>
      <c r="C387" s="5" t="str">
        <f>IF(A387="","",B387*'Mortgage Inputs'!$B$15)</f>
        <v/>
      </c>
      <c r="D387" s="5" t="str">
        <f>IF(A387="","",MIN(B387,MAX(0,'Mortgage Inputs'!$B$17-C387)))</f>
        <v/>
      </c>
      <c r="E387" s="5" t="str">
        <f t="shared" si="10"/>
        <v/>
      </c>
      <c r="F387" s="5">
        <f>IF('Monthly Projection'!A387="",0,'Monthly Projection'!G387)</f>
        <v>0</v>
      </c>
    </row>
    <row r="388" spans="1:6">
      <c r="A388" t="str">
        <f>IF(AND('Mortgage Inputs'!$B$12,382&lt;=IF('Mortgage Inputs'!$B$12,'Mortgage Inputs'!$B$7,0)*12+600,ISNUMBER(E387),E387&gt;0.005),382,"")</f>
        <v/>
      </c>
      <c r="B388" s="5" t="str">
        <f t="shared" si="11"/>
        <v/>
      </c>
      <c r="C388" s="5" t="str">
        <f>IF(A388="","",B388*'Mortgage Inputs'!$B$15)</f>
        <v/>
      </c>
      <c r="D388" s="5" t="str">
        <f>IF(A388="","",MIN(B388,MAX(0,'Mortgage Inputs'!$B$17-C388)))</f>
        <v/>
      </c>
      <c r="E388" s="5" t="str">
        <f t="shared" si="10"/>
        <v/>
      </c>
      <c r="F388" s="5">
        <f>IF('Monthly Projection'!A388="",0,'Monthly Projection'!G388)</f>
        <v>0</v>
      </c>
    </row>
    <row r="389" spans="1:6">
      <c r="A389" t="str">
        <f>IF(AND('Mortgage Inputs'!$B$12,383&lt;=IF('Mortgage Inputs'!$B$12,'Mortgage Inputs'!$B$7,0)*12+600,ISNUMBER(E388),E388&gt;0.005),383,"")</f>
        <v/>
      </c>
      <c r="B389" s="5" t="str">
        <f t="shared" si="11"/>
        <v/>
      </c>
      <c r="C389" s="5" t="str">
        <f>IF(A389="","",B389*'Mortgage Inputs'!$B$15)</f>
        <v/>
      </c>
      <c r="D389" s="5" t="str">
        <f>IF(A389="","",MIN(B389,MAX(0,'Mortgage Inputs'!$B$17-C389)))</f>
        <v/>
      </c>
      <c r="E389" s="5" t="str">
        <f t="shared" si="10"/>
        <v/>
      </c>
      <c r="F389" s="5">
        <f>IF('Monthly Projection'!A389="",0,'Monthly Projection'!G389)</f>
        <v>0</v>
      </c>
    </row>
    <row r="390" spans="1:6">
      <c r="A390" t="str">
        <f>IF(AND('Mortgage Inputs'!$B$12,384&lt;=IF('Mortgage Inputs'!$B$12,'Mortgage Inputs'!$B$7,0)*12+600,ISNUMBER(E389),E389&gt;0.005),384,"")</f>
        <v/>
      </c>
      <c r="B390" s="5" t="str">
        <f t="shared" si="11"/>
        <v/>
      </c>
      <c r="C390" s="5" t="str">
        <f>IF(A390="","",B390*'Mortgage Inputs'!$B$15)</f>
        <v/>
      </c>
      <c r="D390" s="5" t="str">
        <f>IF(A390="","",MIN(B390,MAX(0,'Mortgage Inputs'!$B$17-C390)))</f>
        <v/>
      </c>
      <c r="E390" s="5" t="str">
        <f t="shared" si="10"/>
        <v/>
      </c>
      <c r="F390" s="5">
        <f>IF('Monthly Projection'!A390="",0,'Monthly Projection'!G390)</f>
        <v>0</v>
      </c>
    </row>
    <row r="391" spans="1:6">
      <c r="A391" t="str">
        <f>IF(AND('Mortgage Inputs'!$B$12,385&lt;=IF('Mortgage Inputs'!$B$12,'Mortgage Inputs'!$B$7,0)*12+600,ISNUMBER(E390),E390&gt;0.005),385,"")</f>
        <v/>
      </c>
      <c r="B391" s="5" t="str">
        <f t="shared" si="11"/>
        <v/>
      </c>
      <c r="C391" s="5" t="str">
        <f>IF(A391="","",B391*'Mortgage Inputs'!$B$15)</f>
        <v/>
      </c>
      <c r="D391" s="5" t="str">
        <f>IF(A391="","",MIN(B391,MAX(0,'Mortgage Inputs'!$B$17-C391)))</f>
        <v/>
      </c>
      <c r="E391" s="5" t="str">
        <f t="shared" ref="E391:E454" si="12">IF(A391="","",MAX(0,B391-D391))</f>
        <v/>
      </c>
      <c r="F391" s="5">
        <f>IF('Monthly Projection'!A391="",0,'Monthly Projection'!G391)</f>
        <v>0</v>
      </c>
    </row>
    <row r="392" spans="1:6">
      <c r="A392" t="str">
        <f>IF(AND('Mortgage Inputs'!$B$12,386&lt;=IF('Mortgage Inputs'!$B$12,'Mortgage Inputs'!$B$7,0)*12+600,ISNUMBER(E391),E391&gt;0.005),386,"")</f>
        <v/>
      </c>
      <c r="B392" s="5" t="str">
        <f t="shared" ref="B392:B455" si="13">IF(A392="","",E391)</f>
        <v/>
      </c>
      <c r="C392" s="5" t="str">
        <f>IF(A392="","",B392*'Mortgage Inputs'!$B$15)</f>
        <v/>
      </c>
      <c r="D392" s="5" t="str">
        <f>IF(A392="","",MIN(B392,MAX(0,'Mortgage Inputs'!$B$17-C392)))</f>
        <v/>
      </c>
      <c r="E392" s="5" t="str">
        <f t="shared" si="12"/>
        <v/>
      </c>
      <c r="F392" s="5">
        <f>IF('Monthly Projection'!A392="",0,'Monthly Projection'!G392)</f>
        <v>0</v>
      </c>
    </row>
    <row r="393" spans="1:6">
      <c r="A393" t="str">
        <f>IF(AND('Mortgage Inputs'!$B$12,387&lt;=IF('Mortgage Inputs'!$B$12,'Mortgage Inputs'!$B$7,0)*12+600,ISNUMBER(E392),E392&gt;0.005),387,"")</f>
        <v/>
      </c>
      <c r="B393" s="5" t="str">
        <f t="shared" si="13"/>
        <v/>
      </c>
      <c r="C393" s="5" t="str">
        <f>IF(A393="","",B393*'Mortgage Inputs'!$B$15)</f>
        <v/>
      </c>
      <c r="D393" s="5" t="str">
        <f>IF(A393="","",MIN(B393,MAX(0,'Mortgage Inputs'!$B$17-C393)))</f>
        <v/>
      </c>
      <c r="E393" s="5" t="str">
        <f t="shared" si="12"/>
        <v/>
      </c>
      <c r="F393" s="5">
        <f>IF('Monthly Projection'!A393="",0,'Monthly Projection'!G393)</f>
        <v>0</v>
      </c>
    </row>
    <row r="394" spans="1:6">
      <c r="A394" t="str">
        <f>IF(AND('Mortgage Inputs'!$B$12,388&lt;=IF('Mortgage Inputs'!$B$12,'Mortgage Inputs'!$B$7,0)*12+600,ISNUMBER(E393),E393&gt;0.005),388,"")</f>
        <v/>
      </c>
      <c r="B394" s="5" t="str">
        <f t="shared" si="13"/>
        <v/>
      </c>
      <c r="C394" s="5" t="str">
        <f>IF(A394="","",B394*'Mortgage Inputs'!$B$15)</f>
        <v/>
      </c>
      <c r="D394" s="5" t="str">
        <f>IF(A394="","",MIN(B394,MAX(0,'Mortgage Inputs'!$B$17-C394)))</f>
        <v/>
      </c>
      <c r="E394" s="5" t="str">
        <f t="shared" si="12"/>
        <v/>
      </c>
      <c r="F394" s="5">
        <f>IF('Monthly Projection'!A394="",0,'Monthly Projection'!G394)</f>
        <v>0</v>
      </c>
    </row>
    <row r="395" spans="1:6">
      <c r="A395" t="str">
        <f>IF(AND('Mortgage Inputs'!$B$12,389&lt;=IF('Mortgage Inputs'!$B$12,'Mortgage Inputs'!$B$7,0)*12+600,ISNUMBER(E394),E394&gt;0.005),389,"")</f>
        <v/>
      </c>
      <c r="B395" s="5" t="str">
        <f t="shared" si="13"/>
        <v/>
      </c>
      <c r="C395" s="5" t="str">
        <f>IF(A395="","",B395*'Mortgage Inputs'!$B$15)</f>
        <v/>
      </c>
      <c r="D395" s="5" t="str">
        <f>IF(A395="","",MIN(B395,MAX(0,'Mortgage Inputs'!$B$17-C395)))</f>
        <v/>
      </c>
      <c r="E395" s="5" t="str">
        <f t="shared" si="12"/>
        <v/>
      </c>
      <c r="F395" s="5">
        <f>IF('Monthly Projection'!A395="",0,'Monthly Projection'!G395)</f>
        <v>0</v>
      </c>
    </row>
    <row r="396" spans="1:6">
      <c r="A396" t="str">
        <f>IF(AND('Mortgage Inputs'!$B$12,390&lt;=IF('Mortgage Inputs'!$B$12,'Mortgage Inputs'!$B$7,0)*12+600,ISNUMBER(E395),E395&gt;0.005),390,"")</f>
        <v/>
      </c>
      <c r="B396" s="5" t="str">
        <f t="shared" si="13"/>
        <v/>
      </c>
      <c r="C396" s="5" t="str">
        <f>IF(A396="","",B396*'Mortgage Inputs'!$B$15)</f>
        <v/>
      </c>
      <c r="D396" s="5" t="str">
        <f>IF(A396="","",MIN(B396,MAX(0,'Mortgage Inputs'!$B$17-C396)))</f>
        <v/>
      </c>
      <c r="E396" s="5" t="str">
        <f t="shared" si="12"/>
        <v/>
      </c>
      <c r="F396" s="5">
        <f>IF('Monthly Projection'!A396="",0,'Monthly Projection'!G396)</f>
        <v>0</v>
      </c>
    </row>
    <row r="397" spans="1:6">
      <c r="A397" t="str">
        <f>IF(AND('Mortgage Inputs'!$B$12,391&lt;=IF('Mortgage Inputs'!$B$12,'Mortgage Inputs'!$B$7,0)*12+600,ISNUMBER(E396),E396&gt;0.005),391,"")</f>
        <v/>
      </c>
      <c r="B397" s="5" t="str">
        <f t="shared" si="13"/>
        <v/>
      </c>
      <c r="C397" s="5" t="str">
        <f>IF(A397="","",B397*'Mortgage Inputs'!$B$15)</f>
        <v/>
      </c>
      <c r="D397" s="5" t="str">
        <f>IF(A397="","",MIN(B397,MAX(0,'Mortgage Inputs'!$B$17-C397)))</f>
        <v/>
      </c>
      <c r="E397" s="5" t="str">
        <f t="shared" si="12"/>
        <v/>
      </c>
      <c r="F397" s="5">
        <f>IF('Monthly Projection'!A397="",0,'Monthly Projection'!G397)</f>
        <v>0</v>
      </c>
    </row>
    <row r="398" spans="1:6">
      <c r="A398" t="str">
        <f>IF(AND('Mortgage Inputs'!$B$12,392&lt;=IF('Mortgage Inputs'!$B$12,'Mortgage Inputs'!$B$7,0)*12+600,ISNUMBER(E397),E397&gt;0.005),392,"")</f>
        <v/>
      </c>
      <c r="B398" s="5" t="str">
        <f t="shared" si="13"/>
        <v/>
      </c>
      <c r="C398" s="5" t="str">
        <f>IF(A398="","",B398*'Mortgage Inputs'!$B$15)</f>
        <v/>
      </c>
      <c r="D398" s="5" t="str">
        <f>IF(A398="","",MIN(B398,MAX(0,'Mortgage Inputs'!$B$17-C398)))</f>
        <v/>
      </c>
      <c r="E398" s="5" t="str">
        <f t="shared" si="12"/>
        <v/>
      </c>
      <c r="F398" s="5">
        <f>IF('Monthly Projection'!A398="",0,'Monthly Projection'!G398)</f>
        <v>0</v>
      </c>
    </row>
    <row r="399" spans="1:6">
      <c r="A399" t="str">
        <f>IF(AND('Mortgage Inputs'!$B$12,393&lt;=IF('Mortgage Inputs'!$B$12,'Mortgage Inputs'!$B$7,0)*12+600,ISNUMBER(E398),E398&gt;0.005),393,"")</f>
        <v/>
      </c>
      <c r="B399" s="5" t="str">
        <f t="shared" si="13"/>
        <v/>
      </c>
      <c r="C399" s="5" t="str">
        <f>IF(A399="","",B399*'Mortgage Inputs'!$B$15)</f>
        <v/>
      </c>
      <c r="D399" s="5" t="str">
        <f>IF(A399="","",MIN(B399,MAX(0,'Mortgage Inputs'!$B$17-C399)))</f>
        <v/>
      </c>
      <c r="E399" s="5" t="str">
        <f t="shared" si="12"/>
        <v/>
      </c>
      <c r="F399" s="5">
        <f>IF('Monthly Projection'!A399="",0,'Monthly Projection'!G399)</f>
        <v>0</v>
      </c>
    </row>
    <row r="400" spans="1:6">
      <c r="A400" t="str">
        <f>IF(AND('Mortgage Inputs'!$B$12,394&lt;=IF('Mortgage Inputs'!$B$12,'Mortgage Inputs'!$B$7,0)*12+600,ISNUMBER(E399),E399&gt;0.005),394,"")</f>
        <v/>
      </c>
      <c r="B400" s="5" t="str">
        <f t="shared" si="13"/>
        <v/>
      </c>
      <c r="C400" s="5" t="str">
        <f>IF(A400="","",B400*'Mortgage Inputs'!$B$15)</f>
        <v/>
      </c>
      <c r="D400" s="5" t="str">
        <f>IF(A400="","",MIN(B400,MAX(0,'Mortgage Inputs'!$B$17-C400)))</f>
        <v/>
      </c>
      <c r="E400" s="5" t="str">
        <f t="shared" si="12"/>
        <v/>
      </c>
      <c r="F400" s="5">
        <f>IF('Monthly Projection'!A400="",0,'Monthly Projection'!G400)</f>
        <v>0</v>
      </c>
    </row>
    <row r="401" spans="1:6">
      <c r="A401" t="str">
        <f>IF(AND('Mortgage Inputs'!$B$12,395&lt;=IF('Mortgage Inputs'!$B$12,'Mortgage Inputs'!$B$7,0)*12+600,ISNUMBER(E400),E400&gt;0.005),395,"")</f>
        <v/>
      </c>
      <c r="B401" s="5" t="str">
        <f t="shared" si="13"/>
        <v/>
      </c>
      <c r="C401" s="5" t="str">
        <f>IF(A401="","",B401*'Mortgage Inputs'!$B$15)</f>
        <v/>
      </c>
      <c r="D401" s="5" t="str">
        <f>IF(A401="","",MIN(B401,MAX(0,'Mortgage Inputs'!$B$17-C401)))</f>
        <v/>
      </c>
      <c r="E401" s="5" t="str">
        <f t="shared" si="12"/>
        <v/>
      </c>
      <c r="F401" s="5">
        <f>IF('Monthly Projection'!A401="",0,'Monthly Projection'!G401)</f>
        <v>0</v>
      </c>
    </row>
    <row r="402" spans="1:6">
      <c r="A402" t="str">
        <f>IF(AND('Mortgage Inputs'!$B$12,396&lt;=IF('Mortgage Inputs'!$B$12,'Mortgage Inputs'!$B$7,0)*12+600,ISNUMBER(E401),E401&gt;0.005),396,"")</f>
        <v/>
      </c>
      <c r="B402" s="5" t="str">
        <f t="shared" si="13"/>
        <v/>
      </c>
      <c r="C402" s="5" t="str">
        <f>IF(A402="","",B402*'Mortgage Inputs'!$B$15)</f>
        <v/>
      </c>
      <c r="D402" s="5" t="str">
        <f>IF(A402="","",MIN(B402,MAX(0,'Mortgage Inputs'!$B$17-C402)))</f>
        <v/>
      </c>
      <c r="E402" s="5" t="str">
        <f t="shared" si="12"/>
        <v/>
      </c>
      <c r="F402" s="5">
        <f>IF('Monthly Projection'!A402="",0,'Monthly Projection'!G402)</f>
        <v>0</v>
      </c>
    </row>
    <row r="403" spans="1:6">
      <c r="A403" t="str">
        <f>IF(AND('Mortgage Inputs'!$B$12,397&lt;=IF('Mortgage Inputs'!$B$12,'Mortgage Inputs'!$B$7,0)*12+600,ISNUMBER(E402),E402&gt;0.005),397,"")</f>
        <v/>
      </c>
      <c r="B403" s="5" t="str">
        <f t="shared" si="13"/>
        <v/>
      </c>
      <c r="C403" s="5" t="str">
        <f>IF(A403="","",B403*'Mortgage Inputs'!$B$15)</f>
        <v/>
      </c>
      <c r="D403" s="5" t="str">
        <f>IF(A403="","",MIN(B403,MAX(0,'Mortgage Inputs'!$B$17-C403)))</f>
        <v/>
      </c>
      <c r="E403" s="5" t="str">
        <f t="shared" si="12"/>
        <v/>
      </c>
      <c r="F403" s="5">
        <f>IF('Monthly Projection'!A403="",0,'Monthly Projection'!G403)</f>
        <v>0</v>
      </c>
    </row>
    <row r="404" spans="1:6">
      <c r="A404" t="str">
        <f>IF(AND('Mortgage Inputs'!$B$12,398&lt;=IF('Mortgage Inputs'!$B$12,'Mortgage Inputs'!$B$7,0)*12+600,ISNUMBER(E403),E403&gt;0.005),398,"")</f>
        <v/>
      </c>
      <c r="B404" s="5" t="str">
        <f t="shared" si="13"/>
        <v/>
      </c>
      <c r="C404" s="5" t="str">
        <f>IF(A404="","",B404*'Mortgage Inputs'!$B$15)</f>
        <v/>
      </c>
      <c r="D404" s="5" t="str">
        <f>IF(A404="","",MIN(B404,MAX(0,'Mortgage Inputs'!$B$17-C404)))</f>
        <v/>
      </c>
      <c r="E404" s="5" t="str">
        <f t="shared" si="12"/>
        <v/>
      </c>
      <c r="F404" s="5">
        <f>IF('Monthly Projection'!A404="",0,'Monthly Projection'!G404)</f>
        <v>0</v>
      </c>
    </row>
    <row r="405" spans="1:6">
      <c r="A405" t="str">
        <f>IF(AND('Mortgage Inputs'!$B$12,399&lt;=IF('Mortgage Inputs'!$B$12,'Mortgage Inputs'!$B$7,0)*12+600,ISNUMBER(E404),E404&gt;0.005),399,"")</f>
        <v/>
      </c>
      <c r="B405" s="5" t="str">
        <f t="shared" si="13"/>
        <v/>
      </c>
      <c r="C405" s="5" t="str">
        <f>IF(A405="","",B405*'Mortgage Inputs'!$B$15)</f>
        <v/>
      </c>
      <c r="D405" s="5" t="str">
        <f>IF(A405="","",MIN(B405,MAX(0,'Mortgage Inputs'!$B$17-C405)))</f>
        <v/>
      </c>
      <c r="E405" s="5" t="str">
        <f t="shared" si="12"/>
        <v/>
      </c>
      <c r="F405" s="5">
        <f>IF('Monthly Projection'!A405="",0,'Monthly Projection'!G405)</f>
        <v>0</v>
      </c>
    </row>
    <row r="406" spans="1:6">
      <c r="A406" t="str">
        <f>IF(AND('Mortgage Inputs'!$B$12,400&lt;=IF('Mortgage Inputs'!$B$12,'Mortgage Inputs'!$B$7,0)*12+600,ISNUMBER(E405),E405&gt;0.005),400,"")</f>
        <v/>
      </c>
      <c r="B406" s="5" t="str">
        <f t="shared" si="13"/>
        <v/>
      </c>
      <c r="C406" s="5" t="str">
        <f>IF(A406="","",B406*'Mortgage Inputs'!$B$15)</f>
        <v/>
      </c>
      <c r="D406" s="5" t="str">
        <f>IF(A406="","",MIN(B406,MAX(0,'Mortgage Inputs'!$B$17-C406)))</f>
        <v/>
      </c>
      <c r="E406" s="5" t="str">
        <f t="shared" si="12"/>
        <v/>
      </c>
      <c r="F406" s="5">
        <f>IF('Monthly Projection'!A406="",0,'Monthly Projection'!G406)</f>
        <v>0</v>
      </c>
    </row>
    <row r="407" spans="1:6">
      <c r="A407" t="str">
        <f>IF(AND('Mortgage Inputs'!$B$12,401&lt;=IF('Mortgage Inputs'!$B$12,'Mortgage Inputs'!$B$7,0)*12+600,ISNUMBER(E406),E406&gt;0.005),401,"")</f>
        <v/>
      </c>
      <c r="B407" s="5" t="str">
        <f t="shared" si="13"/>
        <v/>
      </c>
      <c r="C407" s="5" t="str">
        <f>IF(A407="","",B407*'Mortgage Inputs'!$B$15)</f>
        <v/>
      </c>
      <c r="D407" s="5" t="str">
        <f>IF(A407="","",MIN(B407,MAX(0,'Mortgage Inputs'!$B$17-C407)))</f>
        <v/>
      </c>
      <c r="E407" s="5" t="str">
        <f t="shared" si="12"/>
        <v/>
      </c>
      <c r="F407" s="5">
        <f>IF('Monthly Projection'!A407="",0,'Monthly Projection'!G407)</f>
        <v>0</v>
      </c>
    </row>
    <row r="408" spans="1:6">
      <c r="A408" t="str">
        <f>IF(AND('Mortgage Inputs'!$B$12,402&lt;=IF('Mortgage Inputs'!$B$12,'Mortgage Inputs'!$B$7,0)*12+600,ISNUMBER(E407),E407&gt;0.005),402,"")</f>
        <v/>
      </c>
      <c r="B408" s="5" t="str">
        <f t="shared" si="13"/>
        <v/>
      </c>
      <c r="C408" s="5" t="str">
        <f>IF(A408="","",B408*'Mortgage Inputs'!$B$15)</f>
        <v/>
      </c>
      <c r="D408" s="5" t="str">
        <f>IF(A408="","",MIN(B408,MAX(0,'Mortgage Inputs'!$B$17-C408)))</f>
        <v/>
      </c>
      <c r="E408" s="5" t="str">
        <f t="shared" si="12"/>
        <v/>
      </c>
      <c r="F408" s="5">
        <f>IF('Monthly Projection'!A408="",0,'Monthly Projection'!G408)</f>
        <v>0</v>
      </c>
    </row>
    <row r="409" spans="1:6">
      <c r="A409" t="str">
        <f>IF(AND('Mortgage Inputs'!$B$12,403&lt;=IF('Mortgage Inputs'!$B$12,'Mortgage Inputs'!$B$7,0)*12+600,ISNUMBER(E408),E408&gt;0.005),403,"")</f>
        <v/>
      </c>
      <c r="B409" s="5" t="str">
        <f t="shared" si="13"/>
        <v/>
      </c>
      <c r="C409" s="5" t="str">
        <f>IF(A409="","",B409*'Mortgage Inputs'!$B$15)</f>
        <v/>
      </c>
      <c r="D409" s="5" t="str">
        <f>IF(A409="","",MIN(B409,MAX(0,'Mortgage Inputs'!$B$17-C409)))</f>
        <v/>
      </c>
      <c r="E409" s="5" t="str">
        <f t="shared" si="12"/>
        <v/>
      </c>
      <c r="F409" s="5">
        <f>IF('Monthly Projection'!A409="",0,'Monthly Projection'!G409)</f>
        <v>0</v>
      </c>
    </row>
    <row r="410" spans="1:6">
      <c r="A410" t="str">
        <f>IF(AND('Mortgage Inputs'!$B$12,404&lt;=IF('Mortgage Inputs'!$B$12,'Mortgage Inputs'!$B$7,0)*12+600,ISNUMBER(E409),E409&gt;0.005),404,"")</f>
        <v/>
      </c>
      <c r="B410" s="5" t="str">
        <f t="shared" si="13"/>
        <v/>
      </c>
      <c r="C410" s="5" t="str">
        <f>IF(A410="","",B410*'Mortgage Inputs'!$B$15)</f>
        <v/>
      </c>
      <c r="D410" s="5" t="str">
        <f>IF(A410="","",MIN(B410,MAX(0,'Mortgage Inputs'!$B$17-C410)))</f>
        <v/>
      </c>
      <c r="E410" s="5" t="str">
        <f t="shared" si="12"/>
        <v/>
      </c>
      <c r="F410" s="5">
        <f>IF('Monthly Projection'!A410="",0,'Monthly Projection'!G410)</f>
        <v>0</v>
      </c>
    </row>
    <row r="411" spans="1:6">
      <c r="A411" t="str">
        <f>IF(AND('Mortgage Inputs'!$B$12,405&lt;=IF('Mortgage Inputs'!$B$12,'Mortgage Inputs'!$B$7,0)*12+600,ISNUMBER(E410),E410&gt;0.005),405,"")</f>
        <v/>
      </c>
      <c r="B411" s="5" t="str">
        <f t="shared" si="13"/>
        <v/>
      </c>
      <c r="C411" s="5" t="str">
        <f>IF(A411="","",B411*'Mortgage Inputs'!$B$15)</f>
        <v/>
      </c>
      <c r="D411" s="5" t="str">
        <f>IF(A411="","",MIN(B411,MAX(0,'Mortgage Inputs'!$B$17-C411)))</f>
        <v/>
      </c>
      <c r="E411" s="5" t="str">
        <f t="shared" si="12"/>
        <v/>
      </c>
      <c r="F411" s="5">
        <f>IF('Monthly Projection'!A411="",0,'Monthly Projection'!G411)</f>
        <v>0</v>
      </c>
    </row>
    <row r="412" spans="1:6">
      <c r="A412" t="str">
        <f>IF(AND('Mortgage Inputs'!$B$12,406&lt;=IF('Mortgage Inputs'!$B$12,'Mortgage Inputs'!$B$7,0)*12+600,ISNUMBER(E411),E411&gt;0.005),406,"")</f>
        <v/>
      </c>
      <c r="B412" s="5" t="str">
        <f t="shared" si="13"/>
        <v/>
      </c>
      <c r="C412" s="5" t="str">
        <f>IF(A412="","",B412*'Mortgage Inputs'!$B$15)</f>
        <v/>
      </c>
      <c r="D412" s="5" t="str">
        <f>IF(A412="","",MIN(B412,MAX(0,'Mortgage Inputs'!$B$17-C412)))</f>
        <v/>
      </c>
      <c r="E412" s="5" t="str">
        <f t="shared" si="12"/>
        <v/>
      </c>
      <c r="F412" s="5">
        <f>IF('Monthly Projection'!A412="",0,'Monthly Projection'!G412)</f>
        <v>0</v>
      </c>
    </row>
    <row r="413" spans="1:6">
      <c r="A413" t="str">
        <f>IF(AND('Mortgage Inputs'!$B$12,407&lt;=IF('Mortgage Inputs'!$B$12,'Mortgage Inputs'!$B$7,0)*12+600,ISNUMBER(E412),E412&gt;0.005),407,"")</f>
        <v/>
      </c>
      <c r="B413" s="5" t="str">
        <f t="shared" si="13"/>
        <v/>
      </c>
      <c r="C413" s="5" t="str">
        <f>IF(A413="","",B413*'Mortgage Inputs'!$B$15)</f>
        <v/>
      </c>
      <c r="D413" s="5" t="str">
        <f>IF(A413="","",MIN(B413,MAX(0,'Mortgage Inputs'!$B$17-C413)))</f>
        <v/>
      </c>
      <c r="E413" s="5" t="str">
        <f t="shared" si="12"/>
        <v/>
      </c>
      <c r="F413" s="5">
        <f>IF('Monthly Projection'!A413="",0,'Monthly Projection'!G413)</f>
        <v>0</v>
      </c>
    </row>
    <row r="414" spans="1:6">
      <c r="A414" t="str">
        <f>IF(AND('Mortgage Inputs'!$B$12,408&lt;=IF('Mortgage Inputs'!$B$12,'Mortgage Inputs'!$B$7,0)*12+600,ISNUMBER(E413),E413&gt;0.005),408,"")</f>
        <v/>
      </c>
      <c r="B414" s="5" t="str">
        <f t="shared" si="13"/>
        <v/>
      </c>
      <c r="C414" s="5" t="str">
        <f>IF(A414="","",B414*'Mortgage Inputs'!$B$15)</f>
        <v/>
      </c>
      <c r="D414" s="5" t="str">
        <f>IF(A414="","",MIN(B414,MAX(0,'Mortgage Inputs'!$B$17-C414)))</f>
        <v/>
      </c>
      <c r="E414" s="5" t="str">
        <f t="shared" si="12"/>
        <v/>
      </c>
      <c r="F414" s="5">
        <f>IF('Monthly Projection'!A414="",0,'Monthly Projection'!G414)</f>
        <v>0</v>
      </c>
    </row>
    <row r="415" spans="1:6">
      <c r="A415" t="str">
        <f>IF(AND('Mortgage Inputs'!$B$12,409&lt;=IF('Mortgage Inputs'!$B$12,'Mortgage Inputs'!$B$7,0)*12+600,ISNUMBER(E414),E414&gt;0.005),409,"")</f>
        <v/>
      </c>
      <c r="B415" s="5" t="str">
        <f t="shared" si="13"/>
        <v/>
      </c>
      <c r="C415" s="5" t="str">
        <f>IF(A415="","",B415*'Mortgage Inputs'!$B$15)</f>
        <v/>
      </c>
      <c r="D415" s="5" t="str">
        <f>IF(A415="","",MIN(B415,MAX(0,'Mortgage Inputs'!$B$17-C415)))</f>
        <v/>
      </c>
      <c r="E415" s="5" t="str">
        <f t="shared" si="12"/>
        <v/>
      </c>
      <c r="F415" s="5">
        <f>IF('Monthly Projection'!A415="",0,'Monthly Projection'!G415)</f>
        <v>0</v>
      </c>
    </row>
    <row r="416" spans="1:6">
      <c r="A416" t="str">
        <f>IF(AND('Mortgage Inputs'!$B$12,410&lt;=IF('Mortgage Inputs'!$B$12,'Mortgage Inputs'!$B$7,0)*12+600,ISNUMBER(E415),E415&gt;0.005),410,"")</f>
        <v/>
      </c>
      <c r="B416" s="5" t="str">
        <f t="shared" si="13"/>
        <v/>
      </c>
      <c r="C416" s="5" t="str">
        <f>IF(A416="","",B416*'Mortgage Inputs'!$B$15)</f>
        <v/>
      </c>
      <c r="D416" s="5" t="str">
        <f>IF(A416="","",MIN(B416,MAX(0,'Mortgage Inputs'!$B$17-C416)))</f>
        <v/>
      </c>
      <c r="E416" s="5" t="str">
        <f t="shared" si="12"/>
        <v/>
      </c>
      <c r="F416" s="5">
        <f>IF('Monthly Projection'!A416="",0,'Monthly Projection'!G416)</f>
        <v>0</v>
      </c>
    </row>
    <row r="417" spans="1:6">
      <c r="A417" t="str">
        <f>IF(AND('Mortgage Inputs'!$B$12,411&lt;=IF('Mortgage Inputs'!$B$12,'Mortgage Inputs'!$B$7,0)*12+600,ISNUMBER(E416),E416&gt;0.005),411,"")</f>
        <v/>
      </c>
      <c r="B417" s="5" t="str">
        <f t="shared" si="13"/>
        <v/>
      </c>
      <c r="C417" s="5" t="str">
        <f>IF(A417="","",B417*'Mortgage Inputs'!$B$15)</f>
        <v/>
      </c>
      <c r="D417" s="5" t="str">
        <f>IF(A417="","",MIN(B417,MAX(0,'Mortgage Inputs'!$B$17-C417)))</f>
        <v/>
      </c>
      <c r="E417" s="5" t="str">
        <f t="shared" si="12"/>
        <v/>
      </c>
      <c r="F417" s="5">
        <f>IF('Monthly Projection'!A417="",0,'Monthly Projection'!G417)</f>
        <v>0</v>
      </c>
    </row>
    <row r="418" spans="1:6">
      <c r="A418" t="str">
        <f>IF(AND('Mortgage Inputs'!$B$12,412&lt;=IF('Mortgage Inputs'!$B$12,'Mortgage Inputs'!$B$7,0)*12+600,ISNUMBER(E417),E417&gt;0.005),412,"")</f>
        <v/>
      </c>
      <c r="B418" s="5" t="str">
        <f t="shared" si="13"/>
        <v/>
      </c>
      <c r="C418" s="5" t="str">
        <f>IF(A418="","",B418*'Mortgage Inputs'!$B$15)</f>
        <v/>
      </c>
      <c r="D418" s="5" t="str">
        <f>IF(A418="","",MIN(B418,MAX(0,'Mortgage Inputs'!$B$17-C418)))</f>
        <v/>
      </c>
      <c r="E418" s="5" t="str">
        <f t="shared" si="12"/>
        <v/>
      </c>
      <c r="F418" s="5">
        <f>IF('Monthly Projection'!A418="",0,'Monthly Projection'!G418)</f>
        <v>0</v>
      </c>
    </row>
    <row r="419" spans="1:6">
      <c r="A419" t="str">
        <f>IF(AND('Mortgage Inputs'!$B$12,413&lt;=IF('Mortgage Inputs'!$B$12,'Mortgage Inputs'!$B$7,0)*12+600,ISNUMBER(E418),E418&gt;0.005),413,"")</f>
        <v/>
      </c>
      <c r="B419" s="5" t="str">
        <f t="shared" si="13"/>
        <v/>
      </c>
      <c r="C419" s="5" t="str">
        <f>IF(A419="","",B419*'Mortgage Inputs'!$B$15)</f>
        <v/>
      </c>
      <c r="D419" s="5" t="str">
        <f>IF(A419="","",MIN(B419,MAX(0,'Mortgage Inputs'!$B$17-C419)))</f>
        <v/>
      </c>
      <c r="E419" s="5" t="str">
        <f t="shared" si="12"/>
        <v/>
      </c>
      <c r="F419" s="5">
        <f>IF('Monthly Projection'!A419="",0,'Monthly Projection'!G419)</f>
        <v>0</v>
      </c>
    </row>
    <row r="420" spans="1:6">
      <c r="A420" t="str">
        <f>IF(AND('Mortgage Inputs'!$B$12,414&lt;=IF('Mortgage Inputs'!$B$12,'Mortgage Inputs'!$B$7,0)*12+600,ISNUMBER(E419),E419&gt;0.005),414,"")</f>
        <v/>
      </c>
      <c r="B420" s="5" t="str">
        <f t="shared" si="13"/>
        <v/>
      </c>
      <c r="C420" s="5" t="str">
        <f>IF(A420="","",B420*'Mortgage Inputs'!$B$15)</f>
        <v/>
      </c>
      <c r="D420" s="5" t="str">
        <f>IF(A420="","",MIN(B420,MAX(0,'Mortgage Inputs'!$B$17-C420)))</f>
        <v/>
      </c>
      <c r="E420" s="5" t="str">
        <f t="shared" si="12"/>
        <v/>
      </c>
      <c r="F420" s="5">
        <f>IF('Monthly Projection'!A420="",0,'Monthly Projection'!G420)</f>
        <v>0</v>
      </c>
    </row>
    <row r="421" spans="1:6">
      <c r="A421" t="str">
        <f>IF(AND('Mortgage Inputs'!$B$12,415&lt;=IF('Mortgage Inputs'!$B$12,'Mortgage Inputs'!$B$7,0)*12+600,ISNUMBER(E420),E420&gt;0.005),415,"")</f>
        <v/>
      </c>
      <c r="B421" s="5" t="str">
        <f t="shared" si="13"/>
        <v/>
      </c>
      <c r="C421" s="5" t="str">
        <f>IF(A421="","",B421*'Mortgage Inputs'!$B$15)</f>
        <v/>
      </c>
      <c r="D421" s="5" t="str">
        <f>IF(A421="","",MIN(B421,MAX(0,'Mortgage Inputs'!$B$17-C421)))</f>
        <v/>
      </c>
      <c r="E421" s="5" t="str">
        <f t="shared" si="12"/>
        <v/>
      </c>
      <c r="F421" s="5">
        <f>IF('Monthly Projection'!A421="",0,'Monthly Projection'!G421)</f>
        <v>0</v>
      </c>
    </row>
    <row r="422" spans="1:6">
      <c r="A422" t="str">
        <f>IF(AND('Mortgage Inputs'!$B$12,416&lt;=IF('Mortgage Inputs'!$B$12,'Mortgage Inputs'!$B$7,0)*12+600,ISNUMBER(E421),E421&gt;0.005),416,"")</f>
        <v/>
      </c>
      <c r="B422" s="5" t="str">
        <f t="shared" si="13"/>
        <v/>
      </c>
      <c r="C422" s="5" t="str">
        <f>IF(A422="","",B422*'Mortgage Inputs'!$B$15)</f>
        <v/>
      </c>
      <c r="D422" s="5" t="str">
        <f>IF(A422="","",MIN(B422,MAX(0,'Mortgage Inputs'!$B$17-C422)))</f>
        <v/>
      </c>
      <c r="E422" s="5" t="str">
        <f t="shared" si="12"/>
        <v/>
      </c>
      <c r="F422" s="5">
        <f>IF('Monthly Projection'!A422="",0,'Monthly Projection'!G422)</f>
        <v>0</v>
      </c>
    </row>
    <row r="423" spans="1:6">
      <c r="A423" t="str">
        <f>IF(AND('Mortgage Inputs'!$B$12,417&lt;=IF('Mortgage Inputs'!$B$12,'Mortgage Inputs'!$B$7,0)*12+600,ISNUMBER(E422),E422&gt;0.005),417,"")</f>
        <v/>
      </c>
      <c r="B423" s="5" t="str">
        <f t="shared" si="13"/>
        <v/>
      </c>
      <c r="C423" s="5" t="str">
        <f>IF(A423="","",B423*'Mortgage Inputs'!$B$15)</f>
        <v/>
      </c>
      <c r="D423" s="5" t="str">
        <f>IF(A423="","",MIN(B423,MAX(0,'Mortgage Inputs'!$B$17-C423)))</f>
        <v/>
      </c>
      <c r="E423" s="5" t="str">
        <f t="shared" si="12"/>
        <v/>
      </c>
      <c r="F423" s="5">
        <f>IF('Monthly Projection'!A423="",0,'Monthly Projection'!G423)</f>
        <v>0</v>
      </c>
    </row>
    <row r="424" spans="1:6">
      <c r="A424" t="str">
        <f>IF(AND('Mortgage Inputs'!$B$12,418&lt;=IF('Mortgage Inputs'!$B$12,'Mortgage Inputs'!$B$7,0)*12+600,ISNUMBER(E423),E423&gt;0.005),418,"")</f>
        <v/>
      </c>
      <c r="B424" s="5" t="str">
        <f t="shared" si="13"/>
        <v/>
      </c>
      <c r="C424" s="5" t="str">
        <f>IF(A424="","",B424*'Mortgage Inputs'!$B$15)</f>
        <v/>
      </c>
      <c r="D424" s="5" t="str">
        <f>IF(A424="","",MIN(B424,MAX(0,'Mortgage Inputs'!$B$17-C424)))</f>
        <v/>
      </c>
      <c r="E424" s="5" t="str">
        <f t="shared" si="12"/>
        <v/>
      </c>
      <c r="F424" s="5">
        <f>IF('Monthly Projection'!A424="",0,'Monthly Projection'!G424)</f>
        <v>0</v>
      </c>
    </row>
    <row r="425" spans="1:6">
      <c r="A425" t="str">
        <f>IF(AND('Mortgage Inputs'!$B$12,419&lt;=IF('Mortgage Inputs'!$B$12,'Mortgage Inputs'!$B$7,0)*12+600,ISNUMBER(E424),E424&gt;0.005),419,"")</f>
        <v/>
      </c>
      <c r="B425" s="5" t="str">
        <f t="shared" si="13"/>
        <v/>
      </c>
      <c r="C425" s="5" t="str">
        <f>IF(A425="","",B425*'Mortgage Inputs'!$B$15)</f>
        <v/>
      </c>
      <c r="D425" s="5" t="str">
        <f>IF(A425="","",MIN(B425,MAX(0,'Mortgage Inputs'!$B$17-C425)))</f>
        <v/>
      </c>
      <c r="E425" s="5" t="str">
        <f t="shared" si="12"/>
        <v/>
      </c>
      <c r="F425" s="5">
        <f>IF('Monthly Projection'!A425="",0,'Monthly Projection'!G425)</f>
        <v>0</v>
      </c>
    </row>
    <row r="426" spans="1:6">
      <c r="A426" t="str">
        <f>IF(AND('Mortgage Inputs'!$B$12,420&lt;=IF('Mortgage Inputs'!$B$12,'Mortgage Inputs'!$B$7,0)*12+600,ISNUMBER(E425),E425&gt;0.005),420,"")</f>
        <v/>
      </c>
      <c r="B426" s="5" t="str">
        <f t="shared" si="13"/>
        <v/>
      </c>
      <c r="C426" s="5" t="str">
        <f>IF(A426="","",B426*'Mortgage Inputs'!$B$15)</f>
        <v/>
      </c>
      <c r="D426" s="5" t="str">
        <f>IF(A426="","",MIN(B426,MAX(0,'Mortgage Inputs'!$B$17-C426)))</f>
        <v/>
      </c>
      <c r="E426" s="5" t="str">
        <f t="shared" si="12"/>
        <v/>
      </c>
      <c r="F426" s="5">
        <f>IF('Monthly Projection'!A426="",0,'Monthly Projection'!G426)</f>
        <v>0</v>
      </c>
    </row>
    <row r="427" spans="1:6">
      <c r="A427" t="str">
        <f>IF(AND('Mortgage Inputs'!$B$12,421&lt;=IF('Mortgage Inputs'!$B$12,'Mortgage Inputs'!$B$7,0)*12+600,ISNUMBER(E426),E426&gt;0.005),421,"")</f>
        <v/>
      </c>
      <c r="B427" s="5" t="str">
        <f t="shared" si="13"/>
        <v/>
      </c>
      <c r="C427" s="5" t="str">
        <f>IF(A427="","",B427*'Mortgage Inputs'!$B$15)</f>
        <v/>
      </c>
      <c r="D427" s="5" t="str">
        <f>IF(A427="","",MIN(B427,MAX(0,'Mortgage Inputs'!$B$17-C427)))</f>
        <v/>
      </c>
      <c r="E427" s="5" t="str">
        <f t="shared" si="12"/>
        <v/>
      </c>
      <c r="F427" s="5">
        <f>IF('Monthly Projection'!A427="",0,'Monthly Projection'!G427)</f>
        <v>0</v>
      </c>
    </row>
    <row r="428" spans="1:6">
      <c r="A428" t="str">
        <f>IF(AND('Mortgage Inputs'!$B$12,422&lt;=IF('Mortgage Inputs'!$B$12,'Mortgage Inputs'!$B$7,0)*12+600,ISNUMBER(E427),E427&gt;0.005),422,"")</f>
        <v/>
      </c>
      <c r="B428" s="5" t="str">
        <f t="shared" si="13"/>
        <v/>
      </c>
      <c r="C428" s="5" t="str">
        <f>IF(A428="","",B428*'Mortgage Inputs'!$B$15)</f>
        <v/>
      </c>
      <c r="D428" s="5" t="str">
        <f>IF(A428="","",MIN(B428,MAX(0,'Mortgage Inputs'!$B$17-C428)))</f>
        <v/>
      </c>
      <c r="E428" s="5" t="str">
        <f t="shared" si="12"/>
        <v/>
      </c>
      <c r="F428" s="5">
        <f>IF('Monthly Projection'!A428="",0,'Monthly Projection'!G428)</f>
        <v>0</v>
      </c>
    </row>
    <row r="429" spans="1:6">
      <c r="A429" t="str">
        <f>IF(AND('Mortgage Inputs'!$B$12,423&lt;=IF('Mortgage Inputs'!$B$12,'Mortgage Inputs'!$B$7,0)*12+600,ISNUMBER(E428),E428&gt;0.005),423,"")</f>
        <v/>
      </c>
      <c r="B429" s="5" t="str">
        <f t="shared" si="13"/>
        <v/>
      </c>
      <c r="C429" s="5" t="str">
        <f>IF(A429="","",B429*'Mortgage Inputs'!$B$15)</f>
        <v/>
      </c>
      <c r="D429" s="5" t="str">
        <f>IF(A429="","",MIN(B429,MAX(0,'Mortgage Inputs'!$B$17-C429)))</f>
        <v/>
      </c>
      <c r="E429" s="5" t="str">
        <f t="shared" si="12"/>
        <v/>
      </c>
      <c r="F429" s="5">
        <f>IF('Monthly Projection'!A429="",0,'Monthly Projection'!G429)</f>
        <v>0</v>
      </c>
    </row>
    <row r="430" spans="1:6">
      <c r="A430" t="str">
        <f>IF(AND('Mortgage Inputs'!$B$12,424&lt;=IF('Mortgage Inputs'!$B$12,'Mortgage Inputs'!$B$7,0)*12+600,ISNUMBER(E429),E429&gt;0.005),424,"")</f>
        <v/>
      </c>
      <c r="B430" s="5" t="str">
        <f t="shared" si="13"/>
        <v/>
      </c>
      <c r="C430" s="5" t="str">
        <f>IF(A430="","",B430*'Mortgage Inputs'!$B$15)</f>
        <v/>
      </c>
      <c r="D430" s="5" t="str">
        <f>IF(A430="","",MIN(B430,MAX(0,'Mortgage Inputs'!$B$17-C430)))</f>
        <v/>
      </c>
      <c r="E430" s="5" t="str">
        <f t="shared" si="12"/>
        <v/>
      </c>
      <c r="F430" s="5">
        <f>IF('Monthly Projection'!A430="",0,'Monthly Projection'!G430)</f>
        <v>0</v>
      </c>
    </row>
    <row r="431" spans="1:6">
      <c r="A431" t="str">
        <f>IF(AND('Mortgage Inputs'!$B$12,425&lt;=IF('Mortgage Inputs'!$B$12,'Mortgage Inputs'!$B$7,0)*12+600,ISNUMBER(E430),E430&gt;0.005),425,"")</f>
        <v/>
      </c>
      <c r="B431" s="5" t="str">
        <f t="shared" si="13"/>
        <v/>
      </c>
      <c r="C431" s="5" t="str">
        <f>IF(A431="","",B431*'Mortgage Inputs'!$B$15)</f>
        <v/>
      </c>
      <c r="D431" s="5" t="str">
        <f>IF(A431="","",MIN(B431,MAX(0,'Mortgage Inputs'!$B$17-C431)))</f>
        <v/>
      </c>
      <c r="E431" s="5" t="str">
        <f t="shared" si="12"/>
        <v/>
      </c>
      <c r="F431" s="5">
        <f>IF('Monthly Projection'!A431="",0,'Monthly Projection'!G431)</f>
        <v>0</v>
      </c>
    </row>
    <row r="432" spans="1:6">
      <c r="A432" t="str">
        <f>IF(AND('Mortgage Inputs'!$B$12,426&lt;=IF('Mortgage Inputs'!$B$12,'Mortgage Inputs'!$B$7,0)*12+600,ISNUMBER(E431),E431&gt;0.005),426,"")</f>
        <v/>
      </c>
      <c r="B432" s="5" t="str">
        <f t="shared" si="13"/>
        <v/>
      </c>
      <c r="C432" s="5" t="str">
        <f>IF(A432="","",B432*'Mortgage Inputs'!$B$15)</f>
        <v/>
      </c>
      <c r="D432" s="5" t="str">
        <f>IF(A432="","",MIN(B432,MAX(0,'Mortgage Inputs'!$B$17-C432)))</f>
        <v/>
      </c>
      <c r="E432" s="5" t="str">
        <f t="shared" si="12"/>
        <v/>
      </c>
      <c r="F432" s="5">
        <f>IF('Monthly Projection'!A432="",0,'Monthly Projection'!G432)</f>
        <v>0</v>
      </c>
    </row>
    <row r="433" spans="1:6">
      <c r="A433" t="str">
        <f>IF(AND('Mortgage Inputs'!$B$12,427&lt;=IF('Mortgage Inputs'!$B$12,'Mortgage Inputs'!$B$7,0)*12+600,ISNUMBER(E432),E432&gt;0.005),427,"")</f>
        <v/>
      </c>
      <c r="B433" s="5" t="str">
        <f t="shared" si="13"/>
        <v/>
      </c>
      <c r="C433" s="5" t="str">
        <f>IF(A433="","",B433*'Mortgage Inputs'!$B$15)</f>
        <v/>
      </c>
      <c r="D433" s="5" t="str">
        <f>IF(A433="","",MIN(B433,MAX(0,'Mortgage Inputs'!$B$17-C433)))</f>
        <v/>
      </c>
      <c r="E433" s="5" t="str">
        <f t="shared" si="12"/>
        <v/>
      </c>
      <c r="F433" s="5">
        <f>IF('Monthly Projection'!A433="",0,'Monthly Projection'!G433)</f>
        <v>0</v>
      </c>
    </row>
    <row r="434" spans="1:6">
      <c r="A434" t="str">
        <f>IF(AND('Mortgage Inputs'!$B$12,428&lt;=IF('Mortgage Inputs'!$B$12,'Mortgage Inputs'!$B$7,0)*12+600,ISNUMBER(E433),E433&gt;0.005),428,"")</f>
        <v/>
      </c>
      <c r="B434" s="5" t="str">
        <f t="shared" si="13"/>
        <v/>
      </c>
      <c r="C434" s="5" t="str">
        <f>IF(A434="","",B434*'Mortgage Inputs'!$B$15)</f>
        <v/>
      </c>
      <c r="D434" s="5" t="str">
        <f>IF(A434="","",MIN(B434,MAX(0,'Mortgage Inputs'!$B$17-C434)))</f>
        <v/>
      </c>
      <c r="E434" s="5" t="str">
        <f t="shared" si="12"/>
        <v/>
      </c>
      <c r="F434" s="5">
        <f>IF('Monthly Projection'!A434="",0,'Monthly Projection'!G434)</f>
        <v>0</v>
      </c>
    </row>
    <row r="435" spans="1:6">
      <c r="A435" t="str">
        <f>IF(AND('Mortgage Inputs'!$B$12,429&lt;=IF('Mortgage Inputs'!$B$12,'Mortgage Inputs'!$B$7,0)*12+600,ISNUMBER(E434),E434&gt;0.005),429,"")</f>
        <v/>
      </c>
      <c r="B435" s="5" t="str">
        <f t="shared" si="13"/>
        <v/>
      </c>
      <c r="C435" s="5" t="str">
        <f>IF(A435="","",B435*'Mortgage Inputs'!$B$15)</f>
        <v/>
      </c>
      <c r="D435" s="5" t="str">
        <f>IF(A435="","",MIN(B435,MAX(0,'Mortgage Inputs'!$B$17-C435)))</f>
        <v/>
      </c>
      <c r="E435" s="5" t="str">
        <f t="shared" si="12"/>
        <v/>
      </c>
      <c r="F435" s="5">
        <f>IF('Monthly Projection'!A435="",0,'Monthly Projection'!G435)</f>
        <v>0</v>
      </c>
    </row>
    <row r="436" spans="1:6">
      <c r="A436" t="str">
        <f>IF(AND('Mortgage Inputs'!$B$12,430&lt;=IF('Mortgage Inputs'!$B$12,'Mortgage Inputs'!$B$7,0)*12+600,ISNUMBER(E435),E435&gt;0.005),430,"")</f>
        <v/>
      </c>
      <c r="B436" s="5" t="str">
        <f t="shared" si="13"/>
        <v/>
      </c>
      <c r="C436" s="5" t="str">
        <f>IF(A436="","",B436*'Mortgage Inputs'!$B$15)</f>
        <v/>
      </c>
      <c r="D436" s="5" t="str">
        <f>IF(A436="","",MIN(B436,MAX(0,'Mortgage Inputs'!$B$17-C436)))</f>
        <v/>
      </c>
      <c r="E436" s="5" t="str">
        <f t="shared" si="12"/>
        <v/>
      </c>
      <c r="F436" s="5">
        <f>IF('Monthly Projection'!A436="",0,'Monthly Projection'!G436)</f>
        <v>0</v>
      </c>
    </row>
    <row r="437" spans="1:6">
      <c r="A437" t="str">
        <f>IF(AND('Mortgage Inputs'!$B$12,431&lt;=IF('Mortgage Inputs'!$B$12,'Mortgage Inputs'!$B$7,0)*12+600,ISNUMBER(E436),E436&gt;0.005),431,"")</f>
        <v/>
      </c>
      <c r="B437" s="5" t="str">
        <f t="shared" si="13"/>
        <v/>
      </c>
      <c r="C437" s="5" t="str">
        <f>IF(A437="","",B437*'Mortgage Inputs'!$B$15)</f>
        <v/>
      </c>
      <c r="D437" s="5" t="str">
        <f>IF(A437="","",MIN(B437,MAX(0,'Mortgage Inputs'!$B$17-C437)))</f>
        <v/>
      </c>
      <c r="E437" s="5" t="str">
        <f t="shared" si="12"/>
        <v/>
      </c>
      <c r="F437" s="5">
        <f>IF('Monthly Projection'!A437="",0,'Monthly Projection'!G437)</f>
        <v>0</v>
      </c>
    </row>
    <row r="438" spans="1:6">
      <c r="A438" t="str">
        <f>IF(AND('Mortgage Inputs'!$B$12,432&lt;=IF('Mortgage Inputs'!$B$12,'Mortgage Inputs'!$B$7,0)*12+600,ISNUMBER(E437),E437&gt;0.005),432,"")</f>
        <v/>
      </c>
      <c r="B438" s="5" t="str">
        <f t="shared" si="13"/>
        <v/>
      </c>
      <c r="C438" s="5" t="str">
        <f>IF(A438="","",B438*'Mortgage Inputs'!$B$15)</f>
        <v/>
      </c>
      <c r="D438" s="5" t="str">
        <f>IF(A438="","",MIN(B438,MAX(0,'Mortgage Inputs'!$B$17-C438)))</f>
        <v/>
      </c>
      <c r="E438" s="5" t="str">
        <f t="shared" si="12"/>
        <v/>
      </c>
      <c r="F438" s="5">
        <f>IF('Monthly Projection'!A438="",0,'Monthly Projection'!G438)</f>
        <v>0</v>
      </c>
    </row>
    <row r="439" spans="1:6">
      <c r="A439" t="str">
        <f>IF(AND('Mortgage Inputs'!$B$12,433&lt;=IF('Mortgage Inputs'!$B$12,'Mortgage Inputs'!$B$7,0)*12+600,ISNUMBER(E438),E438&gt;0.005),433,"")</f>
        <v/>
      </c>
      <c r="B439" s="5" t="str">
        <f t="shared" si="13"/>
        <v/>
      </c>
      <c r="C439" s="5" t="str">
        <f>IF(A439="","",B439*'Mortgage Inputs'!$B$15)</f>
        <v/>
      </c>
      <c r="D439" s="5" t="str">
        <f>IF(A439="","",MIN(B439,MAX(0,'Mortgage Inputs'!$B$17-C439)))</f>
        <v/>
      </c>
      <c r="E439" s="5" t="str">
        <f t="shared" si="12"/>
        <v/>
      </c>
      <c r="F439" s="5">
        <f>IF('Monthly Projection'!A439="",0,'Monthly Projection'!G439)</f>
        <v>0</v>
      </c>
    </row>
    <row r="440" spans="1:6">
      <c r="A440" t="str">
        <f>IF(AND('Mortgage Inputs'!$B$12,434&lt;=IF('Mortgage Inputs'!$B$12,'Mortgage Inputs'!$B$7,0)*12+600,ISNUMBER(E439),E439&gt;0.005),434,"")</f>
        <v/>
      </c>
      <c r="B440" s="5" t="str">
        <f t="shared" si="13"/>
        <v/>
      </c>
      <c r="C440" s="5" t="str">
        <f>IF(A440="","",B440*'Mortgage Inputs'!$B$15)</f>
        <v/>
      </c>
      <c r="D440" s="5" t="str">
        <f>IF(A440="","",MIN(B440,MAX(0,'Mortgage Inputs'!$B$17-C440)))</f>
        <v/>
      </c>
      <c r="E440" s="5" t="str">
        <f t="shared" si="12"/>
        <v/>
      </c>
      <c r="F440" s="5">
        <f>IF('Monthly Projection'!A440="",0,'Monthly Projection'!G440)</f>
        <v>0</v>
      </c>
    </row>
    <row r="441" spans="1:6">
      <c r="A441" t="str">
        <f>IF(AND('Mortgage Inputs'!$B$12,435&lt;=IF('Mortgage Inputs'!$B$12,'Mortgage Inputs'!$B$7,0)*12+600,ISNUMBER(E440),E440&gt;0.005),435,"")</f>
        <v/>
      </c>
      <c r="B441" s="5" t="str">
        <f t="shared" si="13"/>
        <v/>
      </c>
      <c r="C441" s="5" t="str">
        <f>IF(A441="","",B441*'Mortgage Inputs'!$B$15)</f>
        <v/>
      </c>
      <c r="D441" s="5" t="str">
        <f>IF(A441="","",MIN(B441,MAX(0,'Mortgage Inputs'!$B$17-C441)))</f>
        <v/>
      </c>
      <c r="E441" s="5" t="str">
        <f t="shared" si="12"/>
        <v/>
      </c>
      <c r="F441" s="5">
        <f>IF('Monthly Projection'!A441="",0,'Monthly Projection'!G441)</f>
        <v>0</v>
      </c>
    </row>
    <row r="442" spans="1:6">
      <c r="A442" t="str">
        <f>IF(AND('Mortgage Inputs'!$B$12,436&lt;=IF('Mortgage Inputs'!$B$12,'Mortgage Inputs'!$B$7,0)*12+600,ISNUMBER(E441),E441&gt;0.005),436,"")</f>
        <v/>
      </c>
      <c r="B442" s="5" t="str">
        <f t="shared" si="13"/>
        <v/>
      </c>
      <c r="C442" s="5" t="str">
        <f>IF(A442="","",B442*'Mortgage Inputs'!$B$15)</f>
        <v/>
      </c>
      <c r="D442" s="5" t="str">
        <f>IF(A442="","",MIN(B442,MAX(0,'Mortgage Inputs'!$B$17-C442)))</f>
        <v/>
      </c>
      <c r="E442" s="5" t="str">
        <f t="shared" si="12"/>
        <v/>
      </c>
      <c r="F442" s="5">
        <f>IF('Monthly Projection'!A442="",0,'Monthly Projection'!G442)</f>
        <v>0</v>
      </c>
    </row>
    <row r="443" spans="1:6">
      <c r="A443" t="str">
        <f>IF(AND('Mortgage Inputs'!$B$12,437&lt;=IF('Mortgage Inputs'!$B$12,'Mortgage Inputs'!$B$7,0)*12+600,ISNUMBER(E442),E442&gt;0.005),437,"")</f>
        <v/>
      </c>
      <c r="B443" s="5" t="str">
        <f t="shared" si="13"/>
        <v/>
      </c>
      <c r="C443" s="5" t="str">
        <f>IF(A443="","",B443*'Mortgage Inputs'!$B$15)</f>
        <v/>
      </c>
      <c r="D443" s="5" t="str">
        <f>IF(A443="","",MIN(B443,MAX(0,'Mortgage Inputs'!$B$17-C443)))</f>
        <v/>
      </c>
      <c r="E443" s="5" t="str">
        <f t="shared" si="12"/>
        <v/>
      </c>
      <c r="F443" s="5">
        <f>IF('Monthly Projection'!A443="",0,'Monthly Projection'!G443)</f>
        <v>0</v>
      </c>
    </row>
    <row r="444" spans="1:6">
      <c r="A444" t="str">
        <f>IF(AND('Mortgage Inputs'!$B$12,438&lt;=IF('Mortgage Inputs'!$B$12,'Mortgage Inputs'!$B$7,0)*12+600,ISNUMBER(E443),E443&gt;0.005),438,"")</f>
        <v/>
      </c>
      <c r="B444" s="5" t="str">
        <f t="shared" si="13"/>
        <v/>
      </c>
      <c r="C444" s="5" t="str">
        <f>IF(A444="","",B444*'Mortgage Inputs'!$B$15)</f>
        <v/>
      </c>
      <c r="D444" s="5" t="str">
        <f>IF(A444="","",MIN(B444,MAX(0,'Mortgage Inputs'!$B$17-C444)))</f>
        <v/>
      </c>
      <c r="E444" s="5" t="str">
        <f t="shared" si="12"/>
        <v/>
      </c>
      <c r="F444" s="5">
        <f>IF('Monthly Projection'!A444="",0,'Monthly Projection'!G444)</f>
        <v>0</v>
      </c>
    </row>
    <row r="445" spans="1:6">
      <c r="A445" t="str">
        <f>IF(AND('Mortgage Inputs'!$B$12,439&lt;=IF('Mortgage Inputs'!$B$12,'Mortgage Inputs'!$B$7,0)*12+600,ISNUMBER(E444),E444&gt;0.005),439,"")</f>
        <v/>
      </c>
      <c r="B445" s="5" t="str">
        <f t="shared" si="13"/>
        <v/>
      </c>
      <c r="C445" s="5" t="str">
        <f>IF(A445="","",B445*'Mortgage Inputs'!$B$15)</f>
        <v/>
      </c>
      <c r="D445" s="5" t="str">
        <f>IF(A445="","",MIN(B445,MAX(0,'Mortgage Inputs'!$B$17-C445)))</f>
        <v/>
      </c>
      <c r="E445" s="5" t="str">
        <f t="shared" si="12"/>
        <v/>
      </c>
      <c r="F445" s="5">
        <f>IF('Monthly Projection'!A445="",0,'Monthly Projection'!G445)</f>
        <v>0</v>
      </c>
    </row>
    <row r="446" spans="1:6">
      <c r="A446" t="str">
        <f>IF(AND('Mortgage Inputs'!$B$12,440&lt;=IF('Mortgage Inputs'!$B$12,'Mortgage Inputs'!$B$7,0)*12+600,ISNUMBER(E445),E445&gt;0.005),440,"")</f>
        <v/>
      </c>
      <c r="B446" s="5" t="str">
        <f t="shared" si="13"/>
        <v/>
      </c>
      <c r="C446" s="5" t="str">
        <f>IF(A446="","",B446*'Mortgage Inputs'!$B$15)</f>
        <v/>
      </c>
      <c r="D446" s="5" t="str">
        <f>IF(A446="","",MIN(B446,MAX(0,'Mortgage Inputs'!$B$17-C446)))</f>
        <v/>
      </c>
      <c r="E446" s="5" t="str">
        <f t="shared" si="12"/>
        <v/>
      </c>
      <c r="F446" s="5">
        <f>IF('Monthly Projection'!A446="",0,'Monthly Projection'!G446)</f>
        <v>0</v>
      </c>
    </row>
    <row r="447" spans="1:6">
      <c r="A447" t="str">
        <f>IF(AND('Mortgage Inputs'!$B$12,441&lt;=IF('Mortgage Inputs'!$B$12,'Mortgage Inputs'!$B$7,0)*12+600,ISNUMBER(E446),E446&gt;0.005),441,"")</f>
        <v/>
      </c>
      <c r="B447" s="5" t="str">
        <f t="shared" si="13"/>
        <v/>
      </c>
      <c r="C447" s="5" t="str">
        <f>IF(A447="","",B447*'Mortgage Inputs'!$B$15)</f>
        <v/>
      </c>
      <c r="D447" s="5" t="str">
        <f>IF(A447="","",MIN(B447,MAX(0,'Mortgage Inputs'!$B$17-C447)))</f>
        <v/>
      </c>
      <c r="E447" s="5" t="str">
        <f t="shared" si="12"/>
        <v/>
      </c>
      <c r="F447" s="5">
        <f>IF('Monthly Projection'!A447="",0,'Monthly Projection'!G447)</f>
        <v>0</v>
      </c>
    </row>
    <row r="448" spans="1:6">
      <c r="A448" t="str">
        <f>IF(AND('Mortgage Inputs'!$B$12,442&lt;=IF('Mortgage Inputs'!$B$12,'Mortgage Inputs'!$B$7,0)*12+600,ISNUMBER(E447),E447&gt;0.005),442,"")</f>
        <v/>
      </c>
      <c r="B448" s="5" t="str">
        <f t="shared" si="13"/>
        <v/>
      </c>
      <c r="C448" s="5" t="str">
        <f>IF(A448="","",B448*'Mortgage Inputs'!$B$15)</f>
        <v/>
      </c>
      <c r="D448" s="5" t="str">
        <f>IF(A448="","",MIN(B448,MAX(0,'Mortgage Inputs'!$B$17-C448)))</f>
        <v/>
      </c>
      <c r="E448" s="5" t="str">
        <f t="shared" si="12"/>
        <v/>
      </c>
      <c r="F448" s="5">
        <f>IF('Monthly Projection'!A448="",0,'Monthly Projection'!G448)</f>
        <v>0</v>
      </c>
    </row>
    <row r="449" spans="1:6">
      <c r="A449" t="str">
        <f>IF(AND('Mortgage Inputs'!$B$12,443&lt;=IF('Mortgage Inputs'!$B$12,'Mortgage Inputs'!$B$7,0)*12+600,ISNUMBER(E448),E448&gt;0.005),443,"")</f>
        <v/>
      </c>
      <c r="B449" s="5" t="str">
        <f t="shared" si="13"/>
        <v/>
      </c>
      <c r="C449" s="5" t="str">
        <f>IF(A449="","",B449*'Mortgage Inputs'!$B$15)</f>
        <v/>
      </c>
      <c r="D449" s="5" t="str">
        <f>IF(A449="","",MIN(B449,MAX(0,'Mortgage Inputs'!$B$17-C449)))</f>
        <v/>
      </c>
      <c r="E449" s="5" t="str">
        <f t="shared" si="12"/>
        <v/>
      </c>
      <c r="F449" s="5">
        <f>IF('Monthly Projection'!A449="",0,'Monthly Projection'!G449)</f>
        <v>0</v>
      </c>
    </row>
    <row r="450" spans="1:6">
      <c r="A450" t="str">
        <f>IF(AND('Mortgage Inputs'!$B$12,444&lt;=IF('Mortgage Inputs'!$B$12,'Mortgage Inputs'!$B$7,0)*12+600,ISNUMBER(E449),E449&gt;0.005),444,"")</f>
        <v/>
      </c>
      <c r="B450" s="5" t="str">
        <f t="shared" si="13"/>
        <v/>
      </c>
      <c r="C450" s="5" t="str">
        <f>IF(A450="","",B450*'Mortgage Inputs'!$B$15)</f>
        <v/>
      </c>
      <c r="D450" s="5" t="str">
        <f>IF(A450="","",MIN(B450,MAX(0,'Mortgage Inputs'!$B$17-C450)))</f>
        <v/>
      </c>
      <c r="E450" s="5" t="str">
        <f t="shared" si="12"/>
        <v/>
      </c>
      <c r="F450" s="5">
        <f>IF('Monthly Projection'!A450="",0,'Monthly Projection'!G450)</f>
        <v>0</v>
      </c>
    </row>
    <row r="451" spans="1:6">
      <c r="A451" t="str">
        <f>IF(AND('Mortgage Inputs'!$B$12,445&lt;=IF('Mortgage Inputs'!$B$12,'Mortgage Inputs'!$B$7,0)*12+600,ISNUMBER(E450),E450&gt;0.005),445,"")</f>
        <v/>
      </c>
      <c r="B451" s="5" t="str">
        <f t="shared" si="13"/>
        <v/>
      </c>
      <c r="C451" s="5" t="str">
        <f>IF(A451="","",B451*'Mortgage Inputs'!$B$15)</f>
        <v/>
      </c>
      <c r="D451" s="5" t="str">
        <f>IF(A451="","",MIN(B451,MAX(0,'Mortgage Inputs'!$B$17-C451)))</f>
        <v/>
      </c>
      <c r="E451" s="5" t="str">
        <f t="shared" si="12"/>
        <v/>
      </c>
      <c r="F451" s="5">
        <f>IF('Monthly Projection'!A451="",0,'Monthly Projection'!G451)</f>
        <v>0</v>
      </c>
    </row>
    <row r="452" spans="1:6">
      <c r="A452" t="str">
        <f>IF(AND('Mortgage Inputs'!$B$12,446&lt;=IF('Mortgage Inputs'!$B$12,'Mortgage Inputs'!$B$7,0)*12+600,ISNUMBER(E451),E451&gt;0.005),446,"")</f>
        <v/>
      </c>
      <c r="B452" s="5" t="str">
        <f t="shared" si="13"/>
        <v/>
      </c>
      <c r="C452" s="5" t="str">
        <f>IF(A452="","",B452*'Mortgage Inputs'!$B$15)</f>
        <v/>
      </c>
      <c r="D452" s="5" t="str">
        <f>IF(A452="","",MIN(B452,MAX(0,'Mortgage Inputs'!$B$17-C452)))</f>
        <v/>
      </c>
      <c r="E452" s="5" t="str">
        <f t="shared" si="12"/>
        <v/>
      </c>
      <c r="F452" s="5">
        <f>IF('Monthly Projection'!A452="",0,'Monthly Projection'!G452)</f>
        <v>0</v>
      </c>
    </row>
    <row r="453" spans="1:6">
      <c r="A453" t="str">
        <f>IF(AND('Mortgage Inputs'!$B$12,447&lt;=IF('Mortgage Inputs'!$B$12,'Mortgage Inputs'!$B$7,0)*12+600,ISNUMBER(E452),E452&gt;0.005),447,"")</f>
        <v/>
      </c>
      <c r="B453" s="5" t="str">
        <f t="shared" si="13"/>
        <v/>
      </c>
      <c r="C453" s="5" t="str">
        <f>IF(A453="","",B453*'Mortgage Inputs'!$B$15)</f>
        <v/>
      </c>
      <c r="D453" s="5" t="str">
        <f>IF(A453="","",MIN(B453,MAX(0,'Mortgage Inputs'!$B$17-C453)))</f>
        <v/>
      </c>
      <c r="E453" s="5" t="str">
        <f t="shared" si="12"/>
        <v/>
      </c>
      <c r="F453" s="5">
        <f>IF('Monthly Projection'!A453="",0,'Monthly Projection'!G453)</f>
        <v>0</v>
      </c>
    </row>
    <row r="454" spans="1:6">
      <c r="A454" t="str">
        <f>IF(AND('Mortgage Inputs'!$B$12,448&lt;=IF('Mortgage Inputs'!$B$12,'Mortgage Inputs'!$B$7,0)*12+600,ISNUMBER(E453),E453&gt;0.005),448,"")</f>
        <v/>
      </c>
      <c r="B454" s="5" t="str">
        <f t="shared" si="13"/>
        <v/>
      </c>
      <c r="C454" s="5" t="str">
        <f>IF(A454="","",B454*'Mortgage Inputs'!$B$15)</f>
        <v/>
      </c>
      <c r="D454" s="5" t="str">
        <f>IF(A454="","",MIN(B454,MAX(0,'Mortgage Inputs'!$B$17-C454)))</f>
        <v/>
      </c>
      <c r="E454" s="5" t="str">
        <f t="shared" si="12"/>
        <v/>
      </c>
      <c r="F454" s="5">
        <f>IF('Monthly Projection'!A454="",0,'Monthly Projection'!G454)</f>
        <v>0</v>
      </c>
    </row>
    <row r="455" spans="1:6">
      <c r="A455" t="str">
        <f>IF(AND('Mortgage Inputs'!$B$12,449&lt;=IF('Mortgage Inputs'!$B$12,'Mortgage Inputs'!$B$7,0)*12+600,ISNUMBER(E454),E454&gt;0.005),449,"")</f>
        <v/>
      </c>
      <c r="B455" s="5" t="str">
        <f t="shared" si="13"/>
        <v/>
      </c>
      <c r="C455" s="5" t="str">
        <f>IF(A455="","",B455*'Mortgage Inputs'!$B$15)</f>
        <v/>
      </c>
      <c r="D455" s="5" t="str">
        <f>IF(A455="","",MIN(B455,MAX(0,'Mortgage Inputs'!$B$17-C455)))</f>
        <v/>
      </c>
      <c r="E455" s="5" t="str">
        <f t="shared" ref="E455:E518" si="14">IF(A455="","",MAX(0,B455-D455))</f>
        <v/>
      </c>
      <c r="F455" s="5">
        <f>IF('Monthly Projection'!A455="",0,'Monthly Projection'!G455)</f>
        <v>0</v>
      </c>
    </row>
    <row r="456" spans="1:6">
      <c r="A456" t="str">
        <f>IF(AND('Mortgage Inputs'!$B$12,450&lt;=IF('Mortgage Inputs'!$B$12,'Mortgage Inputs'!$B$7,0)*12+600,ISNUMBER(E455),E455&gt;0.005),450,"")</f>
        <v/>
      </c>
      <c r="B456" s="5" t="str">
        <f t="shared" ref="B456:B519" si="15">IF(A456="","",E455)</f>
        <v/>
      </c>
      <c r="C456" s="5" t="str">
        <f>IF(A456="","",B456*'Mortgage Inputs'!$B$15)</f>
        <v/>
      </c>
      <c r="D456" s="5" t="str">
        <f>IF(A456="","",MIN(B456,MAX(0,'Mortgage Inputs'!$B$17-C456)))</f>
        <v/>
      </c>
      <c r="E456" s="5" t="str">
        <f t="shared" si="14"/>
        <v/>
      </c>
      <c r="F456" s="5">
        <f>IF('Monthly Projection'!A456="",0,'Monthly Projection'!G456)</f>
        <v>0</v>
      </c>
    </row>
    <row r="457" spans="1:6">
      <c r="A457" t="str">
        <f>IF(AND('Mortgage Inputs'!$B$12,451&lt;=IF('Mortgage Inputs'!$B$12,'Mortgage Inputs'!$B$7,0)*12+600,ISNUMBER(E456),E456&gt;0.005),451,"")</f>
        <v/>
      </c>
      <c r="B457" s="5" t="str">
        <f t="shared" si="15"/>
        <v/>
      </c>
      <c r="C457" s="5" t="str">
        <f>IF(A457="","",B457*'Mortgage Inputs'!$B$15)</f>
        <v/>
      </c>
      <c r="D457" s="5" t="str">
        <f>IF(A457="","",MIN(B457,MAX(0,'Mortgage Inputs'!$B$17-C457)))</f>
        <v/>
      </c>
      <c r="E457" s="5" t="str">
        <f t="shared" si="14"/>
        <v/>
      </c>
      <c r="F457" s="5">
        <f>IF('Monthly Projection'!A457="",0,'Monthly Projection'!G457)</f>
        <v>0</v>
      </c>
    </row>
    <row r="458" spans="1:6">
      <c r="A458" t="str">
        <f>IF(AND('Mortgage Inputs'!$B$12,452&lt;=IF('Mortgage Inputs'!$B$12,'Mortgage Inputs'!$B$7,0)*12+600,ISNUMBER(E457),E457&gt;0.005),452,"")</f>
        <v/>
      </c>
      <c r="B458" s="5" t="str">
        <f t="shared" si="15"/>
        <v/>
      </c>
      <c r="C458" s="5" t="str">
        <f>IF(A458="","",B458*'Mortgage Inputs'!$B$15)</f>
        <v/>
      </c>
      <c r="D458" s="5" t="str">
        <f>IF(A458="","",MIN(B458,MAX(0,'Mortgage Inputs'!$B$17-C458)))</f>
        <v/>
      </c>
      <c r="E458" s="5" t="str">
        <f t="shared" si="14"/>
        <v/>
      </c>
      <c r="F458" s="5">
        <f>IF('Monthly Projection'!A458="",0,'Monthly Projection'!G458)</f>
        <v>0</v>
      </c>
    </row>
    <row r="459" spans="1:6">
      <c r="A459" t="str">
        <f>IF(AND('Mortgage Inputs'!$B$12,453&lt;=IF('Mortgage Inputs'!$B$12,'Mortgage Inputs'!$B$7,0)*12+600,ISNUMBER(E458),E458&gt;0.005),453,"")</f>
        <v/>
      </c>
      <c r="B459" s="5" t="str">
        <f t="shared" si="15"/>
        <v/>
      </c>
      <c r="C459" s="5" t="str">
        <f>IF(A459="","",B459*'Mortgage Inputs'!$B$15)</f>
        <v/>
      </c>
      <c r="D459" s="5" t="str">
        <f>IF(A459="","",MIN(B459,MAX(0,'Mortgage Inputs'!$B$17-C459)))</f>
        <v/>
      </c>
      <c r="E459" s="5" t="str">
        <f t="shared" si="14"/>
        <v/>
      </c>
      <c r="F459" s="5">
        <f>IF('Monthly Projection'!A459="",0,'Monthly Projection'!G459)</f>
        <v>0</v>
      </c>
    </row>
    <row r="460" spans="1:6">
      <c r="A460" t="str">
        <f>IF(AND('Mortgage Inputs'!$B$12,454&lt;=IF('Mortgage Inputs'!$B$12,'Mortgage Inputs'!$B$7,0)*12+600,ISNUMBER(E459),E459&gt;0.005),454,"")</f>
        <v/>
      </c>
      <c r="B460" s="5" t="str">
        <f t="shared" si="15"/>
        <v/>
      </c>
      <c r="C460" s="5" t="str">
        <f>IF(A460="","",B460*'Mortgage Inputs'!$B$15)</f>
        <v/>
      </c>
      <c r="D460" s="5" t="str">
        <f>IF(A460="","",MIN(B460,MAX(0,'Mortgage Inputs'!$B$17-C460)))</f>
        <v/>
      </c>
      <c r="E460" s="5" t="str">
        <f t="shared" si="14"/>
        <v/>
      </c>
      <c r="F460" s="5">
        <f>IF('Monthly Projection'!A460="",0,'Monthly Projection'!G460)</f>
        <v>0</v>
      </c>
    </row>
    <row r="461" spans="1:6">
      <c r="A461" t="str">
        <f>IF(AND('Mortgage Inputs'!$B$12,455&lt;=IF('Mortgage Inputs'!$B$12,'Mortgage Inputs'!$B$7,0)*12+600,ISNUMBER(E460),E460&gt;0.005),455,"")</f>
        <v/>
      </c>
      <c r="B461" s="5" t="str">
        <f t="shared" si="15"/>
        <v/>
      </c>
      <c r="C461" s="5" t="str">
        <f>IF(A461="","",B461*'Mortgage Inputs'!$B$15)</f>
        <v/>
      </c>
      <c r="D461" s="5" t="str">
        <f>IF(A461="","",MIN(B461,MAX(0,'Mortgage Inputs'!$B$17-C461)))</f>
        <v/>
      </c>
      <c r="E461" s="5" t="str">
        <f t="shared" si="14"/>
        <v/>
      </c>
      <c r="F461" s="5">
        <f>IF('Monthly Projection'!A461="",0,'Monthly Projection'!G461)</f>
        <v>0</v>
      </c>
    </row>
    <row r="462" spans="1:6">
      <c r="A462" t="str">
        <f>IF(AND('Mortgage Inputs'!$B$12,456&lt;=IF('Mortgage Inputs'!$B$12,'Mortgage Inputs'!$B$7,0)*12+600,ISNUMBER(E461),E461&gt;0.005),456,"")</f>
        <v/>
      </c>
      <c r="B462" s="5" t="str">
        <f t="shared" si="15"/>
        <v/>
      </c>
      <c r="C462" s="5" t="str">
        <f>IF(A462="","",B462*'Mortgage Inputs'!$B$15)</f>
        <v/>
      </c>
      <c r="D462" s="5" t="str">
        <f>IF(A462="","",MIN(B462,MAX(0,'Mortgage Inputs'!$B$17-C462)))</f>
        <v/>
      </c>
      <c r="E462" s="5" t="str">
        <f t="shared" si="14"/>
        <v/>
      </c>
      <c r="F462" s="5">
        <f>IF('Monthly Projection'!A462="",0,'Monthly Projection'!G462)</f>
        <v>0</v>
      </c>
    </row>
    <row r="463" spans="1:6">
      <c r="A463" t="str">
        <f>IF(AND('Mortgage Inputs'!$B$12,457&lt;=IF('Mortgage Inputs'!$B$12,'Mortgage Inputs'!$B$7,0)*12+600,ISNUMBER(E462),E462&gt;0.005),457,"")</f>
        <v/>
      </c>
      <c r="B463" s="5" t="str">
        <f t="shared" si="15"/>
        <v/>
      </c>
      <c r="C463" s="5" t="str">
        <f>IF(A463="","",B463*'Mortgage Inputs'!$B$15)</f>
        <v/>
      </c>
      <c r="D463" s="5" t="str">
        <f>IF(A463="","",MIN(B463,MAX(0,'Mortgage Inputs'!$B$17-C463)))</f>
        <v/>
      </c>
      <c r="E463" s="5" t="str">
        <f t="shared" si="14"/>
        <v/>
      </c>
      <c r="F463" s="5">
        <f>IF('Monthly Projection'!A463="",0,'Monthly Projection'!G463)</f>
        <v>0</v>
      </c>
    </row>
    <row r="464" spans="1:6">
      <c r="A464" t="str">
        <f>IF(AND('Mortgage Inputs'!$B$12,458&lt;=IF('Mortgage Inputs'!$B$12,'Mortgage Inputs'!$B$7,0)*12+600,ISNUMBER(E463),E463&gt;0.005),458,"")</f>
        <v/>
      </c>
      <c r="B464" s="5" t="str">
        <f t="shared" si="15"/>
        <v/>
      </c>
      <c r="C464" s="5" t="str">
        <f>IF(A464="","",B464*'Mortgage Inputs'!$B$15)</f>
        <v/>
      </c>
      <c r="D464" s="5" t="str">
        <f>IF(A464="","",MIN(B464,MAX(0,'Mortgage Inputs'!$B$17-C464)))</f>
        <v/>
      </c>
      <c r="E464" s="5" t="str">
        <f t="shared" si="14"/>
        <v/>
      </c>
      <c r="F464" s="5">
        <f>IF('Monthly Projection'!A464="",0,'Monthly Projection'!G464)</f>
        <v>0</v>
      </c>
    </row>
    <row r="465" spans="1:6">
      <c r="A465" t="str">
        <f>IF(AND('Mortgage Inputs'!$B$12,459&lt;=IF('Mortgage Inputs'!$B$12,'Mortgage Inputs'!$B$7,0)*12+600,ISNUMBER(E464),E464&gt;0.005),459,"")</f>
        <v/>
      </c>
      <c r="B465" s="5" t="str">
        <f t="shared" si="15"/>
        <v/>
      </c>
      <c r="C465" s="5" t="str">
        <f>IF(A465="","",B465*'Mortgage Inputs'!$B$15)</f>
        <v/>
      </c>
      <c r="D465" s="5" t="str">
        <f>IF(A465="","",MIN(B465,MAX(0,'Mortgage Inputs'!$B$17-C465)))</f>
        <v/>
      </c>
      <c r="E465" s="5" t="str">
        <f t="shared" si="14"/>
        <v/>
      </c>
      <c r="F465" s="5">
        <f>IF('Monthly Projection'!A465="",0,'Monthly Projection'!G465)</f>
        <v>0</v>
      </c>
    </row>
    <row r="466" spans="1:6">
      <c r="A466" t="str">
        <f>IF(AND('Mortgage Inputs'!$B$12,460&lt;=IF('Mortgage Inputs'!$B$12,'Mortgage Inputs'!$B$7,0)*12+600,ISNUMBER(E465),E465&gt;0.005),460,"")</f>
        <v/>
      </c>
      <c r="B466" s="5" t="str">
        <f t="shared" si="15"/>
        <v/>
      </c>
      <c r="C466" s="5" t="str">
        <f>IF(A466="","",B466*'Mortgage Inputs'!$B$15)</f>
        <v/>
      </c>
      <c r="D466" s="5" t="str">
        <f>IF(A466="","",MIN(B466,MAX(0,'Mortgage Inputs'!$B$17-C466)))</f>
        <v/>
      </c>
      <c r="E466" s="5" t="str">
        <f t="shared" si="14"/>
        <v/>
      </c>
      <c r="F466" s="5">
        <f>IF('Monthly Projection'!A466="",0,'Monthly Projection'!G466)</f>
        <v>0</v>
      </c>
    </row>
    <row r="467" spans="1:6">
      <c r="A467" t="str">
        <f>IF(AND('Mortgage Inputs'!$B$12,461&lt;=IF('Mortgage Inputs'!$B$12,'Mortgage Inputs'!$B$7,0)*12+600,ISNUMBER(E466),E466&gt;0.005),461,"")</f>
        <v/>
      </c>
      <c r="B467" s="5" t="str">
        <f t="shared" si="15"/>
        <v/>
      </c>
      <c r="C467" s="5" t="str">
        <f>IF(A467="","",B467*'Mortgage Inputs'!$B$15)</f>
        <v/>
      </c>
      <c r="D467" s="5" t="str">
        <f>IF(A467="","",MIN(B467,MAX(0,'Mortgage Inputs'!$B$17-C467)))</f>
        <v/>
      </c>
      <c r="E467" s="5" t="str">
        <f t="shared" si="14"/>
        <v/>
      </c>
      <c r="F467" s="5">
        <f>IF('Monthly Projection'!A467="",0,'Monthly Projection'!G467)</f>
        <v>0</v>
      </c>
    </row>
    <row r="468" spans="1:6">
      <c r="A468" t="str">
        <f>IF(AND('Mortgage Inputs'!$B$12,462&lt;=IF('Mortgage Inputs'!$B$12,'Mortgage Inputs'!$B$7,0)*12+600,ISNUMBER(E467),E467&gt;0.005),462,"")</f>
        <v/>
      </c>
      <c r="B468" s="5" t="str">
        <f t="shared" si="15"/>
        <v/>
      </c>
      <c r="C468" s="5" t="str">
        <f>IF(A468="","",B468*'Mortgage Inputs'!$B$15)</f>
        <v/>
      </c>
      <c r="D468" s="5" t="str">
        <f>IF(A468="","",MIN(B468,MAX(0,'Mortgage Inputs'!$B$17-C468)))</f>
        <v/>
      </c>
      <c r="E468" s="5" t="str">
        <f t="shared" si="14"/>
        <v/>
      </c>
      <c r="F468" s="5">
        <f>IF('Monthly Projection'!A468="",0,'Monthly Projection'!G468)</f>
        <v>0</v>
      </c>
    </row>
    <row r="469" spans="1:6">
      <c r="A469" t="str">
        <f>IF(AND('Mortgage Inputs'!$B$12,463&lt;=IF('Mortgage Inputs'!$B$12,'Mortgage Inputs'!$B$7,0)*12+600,ISNUMBER(E468),E468&gt;0.005),463,"")</f>
        <v/>
      </c>
      <c r="B469" s="5" t="str">
        <f t="shared" si="15"/>
        <v/>
      </c>
      <c r="C469" s="5" t="str">
        <f>IF(A469="","",B469*'Mortgage Inputs'!$B$15)</f>
        <v/>
      </c>
      <c r="D469" s="5" t="str">
        <f>IF(A469="","",MIN(B469,MAX(0,'Mortgage Inputs'!$B$17-C469)))</f>
        <v/>
      </c>
      <c r="E469" s="5" t="str">
        <f t="shared" si="14"/>
        <v/>
      </c>
      <c r="F469" s="5">
        <f>IF('Monthly Projection'!A469="",0,'Monthly Projection'!G469)</f>
        <v>0</v>
      </c>
    </row>
    <row r="470" spans="1:6">
      <c r="A470" t="str">
        <f>IF(AND('Mortgage Inputs'!$B$12,464&lt;=IF('Mortgage Inputs'!$B$12,'Mortgage Inputs'!$B$7,0)*12+600,ISNUMBER(E469),E469&gt;0.005),464,"")</f>
        <v/>
      </c>
      <c r="B470" s="5" t="str">
        <f t="shared" si="15"/>
        <v/>
      </c>
      <c r="C470" s="5" t="str">
        <f>IF(A470="","",B470*'Mortgage Inputs'!$B$15)</f>
        <v/>
      </c>
      <c r="D470" s="5" t="str">
        <f>IF(A470="","",MIN(B470,MAX(0,'Mortgage Inputs'!$B$17-C470)))</f>
        <v/>
      </c>
      <c r="E470" s="5" t="str">
        <f t="shared" si="14"/>
        <v/>
      </c>
      <c r="F470" s="5">
        <f>IF('Monthly Projection'!A470="",0,'Monthly Projection'!G470)</f>
        <v>0</v>
      </c>
    </row>
    <row r="471" spans="1:6">
      <c r="A471" t="str">
        <f>IF(AND('Mortgage Inputs'!$B$12,465&lt;=IF('Mortgage Inputs'!$B$12,'Mortgage Inputs'!$B$7,0)*12+600,ISNUMBER(E470),E470&gt;0.005),465,"")</f>
        <v/>
      </c>
      <c r="B471" s="5" t="str">
        <f t="shared" si="15"/>
        <v/>
      </c>
      <c r="C471" s="5" t="str">
        <f>IF(A471="","",B471*'Mortgage Inputs'!$B$15)</f>
        <v/>
      </c>
      <c r="D471" s="5" t="str">
        <f>IF(A471="","",MIN(B471,MAX(0,'Mortgage Inputs'!$B$17-C471)))</f>
        <v/>
      </c>
      <c r="E471" s="5" t="str">
        <f t="shared" si="14"/>
        <v/>
      </c>
      <c r="F471" s="5">
        <f>IF('Monthly Projection'!A471="",0,'Monthly Projection'!G471)</f>
        <v>0</v>
      </c>
    </row>
    <row r="472" spans="1:6">
      <c r="A472" t="str">
        <f>IF(AND('Mortgage Inputs'!$B$12,466&lt;=IF('Mortgage Inputs'!$B$12,'Mortgage Inputs'!$B$7,0)*12+600,ISNUMBER(E471),E471&gt;0.005),466,"")</f>
        <v/>
      </c>
      <c r="B472" s="5" t="str">
        <f t="shared" si="15"/>
        <v/>
      </c>
      <c r="C472" s="5" t="str">
        <f>IF(A472="","",B472*'Mortgage Inputs'!$B$15)</f>
        <v/>
      </c>
      <c r="D472" s="5" t="str">
        <f>IF(A472="","",MIN(B472,MAX(0,'Mortgage Inputs'!$B$17-C472)))</f>
        <v/>
      </c>
      <c r="E472" s="5" t="str">
        <f t="shared" si="14"/>
        <v/>
      </c>
      <c r="F472" s="5">
        <f>IF('Monthly Projection'!A472="",0,'Monthly Projection'!G472)</f>
        <v>0</v>
      </c>
    </row>
    <row r="473" spans="1:6">
      <c r="A473" t="str">
        <f>IF(AND('Mortgage Inputs'!$B$12,467&lt;=IF('Mortgage Inputs'!$B$12,'Mortgage Inputs'!$B$7,0)*12+600,ISNUMBER(E472),E472&gt;0.005),467,"")</f>
        <v/>
      </c>
      <c r="B473" s="5" t="str">
        <f t="shared" si="15"/>
        <v/>
      </c>
      <c r="C473" s="5" t="str">
        <f>IF(A473="","",B473*'Mortgage Inputs'!$B$15)</f>
        <v/>
      </c>
      <c r="D473" s="5" t="str">
        <f>IF(A473="","",MIN(B473,MAX(0,'Mortgage Inputs'!$B$17-C473)))</f>
        <v/>
      </c>
      <c r="E473" s="5" t="str">
        <f t="shared" si="14"/>
        <v/>
      </c>
      <c r="F473" s="5">
        <f>IF('Monthly Projection'!A473="",0,'Monthly Projection'!G473)</f>
        <v>0</v>
      </c>
    </row>
    <row r="474" spans="1:6">
      <c r="A474" t="str">
        <f>IF(AND('Mortgage Inputs'!$B$12,468&lt;=IF('Mortgage Inputs'!$B$12,'Mortgage Inputs'!$B$7,0)*12+600,ISNUMBER(E473),E473&gt;0.005),468,"")</f>
        <v/>
      </c>
      <c r="B474" s="5" t="str">
        <f t="shared" si="15"/>
        <v/>
      </c>
      <c r="C474" s="5" t="str">
        <f>IF(A474="","",B474*'Mortgage Inputs'!$B$15)</f>
        <v/>
      </c>
      <c r="D474" s="5" t="str">
        <f>IF(A474="","",MIN(B474,MAX(0,'Mortgage Inputs'!$B$17-C474)))</f>
        <v/>
      </c>
      <c r="E474" s="5" t="str">
        <f t="shared" si="14"/>
        <v/>
      </c>
      <c r="F474" s="5">
        <f>IF('Monthly Projection'!A474="",0,'Monthly Projection'!G474)</f>
        <v>0</v>
      </c>
    </row>
    <row r="475" spans="1:6">
      <c r="A475" t="str">
        <f>IF(AND('Mortgage Inputs'!$B$12,469&lt;=IF('Mortgage Inputs'!$B$12,'Mortgage Inputs'!$B$7,0)*12+600,ISNUMBER(E474),E474&gt;0.005),469,"")</f>
        <v/>
      </c>
      <c r="B475" s="5" t="str">
        <f t="shared" si="15"/>
        <v/>
      </c>
      <c r="C475" s="5" t="str">
        <f>IF(A475="","",B475*'Mortgage Inputs'!$B$15)</f>
        <v/>
      </c>
      <c r="D475" s="5" t="str">
        <f>IF(A475="","",MIN(B475,MAX(0,'Mortgage Inputs'!$B$17-C475)))</f>
        <v/>
      </c>
      <c r="E475" s="5" t="str">
        <f t="shared" si="14"/>
        <v/>
      </c>
      <c r="F475" s="5">
        <f>IF('Monthly Projection'!A475="",0,'Monthly Projection'!G475)</f>
        <v>0</v>
      </c>
    </row>
    <row r="476" spans="1:6">
      <c r="A476" t="str">
        <f>IF(AND('Mortgage Inputs'!$B$12,470&lt;=IF('Mortgage Inputs'!$B$12,'Mortgage Inputs'!$B$7,0)*12+600,ISNUMBER(E475),E475&gt;0.005),470,"")</f>
        <v/>
      </c>
      <c r="B476" s="5" t="str">
        <f t="shared" si="15"/>
        <v/>
      </c>
      <c r="C476" s="5" t="str">
        <f>IF(A476="","",B476*'Mortgage Inputs'!$B$15)</f>
        <v/>
      </c>
      <c r="D476" s="5" t="str">
        <f>IF(A476="","",MIN(B476,MAX(0,'Mortgage Inputs'!$B$17-C476)))</f>
        <v/>
      </c>
      <c r="E476" s="5" t="str">
        <f t="shared" si="14"/>
        <v/>
      </c>
      <c r="F476" s="5">
        <f>IF('Monthly Projection'!A476="",0,'Monthly Projection'!G476)</f>
        <v>0</v>
      </c>
    </row>
    <row r="477" spans="1:6">
      <c r="A477" t="str">
        <f>IF(AND('Mortgage Inputs'!$B$12,471&lt;=IF('Mortgage Inputs'!$B$12,'Mortgage Inputs'!$B$7,0)*12+600,ISNUMBER(E476),E476&gt;0.005),471,"")</f>
        <v/>
      </c>
      <c r="B477" s="5" t="str">
        <f t="shared" si="15"/>
        <v/>
      </c>
      <c r="C477" s="5" t="str">
        <f>IF(A477="","",B477*'Mortgage Inputs'!$B$15)</f>
        <v/>
      </c>
      <c r="D477" s="5" t="str">
        <f>IF(A477="","",MIN(B477,MAX(0,'Mortgage Inputs'!$B$17-C477)))</f>
        <v/>
      </c>
      <c r="E477" s="5" t="str">
        <f t="shared" si="14"/>
        <v/>
      </c>
      <c r="F477" s="5">
        <f>IF('Monthly Projection'!A477="",0,'Monthly Projection'!G477)</f>
        <v>0</v>
      </c>
    </row>
    <row r="478" spans="1:6">
      <c r="A478" t="str">
        <f>IF(AND('Mortgage Inputs'!$B$12,472&lt;=IF('Mortgage Inputs'!$B$12,'Mortgage Inputs'!$B$7,0)*12+600,ISNUMBER(E477),E477&gt;0.005),472,"")</f>
        <v/>
      </c>
      <c r="B478" s="5" t="str">
        <f t="shared" si="15"/>
        <v/>
      </c>
      <c r="C478" s="5" t="str">
        <f>IF(A478="","",B478*'Mortgage Inputs'!$B$15)</f>
        <v/>
      </c>
      <c r="D478" s="5" t="str">
        <f>IF(A478="","",MIN(B478,MAX(0,'Mortgage Inputs'!$B$17-C478)))</f>
        <v/>
      </c>
      <c r="E478" s="5" t="str">
        <f t="shared" si="14"/>
        <v/>
      </c>
      <c r="F478" s="5">
        <f>IF('Monthly Projection'!A478="",0,'Monthly Projection'!G478)</f>
        <v>0</v>
      </c>
    </row>
    <row r="479" spans="1:6">
      <c r="A479" t="str">
        <f>IF(AND('Mortgage Inputs'!$B$12,473&lt;=IF('Mortgage Inputs'!$B$12,'Mortgage Inputs'!$B$7,0)*12+600,ISNUMBER(E478),E478&gt;0.005),473,"")</f>
        <v/>
      </c>
      <c r="B479" s="5" t="str">
        <f t="shared" si="15"/>
        <v/>
      </c>
      <c r="C479" s="5" t="str">
        <f>IF(A479="","",B479*'Mortgage Inputs'!$B$15)</f>
        <v/>
      </c>
      <c r="D479" s="5" t="str">
        <f>IF(A479="","",MIN(B479,MAX(0,'Mortgage Inputs'!$B$17-C479)))</f>
        <v/>
      </c>
      <c r="E479" s="5" t="str">
        <f t="shared" si="14"/>
        <v/>
      </c>
      <c r="F479" s="5">
        <f>IF('Monthly Projection'!A479="",0,'Monthly Projection'!G479)</f>
        <v>0</v>
      </c>
    </row>
    <row r="480" spans="1:6">
      <c r="A480" t="str">
        <f>IF(AND('Mortgage Inputs'!$B$12,474&lt;=IF('Mortgage Inputs'!$B$12,'Mortgage Inputs'!$B$7,0)*12+600,ISNUMBER(E479),E479&gt;0.005),474,"")</f>
        <v/>
      </c>
      <c r="B480" s="5" t="str">
        <f t="shared" si="15"/>
        <v/>
      </c>
      <c r="C480" s="5" t="str">
        <f>IF(A480="","",B480*'Mortgage Inputs'!$B$15)</f>
        <v/>
      </c>
      <c r="D480" s="5" t="str">
        <f>IF(A480="","",MIN(B480,MAX(0,'Mortgage Inputs'!$B$17-C480)))</f>
        <v/>
      </c>
      <c r="E480" s="5" t="str">
        <f t="shared" si="14"/>
        <v/>
      </c>
      <c r="F480" s="5">
        <f>IF('Monthly Projection'!A480="",0,'Monthly Projection'!G480)</f>
        <v>0</v>
      </c>
    </row>
    <row r="481" spans="1:6">
      <c r="A481" t="str">
        <f>IF(AND('Mortgage Inputs'!$B$12,475&lt;=IF('Mortgage Inputs'!$B$12,'Mortgage Inputs'!$B$7,0)*12+600,ISNUMBER(E480),E480&gt;0.005),475,"")</f>
        <v/>
      </c>
      <c r="B481" s="5" t="str">
        <f t="shared" si="15"/>
        <v/>
      </c>
      <c r="C481" s="5" t="str">
        <f>IF(A481="","",B481*'Mortgage Inputs'!$B$15)</f>
        <v/>
      </c>
      <c r="D481" s="5" t="str">
        <f>IF(A481="","",MIN(B481,MAX(0,'Mortgage Inputs'!$B$17-C481)))</f>
        <v/>
      </c>
      <c r="E481" s="5" t="str">
        <f t="shared" si="14"/>
        <v/>
      </c>
      <c r="F481" s="5">
        <f>IF('Monthly Projection'!A481="",0,'Monthly Projection'!G481)</f>
        <v>0</v>
      </c>
    </row>
    <row r="482" spans="1:6">
      <c r="A482" t="str">
        <f>IF(AND('Mortgage Inputs'!$B$12,476&lt;=IF('Mortgage Inputs'!$B$12,'Mortgage Inputs'!$B$7,0)*12+600,ISNUMBER(E481),E481&gt;0.005),476,"")</f>
        <v/>
      </c>
      <c r="B482" s="5" t="str">
        <f t="shared" si="15"/>
        <v/>
      </c>
      <c r="C482" s="5" t="str">
        <f>IF(A482="","",B482*'Mortgage Inputs'!$B$15)</f>
        <v/>
      </c>
      <c r="D482" s="5" t="str">
        <f>IF(A482="","",MIN(B482,MAX(0,'Mortgage Inputs'!$B$17-C482)))</f>
        <v/>
      </c>
      <c r="E482" s="5" t="str">
        <f t="shared" si="14"/>
        <v/>
      </c>
      <c r="F482" s="5">
        <f>IF('Monthly Projection'!A482="",0,'Monthly Projection'!G482)</f>
        <v>0</v>
      </c>
    </row>
    <row r="483" spans="1:6">
      <c r="A483" t="str">
        <f>IF(AND('Mortgage Inputs'!$B$12,477&lt;=IF('Mortgage Inputs'!$B$12,'Mortgage Inputs'!$B$7,0)*12+600,ISNUMBER(E482),E482&gt;0.005),477,"")</f>
        <v/>
      </c>
      <c r="B483" s="5" t="str">
        <f t="shared" si="15"/>
        <v/>
      </c>
      <c r="C483" s="5" t="str">
        <f>IF(A483="","",B483*'Mortgage Inputs'!$B$15)</f>
        <v/>
      </c>
      <c r="D483" s="5" t="str">
        <f>IF(A483="","",MIN(B483,MAX(0,'Mortgage Inputs'!$B$17-C483)))</f>
        <v/>
      </c>
      <c r="E483" s="5" t="str">
        <f t="shared" si="14"/>
        <v/>
      </c>
      <c r="F483" s="5">
        <f>IF('Monthly Projection'!A483="",0,'Monthly Projection'!G483)</f>
        <v>0</v>
      </c>
    </row>
    <row r="484" spans="1:6">
      <c r="A484" t="str">
        <f>IF(AND('Mortgage Inputs'!$B$12,478&lt;=IF('Mortgage Inputs'!$B$12,'Mortgage Inputs'!$B$7,0)*12+600,ISNUMBER(E483),E483&gt;0.005),478,"")</f>
        <v/>
      </c>
      <c r="B484" s="5" t="str">
        <f t="shared" si="15"/>
        <v/>
      </c>
      <c r="C484" s="5" t="str">
        <f>IF(A484="","",B484*'Mortgage Inputs'!$B$15)</f>
        <v/>
      </c>
      <c r="D484" s="5" t="str">
        <f>IF(A484="","",MIN(B484,MAX(0,'Mortgage Inputs'!$B$17-C484)))</f>
        <v/>
      </c>
      <c r="E484" s="5" t="str">
        <f t="shared" si="14"/>
        <v/>
      </c>
      <c r="F484" s="5">
        <f>IF('Monthly Projection'!A484="",0,'Monthly Projection'!G484)</f>
        <v>0</v>
      </c>
    </row>
    <row r="485" spans="1:6">
      <c r="A485" t="str">
        <f>IF(AND('Mortgage Inputs'!$B$12,479&lt;=IF('Mortgage Inputs'!$B$12,'Mortgage Inputs'!$B$7,0)*12+600,ISNUMBER(E484),E484&gt;0.005),479,"")</f>
        <v/>
      </c>
      <c r="B485" s="5" t="str">
        <f t="shared" si="15"/>
        <v/>
      </c>
      <c r="C485" s="5" t="str">
        <f>IF(A485="","",B485*'Mortgage Inputs'!$B$15)</f>
        <v/>
      </c>
      <c r="D485" s="5" t="str">
        <f>IF(A485="","",MIN(B485,MAX(0,'Mortgage Inputs'!$B$17-C485)))</f>
        <v/>
      </c>
      <c r="E485" s="5" t="str">
        <f t="shared" si="14"/>
        <v/>
      </c>
      <c r="F485" s="5">
        <f>IF('Monthly Projection'!A485="",0,'Monthly Projection'!G485)</f>
        <v>0</v>
      </c>
    </row>
    <row r="486" spans="1:6">
      <c r="A486" t="str">
        <f>IF(AND('Mortgage Inputs'!$B$12,480&lt;=IF('Mortgage Inputs'!$B$12,'Mortgage Inputs'!$B$7,0)*12+600,ISNUMBER(E485),E485&gt;0.005),480,"")</f>
        <v/>
      </c>
      <c r="B486" s="5" t="str">
        <f t="shared" si="15"/>
        <v/>
      </c>
      <c r="C486" s="5" t="str">
        <f>IF(A486="","",B486*'Mortgage Inputs'!$B$15)</f>
        <v/>
      </c>
      <c r="D486" s="5" t="str">
        <f>IF(A486="","",MIN(B486,MAX(0,'Mortgage Inputs'!$B$17-C486)))</f>
        <v/>
      </c>
      <c r="E486" s="5" t="str">
        <f t="shared" si="14"/>
        <v/>
      </c>
      <c r="F486" s="5">
        <f>IF('Monthly Projection'!A486="",0,'Monthly Projection'!G486)</f>
        <v>0</v>
      </c>
    </row>
    <row r="487" spans="1:6">
      <c r="A487" t="str">
        <f>IF(AND('Mortgage Inputs'!$B$12,481&lt;=IF('Mortgage Inputs'!$B$12,'Mortgage Inputs'!$B$7,0)*12+600,ISNUMBER(E486),E486&gt;0.005),481,"")</f>
        <v/>
      </c>
      <c r="B487" s="5" t="str">
        <f t="shared" si="15"/>
        <v/>
      </c>
      <c r="C487" s="5" t="str">
        <f>IF(A487="","",B487*'Mortgage Inputs'!$B$15)</f>
        <v/>
      </c>
      <c r="D487" s="5" t="str">
        <f>IF(A487="","",MIN(B487,MAX(0,'Mortgage Inputs'!$B$17-C487)))</f>
        <v/>
      </c>
      <c r="E487" s="5" t="str">
        <f t="shared" si="14"/>
        <v/>
      </c>
      <c r="F487" s="5">
        <f>IF('Monthly Projection'!A487="",0,'Monthly Projection'!G487)</f>
        <v>0</v>
      </c>
    </row>
    <row r="488" spans="1:6">
      <c r="A488" t="str">
        <f>IF(AND('Mortgage Inputs'!$B$12,482&lt;=IF('Mortgage Inputs'!$B$12,'Mortgage Inputs'!$B$7,0)*12+600,ISNUMBER(E487),E487&gt;0.005),482,"")</f>
        <v/>
      </c>
      <c r="B488" s="5" t="str">
        <f t="shared" si="15"/>
        <v/>
      </c>
      <c r="C488" s="5" t="str">
        <f>IF(A488="","",B488*'Mortgage Inputs'!$B$15)</f>
        <v/>
      </c>
      <c r="D488" s="5" t="str">
        <f>IF(A488="","",MIN(B488,MAX(0,'Mortgage Inputs'!$B$17-C488)))</f>
        <v/>
      </c>
      <c r="E488" s="5" t="str">
        <f t="shared" si="14"/>
        <v/>
      </c>
      <c r="F488" s="5">
        <f>IF('Monthly Projection'!A488="",0,'Monthly Projection'!G488)</f>
        <v>0</v>
      </c>
    </row>
    <row r="489" spans="1:6">
      <c r="A489" t="str">
        <f>IF(AND('Mortgage Inputs'!$B$12,483&lt;=IF('Mortgage Inputs'!$B$12,'Mortgage Inputs'!$B$7,0)*12+600,ISNUMBER(E488),E488&gt;0.005),483,"")</f>
        <v/>
      </c>
      <c r="B489" s="5" t="str">
        <f t="shared" si="15"/>
        <v/>
      </c>
      <c r="C489" s="5" t="str">
        <f>IF(A489="","",B489*'Mortgage Inputs'!$B$15)</f>
        <v/>
      </c>
      <c r="D489" s="5" t="str">
        <f>IF(A489="","",MIN(B489,MAX(0,'Mortgage Inputs'!$B$17-C489)))</f>
        <v/>
      </c>
      <c r="E489" s="5" t="str">
        <f t="shared" si="14"/>
        <v/>
      </c>
      <c r="F489" s="5">
        <f>IF('Monthly Projection'!A489="",0,'Monthly Projection'!G489)</f>
        <v>0</v>
      </c>
    </row>
    <row r="490" spans="1:6">
      <c r="A490" t="str">
        <f>IF(AND('Mortgage Inputs'!$B$12,484&lt;=IF('Mortgage Inputs'!$B$12,'Mortgage Inputs'!$B$7,0)*12+600,ISNUMBER(E489),E489&gt;0.005),484,"")</f>
        <v/>
      </c>
      <c r="B490" s="5" t="str">
        <f t="shared" si="15"/>
        <v/>
      </c>
      <c r="C490" s="5" t="str">
        <f>IF(A490="","",B490*'Mortgage Inputs'!$B$15)</f>
        <v/>
      </c>
      <c r="D490" s="5" t="str">
        <f>IF(A490="","",MIN(B490,MAX(0,'Mortgage Inputs'!$B$17-C490)))</f>
        <v/>
      </c>
      <c r="E490" s="5" t="str">
        <f t="shared" si="14"/>
        <v/>
      </c>
      <c r="F490" s="5">
        <f>IF('Monthly Projection'!A490="",0,'Monthly Projection'!G490)</f>
        <v>0</v>
      </c>
    </row>
    <row r="491" spans="1:6">
      <c r="A491" t="str">
        <f>IF(AND('Mortgage Inputs'!$B$12,485&lt;=IF('Mortgage Inputs'!$B$12,'Mortgage Inputs'!$B$7,0)*12+600,ISNUMBER(E490),E490&gt;0.005),485,"")</f>
        <v/>
      </c>
      <c r="B491" s="5" t="str">
        <f t="shared" si="15"/>
        <v/>
      </c>
      <c r="C491" s="5" t="str">
        <f>IF(A491="","",B491*'Mortgage Inputs'!$B$15)</f>
        <v/>
      </c>
      <c r="D491" s="5" t="str">
        <f>IF(A491="","",MIN(B491,MAX(0,'Mortgage Inputs'!$B$17-C491)))</f>
        <v/>
      </c>
      <c r="E491" s="5" t="str">
        <f t="shared" si="14"/>
        <v/>
      </c>
      <c r="F491" s="5">
        <f>IF('Monthly Projection'!A491="",0,'Monthly Projection'!G491)</f>
        <v>0</v>
      </c>
    </row>
    <row r="492" spans="1:6">
      <c r="A492" t="str">
        <f>IF(AND('Mortgage Inputs'!$B$12,486&lt;=IF('Mortgage Inputs'!$B$12,'Mortgage Inputs'!$B$7,0)*12+600,ISNUMBER(E491),E491&gt;0.005),486,"")</f>
        <v/>
      </c>
      <c r="B492" s="5" t="str">
        <f t="shared" si="15"/>
        <v/>
      </c>
      <c r="C492" s="5" t="str">
        <f>IF(A492="","",B492*'Mortgage Inputs'!$B$15)</f>
        <v/>
      </c>
      <c r="D492" s="5" t="str">
        <f>IF(A492="","",MIN(B492,MAX(0,'Mortgage Inputs'!$B$17-C492)))</f>
        <v/>
      </c>
      <c r="E492" s="5" t="str">
        <f t="shared" si="14"/>
        <v/>
      </c>
      <c r="F492" s="5">
        <f>IF('Monthly Projection'!A492="",0,'Monthly Projection'!G492)</f>
        <v>0</v>
      </c>
    </row>
    <row r="493" spans="1:6">
      <c r="A493" t="str">
        <f>IF(AND('Mortgage Inputs'!$B$12,487&lt;=IF('Mortgage Inputs'!$B$12,'Mortgage Inputs'!$B$7,0)*12+600,ISNUMBER(E492),E492&gt;0.005),487,"")</f>
        <v/>
      </c>
      <c r="B493" s="5" t="str">
        <f t="shared" si="15"/>
        <v/>
      </c>
      <c r="C493" s="5" t="str">
        <f>IF(A493="","",B493*'Mortgage Inputs'!$B$15)</f>
        <v/>
      </c>
      <c r="D493" s="5" t="str">
        <f>IF(A493="","",MIN(B493,MAX(0,'Mortgage Inputs'!$B$17-C493)))</f>
        <v/>
      </c>
      <c r="E493" s="5" t="str">
        <f t="shared" si="14"/>
        <v/>
      </c>
      <c r="F493" s="5">
        <f>IF('Monthly Projection'!A493="",0,'Monthly Projection'!G493)</f>
        <v>0</v>
      </c>
    </row>
    <row r="494" spans="1:6">
      <c r="A494" t="str">
        <f>IF(AND('Mortgage Inputs'!$B$12,488&lt;=IF('Mortgage Inputs'!$B$12,'Mortgage Inputs'!$B$7,0)*12+600,ISNUMBER(E493),E493&gt;0.005),488,"")</f>
        <v/>
      </c>
      <c r="B494" s="5" t="str">
        <f t="shared" si="15"/>
        <v/>
      </c>
      <c r="C494" s="5" t="str">
        <f>IF(A494="","",B494*'Mortgage Inputs'!$B$15)</f>
        <v/>
      </c>
      <c r="D494" s="5" t="str">
        <f>IF(A494="","",MIN(B494,MAX(0,'Mortgage Inputs'!$B$17-C494)))</f>
        <v/>
      </c>
      <c r="E494" s="5" t="str">
        <f t="shared" si="14"/>
        <v/>
      </c>
      <c r="F494" s="5">
        <f>IF('Monthly Projection'!A494="",0,'Monthly Projection'!G494)</f>
        <v>0</v>
      </c>
    </row>
    <row r="495" spans="1:6">
      <c r="A495" t="str">
        <f>IF(AND('Mortgage Inputs'!$B$12,489&lt;=IF('Mortgage Inputs'!$B$12,'Mortgage Inputs'!$B$7,0)*12+600,ISNUMBER(E494),E494&gt;0.005),489,"")</f>
        <v/>
      </c>
      <c r="B495" s="5" t="str">
        <f t="shared" si="15"/>
        <v/>
      </c>
      <c r="C495" s="5" t="str">
        <f>IF(A495="","",B495*'Mortgage Inputs'!$B$15)</f>
        <v/>
      </c>
      <c r="D495" s="5" t="str">
        <f>IF(A495="","",MIN(B495,MAX(0,'Mortgage Inputs'!$B$17-C495)))</f>
        <v/>
      </c>
      <c r="E495" s="5" t="str">
        <f t="shared" si="14"/>
        <v/>
      </c>
      <c r="F495" s="5">
        <f>IF('Monthly Projection'!A495="",0,'Monthly Projection'!G495)</f>
        <v>0</v>
      </c>
    </row>
    <row r="496" spans="1:6">
      <c r="A496" t="str">
        <f>IF(AND('Mortgage Inputs'!$B$12,490&lt;=IF('Mortgage Inputs'!$B$12,'Mortgage Inputs'!$B$7,0)*12+600,ISNUMBER(E495),E495&gt;0.005),490,"")</f>
        <v/>
      </c>
      <c r="B496" s="5" t="str">
        <f t="shared" si="15"/>
        <v/>
      </c>
      <c r="C496" s="5" t="str">
        <f>IF(A496="","",B496*'Mortgage Inputs'!$B$15)</f>
        <v/>
      </c>
      <c r="D496" s="5" t="str">
        <f>IF(A496="","",MIN(B496,MAX(0,'Mortgage Inputs'!$B$17-C496)))</f>
        <v/>
      </c>
      <c r="E496" s="5" t="str">
        <f t="shared" si="14"/>
        <v/>
      </c>
      <c r="F496" s="5">
        <f>IF('Monthly Projection'!A496="",0,'Monthly Projection'!G496)</f>
        <v>0</v>
      </c>
    </row>
    <row r="497" spans="1:6">
      <c r="A497" t="str">
        <f>IF(AND('Mortgage Inputs'!$B$12,491&lt;=IF('Mortgage Inputs'!$B$12,'Mortgage Inputs'!$B$7,0)*12+600,ISNUMBER(E496),E496&gt;0.005),491,"")</f>
        <v/>
      </c>
      <c r="B497" s="5" t="str">
        <f t="shared" si="15"/>
        <v/>
      </c>
      <c r="C497" s="5" t="str">
        <f>IF(A497="","",B497*'Mortgage Inputs'!$B$15)</f>
        <v/>
      </c>
      <c r="D497" s="5" t="str">
        <f>IF(A497="","",MIN(B497,MAX(0,'Mortgage Inputs'!$B$17-C497)))</f>
        <v/>
      </c>
      <c r="E497" s="5" t="str">
        <f t="shared" si="14"/>
        <v/>
      </c>
      <c r="F497" s="5">
        <f>IF('Monthly Projection'!A497="",0,'Monthly Projection'!G497)</f>
        <v>0</v>
      </c>
    </row>
    <row r="498" spans="1:6">
      <c r="A498" t="str">
        <f>IF(AND('Mortgage Inputs'!$B$12,492&lt;=IF('Mortgage Inputs'!$B$12,'Mortgage Inputs'!$B$7,0)*12+600,ISNUMBER(E497),E497&gt;0.005),492,"")</f>
        <v/>
      </c>
      <c r="B498" s="5" t="str">
        <f t="shared" si="15"/>
        <v/>
      </c>
      <c r="C498" s="5" t="str">
        <f>IF(A498="","",B498*'Mortgage Inputs'!$B$15)</f>
        <v/>
      </c>
      <c r="D498" s="5" t="str">
        <f>IF(A498="","",MIN(B498,MAX(0,'Mortgage Inputs'!$B$17-C498)))</f>
        <v/>
      </c>
      <c r="E498" s="5" t="str">
        <f t="shared" si="14"/>
        <v/>
      </c>
      <c r="F498" s="5">
        <f>IF('Monthly Projection'!A498="",0,'Monthly Projection'!G498)</f>
        <v>0</v>
      </c>
    </row>
    <row r="499" spans="1:6">
      <c r="A499" t="str">
        <f>IF(AND('Mortgage Inputs'!$B$12,493&lt;=IF('Mortgage Inputs'!$B$12,'Mortgage Inputs'!$B$7,0)*12+600,ISNUMBER(E498),E498&gt;0.005),493,"")</f>
        <v/>
      </c>
      <c r="B499" s="5" t="str">
        <f t="shared" si="15"/>
        <v/>
      </c>
      <c r="C499" s="5" t="str">
        <f>IF(A499="","",B499*'Mortgage Inputs'!$B$15)</f>
        <v/>
      </c>
      <c r="D499" s="5" t="str">
        <f>IF(A499="","",MIN(B499,MAX(0,'Mortgage Inputs'!$B$17-C499)))</f>
        <v/>
      </c>
      <c r="E499" s="5" t="str">
        <f t="shared" si="14"/>
        <v/>
      </c>
      <c r="F499" s="5">
        <f>IF('Monthly Projection'!A499="",0,'Monthly Projection'!G499)</f>
        <v>0</v>
      </c>
    </row>
    <row r="500" spans="1:6">
      <c r="A500" t="str">
        <f>IF(AND('Mortgage Inputs'!$B$12,494&lt;=IF('Mortgage Inputs'!$B$12,'Mortgage Inputs'!$B$7,0)*12+600,ISNUMBER(E499),E499&gt;0.005),494,"")</f>
        <v/>
      </c>
      <c r="B500" s="5" t="str">
        <f t="shared" si="15"/>
        <v/>
      </c>
      <c r="C500" s="5" t="str">
        <f>IF(A500="","",B500*'Mortgage Inputs'!$B$15)</f>
        <v/>
      </c>
      <c r="D500" s="5" t="str">
        <f>IF(A500="","",MIN(B500,MAX(0,'Mortgage Inputs'!$B$17-C500)))</f>
        <v/>
      </c>
      <c r="E500" s="5" t="str">
        <f t="shared" si="14"/>
        <v/>
      </c>
      <c r="F500" s="5">
        <f>IF('Monthly Projection'!A500="",0,'Monthly Projection'!G500)</f>
        <v>0</v>
      </c>
    </row>
    <row r="501" spans="1:6">
      <c r="A501" t="str">
        <f>IF(AND('Mortgage Inputs'!$B$12,495&lt;=IF('Mortgage Inputs'!$B$12,'Mortgage Inputs'!$B$7,0)*12+600,ISNUMBER(E500),E500&gt;0.005),495,"")</f>
        <v/>
      </c>
      <c r="B501" s="5" t="str">
        <f t="shared" si="15"/>
        <v/>
      </c>
      <c r="C501" s="5" t="str">
        <f>IF(A501="","",B501*'Mortgage Inputs'!$B$15)</f>
        <v/>
      </c>
      <c r="D501" s="5" t="str">
        <f>IF(A501="","",MIN(B501,MAX(0,'Mortgage Inputs'!$B$17-C501)))</f>
        <v/>
      </c>
      <c r="E501" s="5" t="str">
        <f t="shared" si="14"/>
        <v/>
      </c>
      <c r="F501" s="5">
        <f>IF('Monthly Projection'!A501="",0,'Monthly Projection'!G501)</f>
        <v>0</v>
      </c>
    </row>
    <row r="502" spans="1:6">
      <c r="A502" t="str">
        <f>IF(AND('Mortgage Inputs'!$B$12,496&lt;=IF('Mortgage Inputs'!$B$12,'Mortgage Inputs'!$B$7,0)*12+600,ISNUMBER(E501),E501&gt;0.005),496,"")</f>
        <v/>
      </c>
      <c r="B502" s="5" t="str">
        <f t="shared" si="15"/>
        <v/>
      </c>
      <c r="C502" s="5" t="str">
        <f>IF(A502="","",B502*'Mortgage Inputs'!$B$15)</f>
        <v/>
      </c>
      <c r="D502" s="5" t="str">
        <f>IF(A502="","",MIN(B502,MAX(0,'Mortgage Inputs'!$B$17-C502)))</f>
        <v/>
      </c>
      <c r="E502" s="5" t="str">
        <f t="shared" si="14"/>
        <v/>
      </c>
      <c r="F502" s="5">
        <f>IF('Monthly Projection'!A502="",0,'Monthly Projection'!G502)</f>
        <v>0</v>
      </c>
    </row>
    <row r="503" spans="1:6">
      <c r="A503" t="str">
        <f>IF(AND('Mortgage Inputs'!$B$12,497&lt;=IF('Mortgage Inputs'!$B$12,'Mortgage Inputs'!$B$7,0)*12+600,ISNUMBER(E502),E502&gt;0.005),497,"")</f>
        <v/>
      </c>
      <c r="B503" s="5" t="str">
        <f t="shared" si="15"/>
        <v/>
      </c>
      <c r="C503" s="5" t="str">
        <f>IF(A503="","",B503*'Mortgage Inputs'!$B$15)</f>
        <v/>
      </c>
      <c r="D503" s="5" t="str">
        <f>IF(A503="","",MIN(B503,MAX(0,'Mortgage Inputs'!$B$17-C503)))</f>
        <v/>
      </c>
      <c r="E503" s="5" t="str">
        <f t="shared" si="14"/>
        <v/>
      </c>
      <c r="F503" s="5">
        <f>IF('Monthly Projection'!A503="",0,'Monthly Projection'!G503)</f>
        <v>0</v>
      </c>
    </row>
    <row r="504" spans="1:6">
      <c r="A504" t="str">
        <f>IF(AND('Mortgage Inputs'!$B$12,498&lt;=IF('Mortgage Inputs'!$B$12,'Mortgage Inputs'!$B$7,0)*12+600,ISNUMBER(E503),E503&gt;0.005),498,"")</f>
        <v/>
      </c>
      <c r="B504" s="5" t="str">
        <f t="shared" si="15"/>
        <v/>
      </c>
      <c r="C504" s="5" t="str">
        <f>IF(A504="","",B504*'Mortgage Inputs'!$B$15)</f>
        <v/>
      </c>
      <c r="D504" s="5" t="str">
        <f>IF(A504="","",MIN(B504,MAX(0,'Mortgage Inputs'!$B$17-C504)))</f>
        <v/>
      </c>
      <c r="E504" s="5" t="str">
        <f t="shared" si="14"/>
        <v/>
      </c>
      <c r="F504" s="5">
        <f>IF('Monthly Projection'!A504="",0,'Monthly Projection'!G504)</f>
        <v>0</v>
      </c>
    </row>
    <row r="505" spans="1:6">
      <c r="A505" t="str">
        <f>IF(AND('Mortgage Inputs'!$B$12,499&lt;=IF('Mortgage Inputs'!$B$12,'Mortgage Inputs'!$B$7,0)*12+600,ISNUMBER(E504),E504&gt;0.005),499,"")</f>
        <v/>
      </c>
      <c r="B505" s="5" t="str">
        <f t="shared" si="15"/>
        <v/>
      </c>
      <c r="C505" s="5" t="str">
        <f>IF(A505="","",B505*'Mortgage Inputs'!$B$15)</f>
        <v/>
      </c>
      <c r="D505" s="5" t="str">
        <f>IF(A505="","",MIN(B505,MAX(0,'Mortgage Inputs'!$B$17-C505)))</f>
        <v/>
      </c>
      <c r="E505" s="5" t="str">
        <f t="shared" si="14"/>
        <v/>
      </c>
      <c r="F505" s="5">
        <f>IF('Monthly Projection'!A505="",0,'Monthly Projection'!G505)</f>
        <v>0</v>
      </c>
    </row>
    <row r="506" spans="1:6">
      <c r="A506" t="str">
        <f>IF(AND('Mortgage Inputs'!$B$12,500&lt;=IF('Mortgage Inputs'!$B$12,'Mortgage Inputs'!$B$7,0)*12+600,ISNUMBER(E505),E505&gt;0.005),500,"")</f>
        <v/>
      </c>
      <c r="B506" s="5" t="str">
        <f t="shared" si="15"/>
        <v/>
      </c>
      <c r="C506" s="5" t="str">
        <f>IF(A506="","",B506*'Mortgage Inputs'!$B$15)</f>
        <v/>
      </c>
      <c r="D506" s="5" t="str">
        <f>IF(A506="","",MIN(B506,MAX(0,'Mortgage Inputs'!$B$17-C506)))</f>
        <v/>
      </c>
      <c r="E506" s="5" t="str">
        <f t="shared" si="14"/>
        <v/>
      </c>
      <c r="F506" s="5">
        <f>IF('Monthly Projection'!A506="",0,'Monthly Projection'!G506)</f>
        <v>0</v>
      </c>
    </row>
    <row r="507" spans="1:6">
      <c r="A507" t="str">
        <f>IF(AND('Mortgage Inputs'!$B$12,501&lt;=IF('Mortgage Inputs'!$B$12,'Mortgage Inputs'!$B$7,0)*12+600,ISNUMBER(E506),E506&gt;0.005),501,"")</f>
        <v/>
      </c>
      <c r="B507" s="5" t="str">
        <f t="shared" si="15"/>
        <v/>
      </c>
      <c r="C507" s="5" t="str">
        <f>IF(A507="","",B507*'Mortgage Inputs'!$B$15)</f>
        <v/>
      </c>
      <c r="D507" s="5" t="str">
        <f>IF(A507="","",MIN(B507,MAX(0,'Mortgage Inputs'!$B$17-C507)))</f>
        <v/>
      </c>
      <c r="E507" s="5" t="str">
        <f t="shared" si="14"/>
        <v/>
      </c>
      <c r="F507" s="5">
        <f>IF('Monthly Projection'!A507="",0,'Monthly Projection'!G507)</f>
        <v>0</v>
      </c>
    </row>
    <row r="508" spans="1:6">
      <c r="A508" t="str">
        <f>IF(AND('Mortgage Inputs'!$B$12,502&lt;=IF('Mortgage Inputs'!$B$12,'Mortgage Inputs'!$B$7,0)*12+600,ISNUMBER(E507),E507&gt;0.005),502,"")</f>
        <v/>
      </c>
      <c r="B508" s="5" t="str">
        <f t="shared" si="15"/>
        <v/>
      </c>
      <c r="C508" s="5" t="str">
        <f>IF(A508="","",B508*'Mortgage Inputs'!$B$15)</f>
        <v/>
      </c>
      <c r="D508" s="5" t="str">
        <f>IF(A508="","",MIN(B508,MAX(0,'Mortgage Inputs'!$B$17-C508)))</f>
        <v/>
      </c>
      <c r="E508" s="5" t="str">
        <f t="shared" si="14"/>
        <v/>
      </c>
      <c r="F508" s="5">
        <f>IF('Monthly Projection'!A508="",0,'Monthly Projection'!G508)</f>
        <v>0</v>
      </c>
    </row>
    <row r="509" spans="1:6">
      <c r="A509" t="str">
        <f>IF(AND('Mortgage Inputs'!$B$12,503&lt;=IF('Mortgage Inputs'!$B$12,'Mortgage Inputs'!$B$7,0)*12+600,ISNUMBER(E508),E508&gt;0.005),503,"")</f>
        <v/>
      </c>
      <c r="B509" s="5" t="str">
        <f t="shared" si="15"/>
        <v/>
      </c>
      <c r="C509" s="5" t="str">
        <f>IF(A509="","",B509*'Mortgage Inputs'!$B$15)</f>
        <v/>
      </c>
      <c r="D509" s="5" t="str">
        <f>IF(A509="","",MIN(B509,MAX(0,'Mortgage Inputs'!$B$17-C509)))</f>
        <v/>
      </c>
      <c r="E509" s="5" t="str">
        <f t="shared" si="14"/>
        <v/>
      </c>
      <c r="F509" s="5">
        <f>IF('Monthly Projection'!A509="",0,'Monthly Projection'!G509)</f>
        <v>0</v>
      </c>
    </row>
    <row r="510" spans="1:6">
      <c r="A510" t="str">
        <f>IF(AND('Mortgage Inputs'!$B$12,504&lt;=IF('Mortgage Inputs'!$B$12,'Mortgage Inputs'!$B$7,0)*12+600,ISNUMBER(E509),E509&gt;0.005),504,"")</f>
        <v/>
      </c>
      <c r="B510" s="5" t="str">
        <f t="shared" si="15"/>
        <v/>
      </c>
      <c r="C510" s="5" t="str">
        <f>IF(A510="","",B510*'Mortgage Inputs'!$B$15)</f>
        <v/>
      </c>
      <c r="D510" s="5" t="str">
        <f>IF(A510="","",MIN(B510,MAX(0,'Mortgage Inputs'!$B$17-C510)))</f>
        <v/>
      </c>
      <c r="E510" s="5" t="str">
        <f t="shared" si="14"/>
        <v/>
      </c>
      <c r="F510" s="5">
        <f>IF('Monthly Projection'!A510="",0,'Monthly Projection'!G510)</f>
        <v>0</v>
      </c>
    </row>
    <row r="511" spans="1:6">
      <c r="A511" t="str">
        <f>IF(AND('Mortgage Inputs'!$B$12,505&lt;=IF('Mortgage Inputs'!$B$12,'Mortgage Inputs'!$B$7,0)*12+600,ISNUMBER(E510),E510&gt;0.005),505,"")</f>
        <v/>
      </c>
      <c r="B511" s="5" t="str">
        <f t="shared" si="15"/>
        <v/>
      </c>
      <c r="C511" s="5" t="str">
        <f>IF(A511="","",B511*'Mortgage Inputs'!$B$15)</f>
        <v/>
      </c>
      <c r="D511" s="5" t="str">
        <f>IF(A511="","",MIN(B511,MAX(0,'Mortgage Inputs'!$B$17-C511)))</f>
        <v/>
      </c>
      <c r="E511" s="5" t="str">
        <f t="shared" si="14"/>
        <v/>
      </c>
      <c r="F511" s="5">
        <f>IF('Monthly Projection'!A511="",0,'Monthly Projection'!G511)</f>
        <v>0</v>
      </c>
    </row>
    <row r="512" spans="1:6">
      <c r="A512" t="str">
        <f>IF(AND('Mortgage Inputs'!$B$12,506&lt;=IF('Mortgage Inputs'!$B$12,'Mortgage Inputs'!$B$7,0)*12+600,ISNUMBER(E511),E511&gt;0.005),506,"")</f>
        <v/>
      </c>
      <c r="B512" s="5" t="str">
        <f t="shared" si="15"/>
        <v/>
      </c>
      <c r="C512" s="5" t="str">
        <f>IF(A512="","",B512*'Mortgage Inputs'!$B$15)</f>
        <v/>
      </c>
      <c r="D512" s="5" t="str">
        <f>IF(A512="","",MIN(B512,MAX(0,'Mortgage Inputs'!$B$17-C512)))</f>
        <v/>
      </c>
      <c r="E512" s="5" t="str">
        <f t="shared" si="14"/>
        <v/>
      </c>
      <c r="F512" s="5">
        <f>IF('Monthly Projection'!A512="",0,'Monthly Projection'!G512)</f>
        <v>0</v>
      </c>
    </row>
    <row r="513" spans="1:6">
      <c r="A513" t="str">
        <f>IF(AND('Mortgage Inputs'!$B$12,507&lt;=IF('Mortgage Inputs'!$B$12,'Mortgage Inputs'!$B$7,0)*12+600,ISNUMBER(E512),E512&gt;0.005),507,"")</f>
        <v/>
      </c>
      <c r="B513" s="5" t="str">
        <f t="shared" si="15"/>
        <v/>
      </c>
      <c r="C513" s="5" t="str">
        <f>IF(A513="","",B513*'Mortgage Inputs'!$B$15)</f>
        <v/>
      </c>
      <c r="D513" s="5" t="str">
        <f>IF(A513="","",MIN(B513,MAX(0,'Mortgage Inputs'!$B$17-C513)))</f>
        <v/>
      </c>
      <c r="E513" s="5" t="str">
        <f t="shared" si="14"/>
        <v/>
      </c>
      <c r="F513" s="5">
        <f>IF('Monthly Projection'!A513="",0,'Monthly Projection'!G513)</f>
        <v>0</v>
      </c>
    </row>
    <row r="514" spans="1:6">
      <c r="A514" t="str">
        <f>IF(AND('Mortgage Inputs'!$B$12,508&lt;=IF('Mortgage Inputs'!$B$12,'Mortgage Inputs'!$B$7,0)*12+600,ISNUMBER(E513),E513&gt;0.005),508,"")</f>
        <v/>
      </c>
      <c r="B514" s="5" t="str">
        <f t="shared" si="15"/>
        <v/>
      </c>
      <c r="C514" s="5" t="str">
        <f>IF(A514="","",B514*'Mortgage Inputs'!$B$15)</f>
        <v/>
      </c>
      <c r="D514" s="5" t="str">
        <f>IF(A514="","",MIN(B514,MAX(0,'Mortgage Inputs'!$B$17-C514)))</f>
        <v/>
      </c>
      <c r="E514" s="5" t="str">
        <f t="shared" si="14"/>
        <v/>
      </c>
      <c r="F514" s="5">
        <f>IF('Monthly Projection'!A514="",0,'Monthly Projection'!G514)</f>
        <v>0</v>
      </c>
    </row>
    <row r="515" spans="1:6">
      <c r="A515" t="str">
        <f>IF(AND('Mortgage Inputs'!$B$12,509&lt;=IF('Mortgage Inputs'!$B$12,'Mortgage Inputs'!$B$7,0)*12+600,ISNUMBER(E514),E514&gt;0.005),509,"")</f>
        <v/>
      </c>
      <c r="B515" s="5" t="str">
        <f t="shared" si="15"/>
        <v/>
      </c>
      <c r="C515" s="5" t="str">
        <f>IF(A515="","",B515*'Mortgage Inputs'!$B$15)</f>
        <v/>
      </c>
      <c r="D515" s="5" t="str">
        <f>IF(A515="","",MIN(B515,MAX(0,'Mortgage Inputs'!$B$17-C515)))</f>
        <v/>
      </c>
      <c r="E515" s="5" t="str">
        <f t="shared" si="14"/>
        <v/>
      </c>
      <c r="F515" s="5">
        <f>IF('Monthly Projection'!A515="",0,'Monthly Projection'!G515)</f>
        <v>0</v>
      </c>
    </row>
    <row r="516" spans="1:6">
      <c r="A516" t="str">
        <f>IF(AND('Mortgage Inputs'!$B$12,510&lt;=IF('Mortgage Inputs'!$B$12,'Mortgage Inputs'!$B$7,0)*12+600,ISNUMBER(E515),E515&gt;0.005),510,"")</f>
        <v/>
      </c>
      <c r="B516" s="5" t="str">
        <f t="shared" si="15"/>
        <v/>
      </c>
      <c r="C516" s="5" t="str">
        <f>IF(A516="","",B516*'Mortgage Inputs'!$B$15)</f>
        <v/>
      </c>
      <c r="D516" s="5" t="str">
        <f>IF(A516="","",MIN(B516,MAX(0,'Mortgage Inputs'!$B$17-C516)))</f>
        <v/>
      </c>
      <c r="E516" s="5" t="str">
        <f t="shared" si="14"/>
        <v/>
      </c>
      <c r="F516" s="5">
        <f>IF('Monthly Projection'!A516="",0,'Monthly Projection'!G516)</f>
        <v>0</v>
      </c>
    </row>
    <row r="517" spans="1:6">
      <c r="A517" t="str">
        <f>IF(AND('Mortgage Inputs'!$B$12,511&lt;=IF('Mortgage Inputs'!$B$12,'Mortgage Inputs'!$B$7,0)*12+600,ISNUMBER(E516),E516&gt;0.005),511,"")</f>
        <v/>
      </c>
      <c r="B517" s="5" t="str">
        <f t="shared" si="15"/>
        <v/>
      </c>
      <c r="C517" s="5" t="str">
        <f>IF(A517="","",B517*'Mortgage Inputs'!$B$15)</f>
        <v/>
      </c>
      <c r="D517" s="5" t="str">
        <f>IF(A517="","",MIN(B517,MAX(0,'Mortgage Inputs'!$B$17-C517)))</f>
        <v/>
      </c>
      <c r="E517" s="5" t="str">
        <f t="shared" si="14"/>
        <v/>
      </c>
      <c r="F517" s="5">
        <f>IF('Monthly Projection'!A517="",0,'Monthly Projection'!G517)</f>
        <v>0</v>
      </c>
    </row>
    <row r="518" spans="1:6">
      <c r="A518" t="str">
        <f>IF(AND('Mortgage Inputs'!$B$12,512&lt;=IF('Mortgage Inputs'!$B$12,'Mortgage Inputs'!$B$7,0)*12+600,ISNUMBER(E517),E517&gt;0.005),512,"")</f>
        <v/>
      </c>
      <c r="B518" s="5" t="str">
        <f t="shared" si="15"/>
        <v/>
      </c>
      <c r="C518" s="5" t="str">
        <f>IF(A518="","",B518*'Mortgage Inputs'!$B$15)</f>
        <v/>
      </c>
      <c r="D518" s="5" t="str">
        <f>IF(A518="","",MIN(B518,MAX(0,'Mortgage Inputs'!$B$17-C518)))</f>
        <v/>
      </c>
      <c r="E518" s="5" t="str">
        <f t="shared" si="14"/>
        <v/>
      </c>
      <c r="F518" s="5">
        <f>IF('Monthly Projection'!A518="",0,'Monthly Projection'!G518)</f>
        <v>0</v>
      </c>
    </row>
    <row r="519" spans="1:6">
      <c r="A519" t="str">
        <f>IF(AND('Mortgage Inputs'!$B$12,513&lt;=IF('Mortgage Inputs'!$B$12,'Mortgage Inputs'!$B$7,0)*12+600,ISNUMBER(E518),E518&gt;0.005),513,"")</f>
        <v/>
      </c>
      <c r="B519" s="5" t="str">
        <f t="shared" si="15"/>
        <v/>
      </c>
      <c r="C519" s="5" t="str">
        <f>IF(A519="","",B519*'Mortgage Inputs'!$B$15)</f>
        <v/>
      </c>
      <c r="D519" s="5" t="str">
        <f>IF(A519="","",MIN(B519,MAX(0,'Mortgage Inputs'!$B$17-C519)))</f>
        <v/>
      </c>
      <c r="E519" s="5" t="str">
        <f t="shared" ref="E519:E582" si="16">IF(A519="","",MAX(0,B519-D519))</f>
        <v/>
      </c>
      <c r="F519" s="5">
        <f>IF('Monthly Projection'!A519="",0,'Monthly Projection'!G519)</f>
        <v>0</v>
      </c>
    </row>
    <row r="520" spans="1:6">
      <c r="A520" t="str">
        <f>IF(AND('Mortgage Inputs'!$B$12,514&lt;=IF('Mortgage Inputs'!$B$12,'Mortgage Inputs'!$B$7,0)*12+600,ISNUMBER(E519),E519&gt;0.005),514,"")</f>
        <v/>
      </c>
      <c r="B520" s="5" t="str">
        <f t="shared" ref="B520:B583" si="17">IF(A520="","",E519)</f>
        <v/>
      </c>
      <c r="C520" s="5" t="str">
        <f>IF(A520="","",B520*'Mortgage Inputs'!$B$15)</f>
        <v/>
      </c>
      <c r="D520" s="5" t="str">
        <f>IF(A520="","",MIN(B520,MAX(0,'Mortgage Inputs'!$B$17-C520)))</f>
        <v/>
      </c>
      <c r="E520" s="5" t="str">
        <f t="shared" si="16"/>
        <v/>
      </c>
      <c r="F520" s="5">
        <f>IF('Monthly Projection'!A520="",0,'Monthly Projection'!G520)</f>
        <v>0</v>
      </c>
    </row>
    <row r="521" spans="1:6">
      <c r="A521" t="str">
        <f>IF(AND('Mortgage Inputs'!$B$12,515&lt;=IF('Mortgage Inputs'!$B$12,'Mortgage Inputs'!$B$7,0)*12+600,ISNUMBER(E520),E520&gt;0.005),515,"")</f>
        <v/>
      </c>
      <c r="B521" s="5" t="str">
        <f t="shared" si="17"/>
        <v/>
      </c>
      <c r="C521" s="5" t="str">
        <f>IF(A521="","",B521*'Mortgage Inputs'!$B$15)</f>
        <v/>
      </c>
      <c r="D521" s="5" t="str">
        <f>IF(A521="","",MIN(B521,MAX(0,'Mortgage Inputs'!$B$17-C521)))</f>
        <v/>
      </c>
      <c r="E521" s="5" t="str">
        <f t="shared" si="16"/>
        <v/>
      </c>
      <c r="F521" s="5">
        <f>IF('Monthly Projection'!A521="",0,'Monthly Projection'!G521)</f>
        <v>0</v>
      </c>
    </row>
    <row r="522" spans="1:6">
      <c r="A522" t="str">
        <f>IF(AND('Mortgage Inputs'!$B$12,516&lt;=IF('Mortgage Inputs'!$B$12,'Mortgage Inputs'!$B$7,0)*12+600,ISNUMBER(E521),E521&gt;0.005),516,"")</f>
        <v/>
      </c>
      <c r="B522" s="5" t="str">
        <f t="shared" si="17"/>
        <v/>
      </c>
      <c r="C522" s="5" t="str">
        <f>IF(A522="","",B522*'Mortgage Inputs'!$B$15)</f>
        <v/>
      </c>
      <c r="D522" s="5" t="str">
        <f>IF(A522="","",MIN(B522,MAX(0,'Mortgage Inputs'!$B$17-C522)))</f>
        <v/>
      </c>
      <c r="E522" s="5" t="str">
        <f t="shared" si="16"/>
        <v/>
      </c>
      <c r="F522" s="5">
        <f>IF('Monthly Projection'!A522="",0,'Monthly Projection'!G522)</f>
        <v>0</v>
      </c>
    </row>
    <row r="523" spans="1:6">
      <c r="A523" t="str">
        <f>IF(AND('Mortgage Inputs'!$B$12,517&lt;=IF('Mortgage Inputs'!$B$12,'Mortgage Inputs'!$B$7,0)*12+600,ISNUMBER(E522),E522&gt;0.005),517,"")</f>
        <v/>
      </c>
      <c r="B523" s="5" t="str">
        <f t="shared" si="17"/>
        <v/>
      </c>
      <c r="C523" s="5" t="str">
        <f>IF(A523="","",B523*'Mortgage Inputs'!$B$15)</f>
        <v/>
      </c>
      <c r="D523" s="5" t="str">
        <f>IF(A523="","",MIN(B523,MAX(0,'Mortgage Inputs'!$B$17-C523)))</f>
        <v/>
      </c>
      <c r="E523" s="5" t="str">
        <f t="shared" si="16"/>
        <v/>
      </c>
      <c r="F523" s="5">
        <f>IF('Monthly Projection'!A523="",0,'Monthly Projection'!G523)</f>
        <v>0</v>
      </c>
    </row>
    <row r="524" spans="1:6">
      <c r="A524" t="str">
        <f>IF(AND('Mortgage Inputs'!$B$12,518&lt;=IF('Mortgage Inputs'!$B$12,'Mortgage Inputs'!$B$7,0)*12+600,ISNUMBER(E523),E523&gt;0.005),518,"")</f>
        <v/>
      </c>
      <c r="B524" s="5" t="str">
        <f t="shared" si="17"/>
        <v/>
      </c>
      <c r="C524" s="5" t="str">
        <f>IF(A524="","",B524*'Mortgage Inputs'!$B$15)</f>
        <v/>
      </c>
      <c r="D524" s="5" t="str">
        <f>IF(A524="","",MIN(B524,MAX(0,'Mortgage Inputs'!$B$17-C524)))</f>
        <v/>
      </c>
      <c r="E524" s="5" t="str">
        <f t="shared" si="16"/>
        <v/>
      </c>
      <c r="F524" s="5">
        <f>IF('Monthly Projection'!A524="",0,'Monthly Projection'!G524)</f>
        <v>0</v>
      </c>
    </row>
    <row r="525" spans="1:6">
      <c r="A525" t="str">
        <f>IF(AND('Mortgage Inputs'!$B$12,519&lt;=IF('Mortgage Inputs'!$B$12,'Mortgage Inputs'!$B$7,0)*12+600,ISNUMBER(E524),E524&gt;0.005),519,"")</f>
        <v/>
      </c>
      <c r="B525" s="5" t="str">
        <f t="shared" si="17"/>
        <v/>
      </c>
      <c r="C525" s="5" t="str">
        <f>IF(A525="","",B525*'Mortgage Inputs'!$B$15)</f>
        <v/>
      </c>
      <c r="D525" s="5" t="str">
        <f>IF(A525="","",MIN(B525,MAX(0,'Mortgage Inputs'!$B$17-C525)))</f>
        <v/>
      </c>
      <c r="E525" s="5" t="str">
        <f t="shared" si="16"/>
        <v/>
      </c>
      <c r="F525" s="5">
        <f>IF('Monthly Projection'!A525="",0,'Monthly Projection'!G525)</f>
        <v>0</v>
      </c>
    </row>
    <row r="526" spans="1:6">
      <c r="A526" t="str">
        <f>IF(AND('Mortgage Inputs'!$B$12,520&lt;=IF('Mortgage Inputs'!$B$12,'Mortgage Inputs'!$B$7,0)*12+600,ISNUMBER(E525),E525&gt;0.005),520,"")</f>
        <v/>
      </c>
      <c r="B526" s="5" t="str">
        <f t="shared" si="17"/>
        <v/>
      </c>
      <c r="C526" s="5" t="str">
        <f>IF(A526="","",B526*'Mortgage Inputs'!$B$15)</f>
        <v/>
      </c>
      <c r="D526" s="5" t="str">
        <f>IF(A526="","",MIN(B526,MAX(0,'Mortgage Inputs'!$B$17-C526)))</f>
        <v/>
      </c>
      <c r="E526" s="5" t="str">
        <f t="shared" si="16"/>
        <v/>
      </c>
      <c r="F526" s="5">
        <f>IF('Monthly Projection'!A526="",0,'Monthly Projection'!G526)</f>
        <v>0</v>
      </c>
    </row>
    <row r="527" spans="1:6">
      <c r="A527" t="str">
        <f>IF(AND('Mortgage Inputs'!$B$12,521&lt;=IF('Mortgage Inputs'!$B$12,'Mortgage Inputs'!$B$7,0)*12+600,ISNUMBER(E526),E526&gt;0.005),521,"")</f>
        <v/>
      </c>
      <c r="B527" s="5" t="str">
        <f t="shared" si="17"/>
        <v/>
      </c>
      <c r="C527" s="5" t="str">
        <f>IF(A527="","",B527*'Mortgage Inputs'!$B$15)</f>
        <v/>
      </c>
      <c r="D527" s="5" t="str">
        <f>IF(A527="","",MIN(B527,MAX(0,'Mortgage Inputs'!$B$17-C527)))</f>
        <v/>
      </c>
      <c r="E527" s="5" t="str">
        <f t="shared" si="16"/>
        <v/>
      </c>
      <c r="F527" s="5">
        <f>IF('Monthly Projection'!A527="",0,'Monthly Projection'!G527)</f>
        <v>0</v>
      </c>
    </row>
    <row r="528" spans="1:6">
      <c r="A528" t="str">
        <f>IF(AND('Mortgage Inputs'!$B$12,522&lt;=IF('Mortgage Inputs'!$B$12,'Mortgage Inputs'!$B$7,0)*12+600,ISNUMBER(E527),E527&gt;0.005),522,"")</f>
        <v/>
      </c>
      <c r="B528" s="5" t="str">
        <f t="shared" si="17"/>
        <v/>
      </c>
      <c r="C528" s="5" t="str">
        <f>IF(A528="","",B528*'Mortgage Inputs'!$B$15)</f>
        <v/>
      </c>
      <c r="D528" s="5" t="str">
        <f>IF(A528="","",MIN(B528,MAX(0,'Mortgage Inputs'!$B$17-C528)))</f>
        <v/>
      </c>
      <c r="E528" s="5" t="str">
        <f t="shared" si="16"/>
        <v/>
      </c>
      <c r="F528" s="5">
        <f>IF('Monthly Projection'!A528="",0,'Monthly Projection'!G528)</f>
        <v>0</v>
      </c>
    </row>
    <row r="529" spans="1:6">
      <c r="A529" t="str">
        <f>IF(AND('Mortgage Inputs'!$B$12,523&lt;=IF('Mortgage Inputs'!$B$12,'Mortgage Inputs'!$B$7,0)*12+600,ISNUMBER(E528),E528&gt;0.005),523,"")</f>
        <v/>
      </c>
      <c r="B529" s="5" t="str">
        <f t="shared" si="17"/>
        <v/>
      </c>
      <c r="C529" s="5" t="str">
        <f>IF(A529="","",B529*'Mortgage Inputs'!$B$15)</f>
        <v/>
      </c>
      <c r="D529" s="5" t="str">
        <f>IF(A529="","",MIN(B529,MAX(0,'Mortgage Inputs'!$B$17-C529)))</f>
        <v/>
      </c>
      <c r="E529" s="5" t="str">
        <f t="shared" si="16"/>
        <v/>
      </c>
      <c r="F529" s="5">
        <f>IF('Monthly Projection'!A529="",0,'Monthly Projection'!G529)</f>
        <v>0</v>
      </c>
    </row>
    <row r="530" spans="1:6">
      <c r="A530" t="str">
        <f>IF(AND('Mortgage Inputs'!$B$12,524&lt;=IF('Mortgage Inputs'!$B$12,'Mortgage Inputs'!$B$7,0)*12+600,ISNUMBER(E529),E529&gt;0.005),524,"")</f>
        <v/>
      </c>
      <c r="B530" s="5" t="str">
        <f t="shared" si="17"/>
        <v/>
      </c>
      <c r="C530" s="5" t="str">
        <f>IF(A530="","",B530*'Mortgage Inputs'!$B$15)</f>
        <v/>
      </c>
      <c r="D530" s="5" t="str">
        <f>IF(A530="","",MIN(B530,MAX(0,'Mortgage Inputs'!$B$17-C530)))</f>
        <v/>
      </c>
      <c r="E530" s="5" t="str">
        <f t="shared" si="16"/>
        <v/>
      </c>
      <c r="F530" s="5">
        <f>IF('Monthly Projection'!A530="",0,'Monthly Projection'!G530)</f>
        <v>0</v>
      </c>
    </row>
    <row r="531" spans="1:6">
      <c r="A531" t="str">
        <f>IF(AND('Mortgage Inputs'!$B$12,525&lt;=IF('Mortgage Inputs'!$B$12,'Mortgage Inputs'!$B$7,0)*12+600,ISNUMBER(E530),E530&gt;0.005),525,"")</f>
        <v/>
      </c>
      <c r="B531" s="5" t="str">
        <f t="shared" si="17"/>
        <v/>
      </c>
      <c r="C531" s="5" t="str">
        <f>IF(A531="","",B531*'Mortgage Inputs'!$B$15)</f>
        <v/>
      </c>
      <c r="D531" s="5" t="str">
        <f>IF(A531="","",MIN(B531,MAX(0,'Mortgage Inputs'!$B$17-C531)))</f>
        <v/>
      </c>
      <c r="E531" s="5" t="str">
        <f t="shared" si="16"/>
        <v/>
      </c>
      <c r="F531" s="5">
        <f>IF('Monthly Projection'!A531="",0,'Monthly Projection'!G531)</f>
        <v>0</v>
      </c>
    </row>
    <row r="532" spans="1:6">
      <c r="A532" t="str">
        <f>IF(AND('Mortgage Inputs'!$B$12,526&lt;=IF('Mortgage Inputs'!$B$12,'Mortgage Inputs'!$B$7,0)*12+600,ISNUMBER(E531),E531&gt;0.005),526,"")</f>
        <v/>
      </c>
      <c r="B532" s="5" t="str">
        <f t="shared" si="17"/>
        <v/>
      </c>
      <c r="C532" s="5" t="str">
        <f>IF(A532="","",B532*'Mortgage Inputs'!$B$15)</f>
        <v/>
      </c>
      <c r="D532" s="5" t="str">
        <f>IF(A532="","",MIN(B532,MAX(0,'Mortgage Inputs'!$B$17-C532)))</f>
        <v/>
      </c>
      <c r="E532" s="5" t="str">
        <f t="shared" si="16"/>
        <v/>
      </c>
      <c r="F532" s="5">
        <f>IF('Monthly Projection'!A532="",0,'Monthly Projection'!G532)</f>
        <v>0</v>
      </c>
    </row>
    <row r="533" spans="1:6">
      <c r="A533" t="str">
        <f>IF(AND('Mortgage Inputs'!$B$12,527&lt;=IF('Mortgage Inputs'!$B$12,'Mortgage Inputs'!$B$7,0)*12+600,ISNUMBER(E532),E532&gt;0.005),527,"")</f>
        <v/>
      </c>
      <c r="B533" s="5" t="str">
        <f t="shared" si="17"/>
        <v/>
      </c>
      <c r="C533" s="5" t="str">
        <f>IF(A533="","",B533*'Mortgage Inputs'!$B$15)</f>
        <v/>
      </c>
      <c r="D533" s="5" t="str">
        <f>IF(A533="","",MIN(B533,MAX(0,'Mortgage Inputs'!$B$17-C533)))</f>
        <v/>
      </c>
      <c r="E533" s="5" t="str">
        <f t="shared" si="16"/>
        <v/>
      </c>
      <c r="F533" s="5">
        <f>IF('Monthly Projection'!A533="",0,'Monthly Projection'!G533)</f>
        <v>0</v>
      </c>
    </row>
    <row r="534" spans="1:6">
      <c r="A534" t="str">
        <f>IF(AND('Mortgage Inputs'!$B$12,528&lt;=IF('Mortgage Inputs'!$B$12,'Mortgage Inputs'!$B$7,0)*12+600,ISNUMBER(E533),E533&gt;0.005),528,"")</f>
        <v/>
      </c>
      <c r="B534" s="5" t="str">
        <f t="shared" si="17"/>
        <v/>
      </c>
      <c r="C534" s="5" t="str">
        <f>IF(A534="","",B534*'Mortgage Inputs'!$B$15)</f>
        <v/>
      </c>
      <c r="D534" s="5" t="str">
        <f>IF(A534="","",MIN(B534,MAX(0,'Mortgage Inputs'!$B$17-C534)))</f>
        <v/>
      </c>
      <c r="E534" s="5" t="str">
        <f t="shared" si="16"/>
        <v/>
      </c>
      <c r="F534" s="5">
        <f>IF('Monthly Projection'!A534="",0,'Monthly Projection'!G534)</f>
        <v>0</v>
      </c>
    </row>
    <row r="535" spans="1:6">
      <c r="A535" t="str">
        <f>IF(AND('Mortgage Inputs'!$B$12,529&lt;=IF('Mortgage Inputs'!$B$12,'Mortgage Inputs'!$B$7,0)*12+600,ISNUMBER(E534),E534&gt;0.005),529,"")</f>
        <v/>
      </c>
      <c r="B535" s="5" t="str">
        <f t="shared" si="17"/>
        <v/>
      </c>
      <c r="C535" s="5" t="str">
        <f>IF(A535="","",B535*'Mortgage Inputs'!$B$15)</f>
        <v/>
      </c>
      <c r="D535" s="5" t="str">
        <f>IF(A535="","",MIN(B535,MAX(0,'Mortgage Inputs'!$B$17-C535)))</f>
        <v/>
      </c>
      <c r="E535" s="5" t="str">
        <f t="shared" si="16"/>
        <v/>
      </c>
      <c r="F535" s="5">
        <f>IF('Monthly Projection'!A535="",0,'Monthly Projection'!G535)</f>
        <v>0</v>
      </c>
    </row>
    <row r="536" spans="1:6">
      <c r="A536" t="str">
        <f>IF(AND('Mortgage Inputs'!$B$12,530&lt;=IF('Mortgage Inputs'!$B$12,'Mortgage Inputs'!$B$7,0)*12+600,ISNUMBER(E535),E535&gt;0.005),530,"")</f>
        <v/>
      </c>
      <c r="B536" s="5" t="str">
        <f t="shared" si="17"/>
        <v/>
      </c>
      <c r="C536" s="5" t="str">
        <f>IF(A536="","",B536*'Mortgage Inputs'!$B$15)</f>
        <v/>
      </c>
      <c r="D536" s="5" t="str">
        <f>IF(A536="","",MIN(B536,MAX(0,'Mortgage Inputs'!$B$17-C536)))</f>
        <v/>
      </c>
      <c r="E536" s="5" t="str">
        <f t="shared" si="16"/>
        <v/>
      </c>
      <c r="F536" s="5">
        <f>IF('Monthly Projection'!A536="",0,'Monthly Projection'!G536)</f>
        <v>0</v>
      </c>
    </row>
    <row r="537" spans="1:6">
      <c r="A537" t="str">
        <f>IF(AND('Mortgage Inputs'!$B$12,531&lt;=IF('Mortgage Inputs'!$B$12,'Mortgage Inputs'!$B$7,0)*12+600,ISNUMBER(E536),E536&gt;0.005),531,"")</f>
        <v/>
      </c>
      <c r="B537" s="5" t="str">
        <f t="shared" si="17"/>
        <v/>
      </c>
      <c r="C537" s="5" t="str">
        <f>IF(A537="","",B537*'Mortgage Inputs'!$B$15)</f>
        <v/>
      </c>
      <c r="D537" s="5" t="str">
        <f>IF(A537="","",MIN(B537,MAX(0,'Mortgage Inputs'!$B$17-C537)))</f>
        <v/>
      </c>
      <c r="E537" s="5" t="str">
        <f t="shared" si="16"/>
        <v/>
      </c>
      <c r="F537" s="5">
        <f>IF('Monthly Projection'!A537="",0,'Monthly Projection'!G537)</f>
        <v>0</v>
      </c>
    </row>
    <row r="538" spans="1:6">
      <c r="A538" t="str">
        <f>IF(AND('Mortgage Inputs'!$B$12,532&lt;=IF('Mortgage Inputs'!$B$12,'Mortgage Inputs'!$B$7,0)*12+600,ISNUMBER(E537),E537&gt;0.005),532,"")</f>
        <v/>
      </c>
      <c r="B538" s="5" t="str">
        <f t="shared" si="17"/>
        <v/>
      </c>
      <c r="C538" s="5" t="str">
        <f>IF(A538="","",B538*'Mortgage Inputs'!$B$15)</f>
        <v/>
      </c>
      <c r="D538" s="5" t="str">
        <f>IF(A538="","",MIN(B538,MAX(0,'Mortgage Inputs'!$B$17-C538)))</f>
        <v/>
      </c>
      <c r="E538" s="5" t="str">
        <f t="shared" si="16"/>
        <v/>
      </c>
      <c r="F538" s="5">
        <f>IF('Monthly Projection'!A538="",0,'Monthly Projection'!G538)</f>
        <v>0</v>
      </c>
    </row>
    <row r="539" spans="1:6">
      <c r="A539" t="str">
        <f>IF(AND('Mortgage Inputs'!$B$12,533&lt;=IF('Mortgage Inputs'!$B$12,'Mortgage Inputs'!$B$7,0)*12+600,ISNUMBER(E538),E538&gt;0.005),533,"")</f>
        <v/>
      </c>
      <c r="B539" s="5" t="str">
        <f t="shared" si="17"/>
        <v/>
      </c>
      <c r="C539" s="5" t="str">
        <f>IF(A539="","",B539*'Mortgage Inputs'!$B$15)</f>
        <v/>
      </c>
      <c r="D539" s="5" t="str">
        <f>IF(A539="","",MIN(B539,MAX(0,'Mortgage Inputs'!$B$17-C539)))</f>
        <v/>
      </c>
      <c r="E539" s="5" t="str">
        <f t="shared" si="16"/>
        <v/>
      </c>
      <c r="F539" s="5">
        <f>IF('Monthly Projection'!A539="",0,'Monthly Projection'!G539)</f>
        <v>0</v>
      </c>
    </row>
    <row r="540" spans="1:6">
      <c r="A540" t="str">
        <f>IF(AND('Mortgage Inputs'!$B$12,534&lt;=IF('Mortgage Inputs'!$B$12,'Mortgage Inputs'!$B$7,0)*12+600,ISNUMBER(E539),E539&gt;0.005),534,"")</f>
        <v/>
      </c>
      <c r="B540" s="5" t="str">
        <f t="shared" si="17"/>
        <v/>
      </c>
      <c r="C540" s="5" t="str">
        <f>IF(A540="","",B540*'Mortgage Inputs'!$B$15)</f>
        <v/>
      </c>
      <c r="D540" s="5" t="str">
        <f>IF(A540="","",MIN(B540,MAX(0,'Mortgage Inputs'!$B$17-C540)))</f>
        <v/>
      </c>
      <c r="E540" s="5" t="str">
        <f t="shared" si="16"/>
        <v/>
      </c>
      <c r="F540" s="5">
        <f>IF('Monthly Projection'!A540="",0,'Monthly Projection'!G540)</f>
        <v>0</v>
      </c>
    </row>
    <row r="541" spans="1:6">
      <c r="A541" t="str">
        <f>IF(AND('Mortgage Inputs'!$B$12,535&lt;=IF('Mortgage Inputs'!$B$12,'Mortgage Inputs'!$B$7,0)*12+600,ISNUMBER(E540),E540&gt;0.005),535,"")</f>
        <v/>
      </c>
      <c r="B541" s="5" t="str">
        <f t="shared" si="17"/>
        <v/>
      </c>
      <c r="C541" s="5" t="str">
        <f>IF(A541="","",B541*'Mortgage Inputs'!$B$15)</f>
        <v/>
      </c>
      <c r="D541" s="5" t="str">
        <f>IF(A541="","",MIN(B541,MAX(0,'Mortgage Inputs'!$B$17-C541)))</f>
        <v/>
      </c>
      <c r="E541" s="5" t="str">
        <f t="shared" si="16"/>
        <v/>
      </c>
      <c r="F541" s="5">
        <f>IF('Monthly Projection'!A541="",0,'Monthly Projection'!G541)</f>
        <v>0</v>
      </c>
    </row>
    <row r="542" spans="1:6">
      <c r="A542" t="str">
        <f>IF(AND('Mortgage Inputs'!$B$12,536&lt;=IF('Mortgage Inputs'!$B$12,'Mortgage Inputs'!$B$7,0)*12+600,ISNUMBER(E541),E541&gt;0.005),536,"")</f>
        <v/>
      </c>
      <c r="B542" s="5" t="str">
        <f t="shared" si="17"/>
        <v/>
      </c>
      <c r="C542" s="5" t="str">
        <f>IF(A542="","",B542*'Mortgage Inputs'!$B$15)</f>
        <v/>
      </c>
      <c r="D542" s="5" t="str">
        <f>IF(A542="","",MIN(B542,MAX(0,'Mortgage Inputs'!$B$17-C542)))</f>
        <v/>
      </c>
      <c r="E542" s="5" t="str">
        <f t="shared" si="16"/>
        <v/>
      </c>
      <c r="F542" s="5">
        <f>IF('Monthly Projection'!A542="",0,'Monthly Projection'!G542)</f>
        <v>0</v>
      </c>
    </row>
    <row r="543" spans="1:6">
      <c r="A543" t="str">
        <f>IF(AND('Mortgage Inputs'!$B$12,537&lt;=IF('Mortgage Inputs'!$B$12,'Mortgage Inputs'!$B$7,0)*12+600,ISNUMBER(E542),E542&gt;0.005),537,"")</f>
        <v/>
      </c>
      <c r="B543" s="5" t="str">
        <f t="shared" si="17"/>
        <v/>
      </c>
      <c r="C543" s="5" t="str">
        <f>IF(A543="","",B543*'Mortgage Inputs'!$B$15)</f>
        <v/>
      </c>
      <c r="D543" s="5" t="str">
        <f>IF(A543="","",MIN(B543,MAX(0,'Mortgage Inputs'!$B$17-C543)))</f>
        <v/>
      </c>
      <c r="E543" s="5" t="str">
        <f t="shared" si="16"/>
        <v/>
      </c>
      <c r="F543" s="5">
        <f>IF('Monthly Projection'!A543="",0,'Monthly Projection'!G543)</f>
        <v>0</v>
      </c>
    </row>
    <row r="544" spans="1:6">
      <c r="A544" t="str">
        <f>IF(AND('Mortgage Inputs'!$B$12,538&lt;=IF('Mortgage Inputs'!$B$12,'Mortgage Inputs'!$B$7,0)*12+600,ISNUMBER(E543),E543&gt;0.005),538,"")</f>
        <v/>
      </c>
      <c r="B544" s="5" t="str">
        <f t="shared" si="17"/>
        <v/>
      </c>
      <c r="C544" s="5" t="str">
        <f>IF(A544="","",B544*'Mortgage Inputs'!$B$15)</f>
        <v/>
      </c>
      <c r="D544" s="5" t="str">
        <f>IF(A544="","",MIN(B544,MAX(0,'Mortgage Inputs'!$B$17-C544)))</f>
        <v/>
      </c>
      <c r="E544" s="5" t="str">
        <f t="shared" si="16"/>
        <v/>
      </c>
      <c r="F544" s="5">
        <f>IF('Monthly Projection'!A544="",0,'Monthly Projection'!G544)</f>
        <v>0</v>
      </c>
    </row>
    <row r="545" spans="1:6">
      <c r="A545" t="str">
        <f>IF(AND('Mortgage Inputs'!$B$12,539&lt;=IF('Mortgage Inputs'!$B$12,'Mortgage Inputs'!$B$7,0)*12+600,ISNUMBER(E544),E544&gt;0.005),539,"")</f>
        <v/>
      </c>
      <c r="B545" s="5" t="str">
        <f t="shared" si="17"/>
        <v/>
      </c>
      <c r="C545" s="5" t="str">
        <f>IF(A545="","",B545*'Mortgage Inputs'!$B$15)</f>
        <v/>
      </c>
      <c r="D545" s="5" t="str">
        <f>IF(A545="","",MIN(B545,MAX(0,'Mortgage Inputs'!$B$17-C545)))</f>
        <v/>
      </c>
      <c r="E545" s="5" t="str">
        <f t="shared" si="16"/>
        <v/>
      </c>
      <c r="F545" s="5">
        <f>IF('Monthly Projection'!A545="",0,'Monthly Projection'!G545)</f>
        <v>0</v>
      </c>
    </row>
    <row r="546" spans="1:6">
      <c r="A546" t="str">
        <f>IF(AND('Mortgage Inputs'!$B$12,540&lt;=IF('Mortgage Inputs'!$B$12,'Mortgage Inputs'!$B$7,0)*12+600,ISNUMBER(E545),E545&gt;0.005),540,"")</f>
        <v/>
      </c>
      <c r="B546" s="5" t="str">
        <f t="shared" si="17"/>
        <v/>
      </c>
      <c r="C546" s="5" t="str">
        <f>IF(A546="","",B546*'Mortgage Inputs'!$B$15)</f>
        <v/>
      </c>
      <c r="D546" s="5" t="str">
        <f>IF(A546="","",MIN(B546,MAX(0,'Mortgage Inputs'!$B$17-C546)))</f>
        <v/>
      </c>
      <c r="E546" s="5" t="str">
        <f t="shared" si="16"/>
        <v/>
      </c>
      <c r="F546" s="5">
        <f>IF('Monthly Projection'!A546="",0,'Monthly Projection'!G546)</f>
        <v>0</v>
      </c>
    </row>
    <row r="547" spans="1:6">
      <c r="A547" t="str">
        <f>IF(AND('Mortgage Inputs'!$B$12,541&lt;=IF('Mortgage Inputs'!$B$12,'Mortgage Inputs'!$B$7,0)*12+600,ISNUMBER(E546),E546&gt;0.005),541,"")</f>
        <v/>
      </c>
      <c r="B547" s="5" t="str">
        <f t="shared" si="17"/>
        <v/>
      </c>
      <c r="C547" s="5" t="str">
        <f>IF(A547="","",B547*'Mortgage Inputs'!$B$15)</f>
        <v/>
      </c>
      <c r="D547" s="5" t="str">
        <f>IF(A547="","",MIN(B547,MAX(0,'Mortgage Inputs'!$B$17-C547)))</f>
        <v/>
      </c>
      <c r="E547" s="5" t="str">
        <f t="shared" si="16"/>
        <v/>
      </c>
      <c r="F547" s="5">
        <f>IF('Monthly Projection'!A547="",0,'Monthly Projection'!G547)</f>
        <v>0</v>
      </c>
    </row>
    <row r="548" spans="1:6">
      <c r="A548" t="str">
        <f>IF(AND('Mortgage Inputs'!$B$12,542&lt;=IF('Mortgage Inputs'!$B$12,'Mortgage Inputs'!$B$7,0)*12+600,ISNUMBER(E547),E547&gt;0.005),542,"")</f>
        <v/>
      </c>
      <c r="B548" s="5" t="str">
        <f t="shared" si="17"/>
        <v/>
      </c>
      <c r="C548" s="5" t="str">
        <f>IF(A548="","",B548*'Mortgage Inputs'!$B$15)</f>
        <v/>
      </c>
      <c r="D548" s="5" t="str">
        <f>IF(A548="","",MIN(B548,MAX(0,'Mortgage Inputs'!$B$17-C548)))</f>
        <v/>
      </c>
      <c r="E548" s="5" t="str">
        <f t="shared" si="16"/>
        <v/>
      </c>
      <c r="F548" s="5">
        <f>IF('Monthly Projection'!A548="",0,'Monthly Projection'!G548)</f>
        <v>0</v>
      </c>
    </row>
    <row r="549" spans="1:6">
      <c r="A549" t="str">
        <f>IF(AND('Mortgage Inputs'!$B$12,543&lt;=IF('Mortgage Inputs'!$B$12,'Mortgage Inputs'!$B$7,0)*12+600,ISNUMBER(E548),E548&gt;0.005),543,"")</f>
        <v/>
      </c>
      <c r="B549" s="5" t="str">
        <f t="shared" si="17"/>
        <v/>
      </c>
      <c r="C549" s="5" t="str">
        <f>IF(A549="","",B549*'Mortgage Inputs'!$B$15)</f>
        <v/>
      </c>
      <c r="D549" s="5" t="str">
        <f>IF(A549="","",MIN(B549,MAX(0,'Mortgage Inputs'!$B$17-C549)))</f>
        <v/>
      </c>
      <c r="E549" s="5" t="str">
        <f t="shared" si="16"/>
        <v/>
      </c>
      <c r="F549" s="5">
        <f>IF('Monthly Projection'!A549="",0,'Monthly Projection'!G549)</f>
        <v>0</v>
      </c>
    </row>
    <row r="550" spans="1:6">
      <c r="A550" t="str">
        <f>IF(AND('Mortgage Inputs'!$B$12,544&lt;=IF('Mortgage Inputs'!$B$12,'Mortgage Inputs'!$B$7,0)*12+600,ISNUMBER(E549),E549&gt;0.005),544,"")</f>
        <v/>
      </c>
      <c r="B550" s="5" t="str">
        <f t="shared" si="17"/>
        <v/>
      </c>
      <c r="C550" s="5" t="str">
        <f>IF(A550="","",B550*'Mortgage Inputs'!$B$15)</f>
        <v/>
      </c>
      <c r="D550" s="5" t="str">
        <f>IF(A550="","",MIN(B550,MAX(0,'Mortgage Inputs'!$B$17-C550)))</f>
        <v/>
      </c>
      <c r="E550" s="5" t="str">
        <f t="shared" si="16"/>
        <v/>
      </c>
      <c r="F550" s="5">
        <f>IF('Monthly Projection'!A550="",0,'Monthly Projection'!G550)</f>
        <v>0</v>
      </c>
    </row>
    <row r="551" spans="1:6">
      <c r="A551" t="str">
        <f>IF(AND('Mortgage Inputs'!$B$12,545&lt;=IF('Mortgage Inputs'!$B$12,'Mortgage Inputs'!$B$7,0)*12+600,ISNUMBER(E550),E550&gt;0.005),545,"")</f>
        <v/>
      </c>
      <c r="B551" s="5" t="str">
        <f t="shared" si="17"/>
        <v/>
      </c>
      <c r="C551" s="5" t="str">
        <f>IF(A551="","",B551*'Mortgage Inputs'!$B$15)</f>
        <v/>
      </c>
      <c r="D551" s="5" t="str">
        <f>IF(A551="","",MIN(B551,MAX(0,'Mortgage Inputs'!$B$17-C551)))</f>
        <v/>
      </c>
      <c r="E551" s="5" t="str">
        <f t="shared" si="16"/>
        <v/>
      </c>
      <c r="F551" s="5">
        <f>IF('Monthly Projection'!A551="",0,'Monthly Projection'!G551)</f>
        <v>0</v>
      </c>
    </row>
    <row r="552" spans="1:6">
      <c r="A552" t="str">
        <f>IF(AND('Mortgage Inputs'!$B$12,546&lt;=IF('Mortgage Inputs'!$B$12,'Mortgage Inputs'!$B$7,0)*12+600,ISNUMBER(E551),E551&gt;0.005),546,"")</f>
        <v/>
      </c>
      <c r="B552" s="5" t="str">
        <f t="shared" si="17"/>
        <v/>
      </c>
      <c r="C552" s="5" t="str">
        <f>IF(A552="","",B552*'Mortgage Inputs'!$B$15)</f>
        <v/>
      </c>
      <c r="D552" s="5" t="str">
        <f>IF(A552="","",MIN(B552,MAX(0,'Mortgage Inputs'!$B$17-C552)))</f>
        <v/>
      </c>
      <c r="E552" s="5" t="str">
        <f t="shared" si="16"/>
        <v/>
      </c>
      <c r="F552" s="5">
        <f>IF('Monthly Projection'!A552="",0,'Monthly Projection'!G552)</f>
        <v>0</v>
      </c>
    </row>
    <row r="553" spans="1:6">
      <c r="A553" t="str">
        <f>IF(AND('Mortgage Inputs'!$B$12,547&lt;=IF('Mortgage Inputs'!$B$12,'Mortgage Inputs'!$B$7,0)*12+600,ISNUMBER(E552),E552&gt;0.005),547,"")</f>
        <v/>
      </c>
      <c r="B553" s="5" t="str">
        <f t="shared" si="17"/>
        <v/>
      </c>
      <c r="C553" s="5" t="str">
        <f>IF(A553="","",B553*'Mortgage Inputs'!$B$15)</f>
        <v/>
      </c>
      <c r="D553" s="5" t="str">
        <f>IF(A553="","",MIN(B553,MAX(0,'Mortgage Inputs'!$B$17-C553)))</f>
        <v/>
      </c>
      <c r="E553" s="5" t="str">
        <f t="shared" si="16"/>
        <v/>
      </c>
      <c r="F553" s="5">
        <f>IF('Monthly Projection'!A553="",0,'Monthly Projection'!G553)</f>
        <v>0</v>
      </c>
    </row>
    <row r="554" spans="1:6">
      <c r="A554" t="str">
        <f>IF(AND('Mortgage Inputs'!$B$12,548&lt;=IF('Mortgage Inputs'!$B$12,'Mortgage Inputs'!$B$7,0)*12+600,ISNUMBER(E553),E553&gt;0.005),548,"")</f>
        <v/>
      </c>
      <c r="B554" s="5" t="str">
        <f t="shared" si="17"/>
        <v/>
      </c>
      <c r="C554" s="5" t="str">
        <f>IF(A554="","",B554*'Mortgage Inputs'!$B$15)</f>
        <v/>
      </c>
      <c r="D554" s="5" t="str">
        <f>IF(A554="","",MIN(B554,MAX(0,'Mortgage Inputs'!$B$17-C554)))</f>
        <v/>
      </c>
      <c r="E554" s="5" t="str">
        <f t="shared" si="16"/>
        <v/>
      </c>
      <c r="F554" s="5">
        <f>IF('Monthly Projection'!A554="",0,'Monthly Projection'!G554)</f>
        <v>0</v>
      </c>
    </row>
    <row r="555" spans="1:6">
      <c r="A555" t="str">
        <f>IF(AND('Mortgage Inputs'!$B$12,549&lt;=IF('Mortgage Inputs'!$B$12,'Mortgage Inputs'!$B$7,0)*12+600,ISNUMBER(E554),E554&gt;0.005),549,"")</f>
        <v/>
      </c>
      <c r="B555" s="5" t="str">
        <f t="shared" si="17"/>
        <v/>
      </c>
      <c r="C555" s="5" t="str">
        <f>IF(A555="","",B555*'Mortgage Inputs'!$B$15)</f>
        <v/>
      </c>
      <c r="D555" s="5" t="str">
        <f>IF(A555="","",MIN(B555,MAX(0,'Mortgage Inputs'!$B$17-C555)))</f>
        <v/>
      </c>
      <c r="E555" s="5" t="str">
        <f t="shared" si="16"/>
        <v/>
      </c>
      <c r="F555" s="5">
        <f>IF('Monthly Projection'!A555="",0,'Monthly Projection'!G555)</f>
        <v>0</v>
      </c>
    </row>
    <row r="556" spans="1:6">
      <c r="A556" t="str">
        <f>IF(AND('Mortgage Inputs'!$B$12,550&lt;=IF('Mortgage Inputs'!$B$12,'Mortgage Inputs'!$B$7,0)*12+600,ISNUMBER(E555),E555&gt;0.005),550,"")</f>
        <v/>
      </c>
      <c r="B556" s="5" t="str">
        <f t="shared" si="17"/>
        <v/>
      </c>
      <c r="C556" s="5" t="str">
        <f>IF(A556="","",B556*'Mortgage Inputs'!$B$15)</f>
        <v/>
      </c>
      <c r="D556" s="5" t="str">
        <f>IF(A556="","",MIN(B556,MAX(0,'Mortgage Inputs'!$B$17-C556)))</f>
        <v/>
      </c>
      <c r="E556" s="5" t="str">
        <f t="shared" si="16"/>
        <v/>
      </c>
      <c r="F556" s="5">
        <f>IF('Monthly Projection'!A556="",0,'Monthly Projection'!G556)</f>
        <v>0</v>
      </c>
    </row>
    <row r="557" spans="1:6">
      <c r="A557" t="str">
        <f>IF(AND('Mortgage Inputs'!$B$12,551&lt;=IF('Mortgage Inputs'!$B$12,'Mortgage Inputs'!$B$7,0)*12+600,ISNUMBER(E556),E556&gt;0.005),551,"")</f>
        <v/>
      </c>
      <c r="B557" s="5" t="str">
        <f t="shared" si="17"/>
        <v/>
      </c>
      <c r="C557" s="5" t="str">
        <f>IF(A557="","",B557*'Mortgage Inputs'!$B$15)</f>
        <v/>
      </c>
      <c r="D557" s="5" t="str">
        <f>IF(A557="","",MIN(B557,MAX(0,'Mortgage Inputs'!$B$17-C557)))</f>
        <v/>
      </c>
      <c r="E557" s="5" t="str">
        <f t="shared" si="16"/>
        <v/>
      </c>
      <c r="F557" s="5">
        <f>IF('Monthly Projection'!A557="",0,'Monthly Projection'!G557)</f>
        <v>0</v>
      </c>
    </row>
    <row r="558" spans="1:6">
      <c r="A558" t="str">
        <f>IF(AND('Mortgage Inputs'!$B$12,552&lt;=IF('Mortgage Inputs'!$B$12,'Mortgage Inputs'!$B$7,0)*12+600,ISNUMBER(E557),E557&gt;0.005),552,"")</f>
        <v/>
      </c>
      <c r="B558" s="5" t="str">
        <f t="shared" si="17"/>
        <v/>
      </c>
      <c r="C558" s="5" t="str">
        <f>IF(A558="","",B558*'Mortgage Inputs'!$B$15)</f>
        <v/>
      </c>
      <c r="D558" s="5" t="str">
        <f>IF(A558="","",MIN(B558,MAX(0,'Mortgage Inputs'!$B$17-C558)))</f>
        <v/>
      </c>
      <c r="E558" s="5" t="str">
        <f t="shared" si="16"/>
        <v/>
      </c>
      <c r="F558" s="5">
        <f>IF('Monthly Projection'!A558="",0,'Monthly Projection'!G558)</f>
        <v>0</v>
      </c>
    </row>
    <row r="559" spans="1:6">
      <c r="A559" t="str">
        <f>IF(AND('Mortgage Inputs'!$B$12,553&lt;=IF('Mortgage Inputs'!$B$12,'Mortgage Inputs'!$B$7,0)*12+600,ISNUMBER(E558),E558&gt;0.005),553,"")</f>
        <v/>
      </c>
      <c r="B559" s="5" t="str">
        <f t="shared" si="17"/>
        <v/>
      </c>
      <c r="C559" s="5" t="str">
        <f>IF(A559="","",B559*'Mortgage Inputs'!$B$15)</f>
        <v/>
      </c>
      <c r="D559" s="5" t="str">
        <f>IF(A559="","",MIN(B559,MAX(0,'Mortgage Inputs'!$B$17-C559)))</f>
        <v/>
      </c>
      <c r="E559" s="5" t="str">
        <f t="shared" si="16"/>
        <v/>
      </c>
      <c r="F559" s="5">
        <f>IF('Monthly Projection'!A559="",0,'Monthly Projection'!G559)</f>
        <v>0</v>
      </c>
    </row>
    <row r="560" spans="1:6">
      <c r="A560" t="str">
        <f>IF(AND('Mortgage Inputs'!$B$12,554&lt;=IF('Mortgage Inputs'!$B$12,'Mortgage Inputs'!$B$7,0)*12+600,ISNUMBER(E559),E559&gt;0.005),554,"")</f>
        <v/>
      </c>
      <c r="B560" s="5" t="str">
        <f t="shared" si="17"/>
        <v/>
      </c>
      <c r="C560" s="5" t="str">
        <f>IF(A560="","",B560*'Mortgage Inputs'!$B$15)</f>
        <v/>
      </c>
      <c r="D560" s="5" t="str">
        <f>IF(A560="","",MIN(B560,MAX(0,'Mortgage Inputs'!$B$17-C560)))</f>
        <v/>
      </c>
      <c r="E560" s="5" t="str">
        <f t="shared" si="16"/>
        <v/>
      </c>
      <c r="F560" s="5">
        <f>IF('Monthly Projection'!A560="",0,'Monthly Projection'!G560)</f>
        <v>0</v>
      </c>
    </row>
    <row r="561" spans="1:6">
      <c r="A561" t="str">
        <f>IF(AND('Mortgage Inputs'!$B$12,555&lt;=IF('Mortgage Inputs'!$B$12,'Mortgage Inputs'!$B$7,0)*12+600,ISNUMBER(E560),E560&gt;0.005),555,"")</f>
        <v/>
      </c>
      <c r="B561" s="5" t="str">
        <f t="shared" si="17"/>
        <v/>
      </c>
      <c r="C561" s="5" t="str">
        <f>IF(A561="","",B561*'Mortgage Inputs'!$B$15)</f>
        <v/>
      </c>
      <c r="D561" s="5" t="str">
        <f>IF(A561="","",MIN(B561,MAX(0,'Mortgage Inputs'!$B$17-C561)))</f>
        <v/>
      </c>
      <c r="E561" s="5" t="str">
        <f t="shared" si="16"/>
        <v/>
      </c>
      <c r="F561" s="5">
        <f>IF('Monthly Projection'!A561="",0,'Monthly Projection'!G561)</f>
        <v>0</v>
      </c>
    </row>
    <row r="562" spans="1:6">
      <c r="A562" t="str">
        <f>IF(AND('Mortgage Inputs'!$B$12,556&lt;=IF('Mortgage Inputs'!$B$12,'Mortgage Inputs'!$B$7,0)*12+600,ISNUMBER(E561),E561&gt;0.005),556,"")</f>
        <v/>
      </c>
      <c r="B562" s="5" t="str">
        <f t="shared" si="17"/>
        <v/>
      </c>
      <c r="C562" s="5" t="str">
        <f>IF(A562="","",B562*'Mortgage Inputs'!$B$15)</f>
        <v/>
      </c>
      <c r="D562" s="5" t="str">
        <f>IF(A562="","",MIN(B562,MAX(0,'Mortgage Inputs'!$B$17-C562)))</f>
        <v/>
      </c>
      <c r="E562" s="5" t="str">
        <f t="shared" si="16"/>
        <v/>
      </c>
      <c r="F562" s="5">
        <f>IF('Monthly Projection'!A562="",0,'Monthly Projection'!G562)</f>
        <v>0</v>
      </c>
    </row>
    <row r="563" spans="1:6">
      <c r="A563" t="str">
        <f>IF(AND('Mortgage Inputs'!$B$12,557&lt;=IF('Mortgage Inputs'!$B$12,'Mortgage Inputs'!$B$7,0)*12+600,ISNUMBER(E562),E562&gt;0.005),557,"")</f>
        <v/>
      </c>
      <c r="B563" s="5" t="str">
        <f t="shared" si="17"/>
        <v/>
      </c>
      <c r="C563" s="5" t="str">
        <f>IF(A563="","",B563*'Mortgage Inputs'!$B$15)</f>
        <v/>
      </c>
      <c r="D563" s="5" t="str">
        <f>IF(A563="","",MIN(B563,MAX(0,'Mortgage Inputs'!$B$17-C563)))</f>
        <v/>
      </c>
      <c r="E563" s="5" t="str">
        <f t="shared" si="16"/>
        <v/>
      </c>
      <c r="F563" s="5">
        <f>IF('Monthly Projection'!A563="",0,'Monthly Projection'!G563)</f>
        <v>0</v>
      </c>
    </row>
    <row r="564" spans="1:6">
      <c r="A564" t="str">
        <f>IF(AND('Mortgage Inputs'!$B$12,558&lt;=IF('Mortgage Inputs'!$B$12,'Mortgage Inputs'!$B$7,0)*12+600,ISNUMBER(E563),E563&gt;0.005),558,"")</f>
        <v/>
      </c>
      <c r="B564" s="5" t="str">
        <f t="shared" si="17"/>
        <v/>
      </c>
      <c r="C564" s="5" t="str">
        <f>IF(A564="","",B564*'Mortgage Inputs'!$B$15)</f>
        <v/>
      </c>
      <c r="D564" s="5" t="str">
        <f>IF(A564="","",MIN(B564,MAX(0,'Mortgage Inputs'!$B$17-C564)))</f>
        <v/>
      </c>
      <c r="E564" s="5" t="str">
        <f t="shared" si="16"/>
        <v/>
      </c>
      <c r="F564" s="5">
        <f>IF('Monthly Projection'!A564="",0,'Monthly Projection'!G564)</f>
        <v>0</v>
      </c>
    </row>
    <row r="565" spans="1:6">
      <c r="A565" t="str">
        <f>IF(AND('Mortgage Inputs'!$B$12,559&lt;=IF('Mortgage Inputs'!$B$12,'Mortgage Inputs'!$B$7,0)*12+600,ISNUMBER(E564),E564&gt;0.005),559,"")</f>
        <v/>
      </c>
      <c r="B565" s="5" t="str">
        <f t="shared" si="17"/>
        <v/>
      </c>
      <c r="C565" s="5" t="str">
        <f>IF(A565="","",B565*'Mortgage Inputs'!$B$15)</f>
        <v/>
      </c>
      <c r="D565" s="5" t="str">
        <f>IF(A565="","",MIN(B565,MAX(0,'Mortgage Inputs'!$B$17-C565)))</f>
        <v/>
      </c>
      <c r="E565" s="5" t="str">
        <f t="shared" si="16"/>
        <v/>
      </c>
      <c r="F565" s="5">
        <f>IF('Monthly Projection'!A565="",0,'Monthly Projection'!G565)</f>
        <v>0</v>
      </c>
    </row>
    <row r="566" spans="1:6">
      <c r="A566" t="str">
        <f>IF(AND('Mortgage Inputs'!$B$12,560&lt;=IF('Mortgage Inputs'!$B$12,'Mortgage Inputs'!$B$7,0)*12+600,ISNUMBER(E565),E565&gt;0.005),560,"")</f>
        <v/>
      </c>
      <c r="B566" s="5" t="str">
        <f t="shared" si="17"/>
        <v/>
      </c>
      <c r="C566" s="5" t="str">
        <f>IF(A566="","",B566*'Mortgage Inputs'!$B$15)</f>
        <v/>
      </c>
      <c r="D566" s="5" t="str">
        <f>IF(A566="","",MIN(B566,MAX(0,'Mortgage Inputs'!$B$17-C566)))</f>
        <v/>
      </c>
      <c r="E566" s="5" t="str">
        <f t="shared" si="16"/>
        <v/>
      </c>
      <c r="F566" s="5">
        <f>IF('Monthly Projection'!A566="",0,'Monthly Projection'!G566)</f>
        <v>0</v>
      </c>
    </row>
    <row r="567" spans="1:6">
      <c r="A567" t="str">
        <f>IF(AND('Mortgage Inputs'!$B$12,561&lt;=IF('Mortgage Inputs'!$B$12,'Mortgage Inputs'!$B$7,0)*12+600,ISNUMBER(E566),E566&gt;0.005),561,"")</f>
        <v/>
      </c>
      <c r="B567" s="5" t="str">
        <f t="shared" si="17"/>
        <v/>
      </c>
      <c r="C567" s="5" t="str">
        <f>IF(A567="","",B567*'Mortgage Inputs'!$B$15)</f>
        <v/>
      </c>
      <c r="D567" s="5" t="str">
        <f>IF(A567="","",MIN(B567,MAX(0,'Mortgage Inputs'!$B$17-C567)))</f>
        <v/>
      </c>
      <c r="E567" s="5" t="str">
        <f t="shared" si="16"/>
        <v/>
      </c>
      <c r="F567" s="5">
        <f>IF('Monthly Projection'!A567="",0,'Monthly Projection'!G567)</f>
        <v>0</v>
      </c>
    </row>
    <row r="568" spans="1:6">
      <c r="A568" t="str">
        <f>IF(AND('Mortgage Inputs'!$B$12,562&lt;=IF('Mortgage Inputs'!$B$12,'Mortgage Inputs'!$B$7,0)*12+600,ISNUMBER(E567),E567&gt;0.005),562,"")</f>
        <v/>
      </c>
      <c r="B568" s="5" t="str">
        <f t="shared" si="17"/>
        <v/>
      </c>
      <c r="C568" s="5" t="str">
        <f>IF(A568="","",B568*'Mortgage Inputs'!$B$15)</f>
        <v/>
      </c>
      <c r="D568" s="5" t="str">
        <f>IF(A568="","",MIN(B568,MAX(0,'Mortgage Inputs'!$B$17-C568)))</f>
        <v/>
      </c>
      <c r="E568" s="5" t="str">
        <f t="shared" si="16"/>
        <v/>
      </c>
      <c r="F568" s="5">
        <f>IF('Monthly Projection'!A568="",0,'Monthly Projection'!G568)</f>
        <v>0</v>
      </c>
    </row>
    <row r="569" spans="1:6">
      <c r="A569" t="str">
        <f>IF(AND('Mortgage Inputs'!$B$12,563&lt;=IF('Mortgage Inputs'!$B$12,'Mortgage Inputs'!$B$7,0)*12+600,ISNUMBER(E568),E568&gt;0.005),563,"")</f>
        <v/>
      </c>
      <c r="B569" s="5" t="str">
        <f t="shared" si="17"/>
        <v/>
      </c>
      <c r="C569" s="5" t="str">
        <f>IF(A569="","",B569*'Mortgage Inputs'!$B$15)</f>
        <v/>
      </c>
      <c r="D569" s="5" t="str">
        <f>IF(A569="","",MIN(B569,MAX(0,'Mortgage Inputs'!$B$17-C569)))</f>
        <v/>
      </c>
      <c r="E569" s="5" t="str">
        <f t="shared" si="16"/>
        <v/>
      </c>
      <c r="F569" s="5">
        <f>IF('Monthly Projection'!A569="",0,'Monthly Projection'!G569)</f>
        <v>0</v>
      </c>
    </row>
    <row r="570" spans="1:6">
      <c r="A570" t="str">
        <f>IF(AND('Mortgage Inputs'!$B$12,564&lt;=IF('Mortgage Inputs'!$B$12,'Mortgage Inputs'!$B$7,0)*12+600,ISNUMBER(E569),E569&gt;0.005),564,"")</f>
        <v/>
      </c>
      <c r="B570" s="5" t="str">
        <f t="shared" si="17"/>
        <v/>
      </c>
      <c r="C570" s="5" t="str">
        <f>IF(A570="","",B570*'Mortgage Inputs'!$B$15)</f>
        <v/>
      </c>
      <c r="D570" s="5" t="str">
        <f>IF(A570="","",MIN(B570,MAX(0,'Mortgage Inputs'!$B$17-C570)))</f>
        <v/>
      </c>
      <c r="E570" s="5" t="str">
        <f t="shared" si="16"/>
        <v/>
      </c>
      <c r="F570" s="5">
        <f>IF('Monthly Projection'!A570="",0,'Monthly Projection'!G570)</f>
        <v>0</v>
      </c>
    </row>
    <row r="571" spans="1:6">
      <c r="A571" t="str">
        <f>IF(AND('Mortgage Inputs'!$B$12,565&lt;=IF('Mortgage Inputs'!$B$12,'Mortgage Inputs'!$B$7,0)*12+600,ISNUMBER(E570),E570&gt;0.005),565,"")</f>
        <v/>
      </c>
      <c r="B571" s="5" t="str">
        <f t="shared" si="17"/>
        <v/>
      </c>
      <c r="C571" s="5" t="str">
        <f>IF(A571="","",B571*'Mortgage Inputs'!$B$15)</f>
        <v/>
      </c>
      <c r="D571" s="5" t="str">
        <f>IF(A571="","",MIN(B571,MAX(0,'Mortgage Inputs'!$B$17-C571)))</f>
        <v/>
      </c>
      <c r="E571" s="5" t="str">
        <f t="shared" si="16"/>
        <v/>
      </c>
      <c r="F571" s="5">
        <f>IF('Monthly Projection'!A571="",0,'Monthly Projection'!G571)</f>
        <v>0</v>
      </c>
    </row>
    <row r="572" spans="1:6">
      <c r="A572" t="str">
        <f>IF(AND('Mortgage Inputs'!$B$12,566&lt;=IF('Mortgage Inputs'!$B$12,'Mortgage Inputs'!$B$7,0)*12+600,ISNUMBER(E571),E571&gt;0.005),566,"")</f>
        <v/>
      </c>
      <c r="B572" s="5" t="str">
        <f t="shared" si="17"/>
        <v/>
      </c>
      <c r="C572" s="5" t="str">
        <f>IF(A572="","",B572*'Mortgage Inputs'!$B$15)</f>
        <v/>
      </c>
      <c r="D572" s="5" t="str">
        <f>IF(A572="","",MIN(B572,MAX(0,'Mortgage Inputs'!$B$17-C572)))</f>
        <v/>
      </c>
      <c r="E572" s="5" t="str">
        <f t="shared" si="16"/>
        <v/>
      </c>
      <c r="F572" s="5">
        <f>IF('Monthly Projection'!A572="",0,'Monthly Projection'!G572)</f>
        <v>0</v>
      </c>
    </row>
    <row r="573" spans="1:6">
      <c r="A573" t="str">
        <f>IF(AND('Mortgage Inputs'!$B$12,567&lt;=IF('Mortgage Inputs'!$B$12,'Mortgage Inputs'!$B$7,0)*12+600,ISNUMBER(E572),E572&gt;0.005),567,"")</f>
        <v/>
      </c>
      <c r="B573" s="5" t="str">
        <f t="shared" si="17"/>
        <v/>
      </c>
      <c r="C573" s="5" t="str">
        <f>IF(A573="","",B573*'Mortgage Inputs'!$B$15)</f>
        <v/>
      </c>
      <c r="D573" s="5" t="str">
        <f>IF(A573="","",MIN(B573,MAX(0,'Mortgage Inputs'!$B$17-C573)))</f>
        <v/>
      </c>
      <c r="E573" s="5" t="str">
        <f t="shared" si="16"/>
        <v/>
      </c>
      <c r="F573" s="5">
        <f>IF('Monthly Projection'!A573="",0,'Monthly Projection'!G573)</f>
        <v>0</v>
      </c>
    </row>
    <row r="574" spans="1:6">
      <c r="A574" t="str">
        <f>IF(AND('Mortgage Inputs'!$B$12,568&lt;=IF('Mortgage Inputs'!$B$12,'Mortgage Inputs'!$B$7,0)*12+600,ISNUMBER(E573),E573&gt;0.005),568,"")</f>
        <v/>
      </c>
      <c r="B574" s="5" t="str">
        <f t="shared" si="17"/>
        <v/>
      </c>
      <c r="C574" s="5" t="str">
        <f>IF(A574="","",B574*'Mortgage Inputs'!$B$15)</f>
        <v/>
      </c>
      <c r="D574" s="5" t="str">
        <f>IF(A574="","",MIN(B574,MAX(0,'Mortgage Inputs'!$B$17-C574)))</f>
        <v/>
      </c>
      <c r="E574" s="5" t="str">
        <f t="shared" si="16"/>
        <v/>
      </c>
      <c r="F574" s="5">
        <f>IF('Monthly Projection'!A574="",0,'Monthly Projection'!G574)</f>
        <v>0</v>
      </c>
    </row>
    <row r="575" spans="1:6">
      <c r="A575" t="str">
        <f>IF(AND('Mortgage Inputs'!$B$12,569&lt;=IF('Mortgage Inputs'!$B$12,'Mortgage Inputs'!$B$7,0)*12+600,ISNUMBER(E574),E574&gt;0.005),569,"")</f>
        <v/>
      </c>
      <c r="B575" s="5" t="str">
        <f t="shared" si="17"/>
        <v/>
      </c>
      <c r="C575" s="5" t="str">
        <f>IF(A575="","",B575*'Mortgage Inputs'!$B$15)</f>
        <v/>
      </c>
      <c r="D575" s="5" t="str">
        <f>IF(A575="","",MIN(B575,MAX(0,'Mortgage Inputs'!$B$17-C575)))</f>
        <v/>
      </c>
      <c r="E575" s="5" t="str">
        <f t="shared" si="16"/>
        <v/>
      </c>
      <c r="F575" s="5">
        <f>IF('Monthly Projection'!A575="",0,'Monthly Projection'!G575)</f>
        <v>0</v>
      </c>
    </row>
    <row r="576" spans="1:6">
      <c r="A576" t="str">
        <f>IF(AND('Mortgage Inputs'!$B$12,570&lt;=IF('Mortgage Inputs'!$B$12,'Mortgage Inputs'!$B$7,0)*12+600,ISNUMBER(E575),E575&gt;0.005),570,"")</f>
        <v/>
      </c>
      <c r="B576" s="5" t="str">
        <f t="shared" si="17"/>
        <v/>
      </c>
      <c r="C576" s="5" t="str">
        <f>IF(A576="","",B576*'Mortgage Inputs'!$B$15)</f>
        <v/>
      </c>
      <c r="D576" s="5" t="str">
        <f>IF(A576="","",MIN(B576,MAX(0,'Mortgage Inputs'!$B$17-C576)))</f>
        <v/>
      </c>
      <c r="E576" s="5" t="str">
        <f t="shared" si="16"/>
        <v/>
      </c>
      <c r="F576" s="5">
        <f>IF('Monthly Projection'!A576="",0,'Monthly Projection'!G576)</f>
        <v>0</v>
      </c>
    </row>
    <row r="577" spans="1:6">
      <c r="A577" t="str">
        <f>IF(AND('Mortgage Inputs'!$B$12,571&lt;=IF('Mortgage Inputs'!$B$12,'Mortgage Inputs'!$B$7,0)*12+600,ISNUMBER(E576),E576&gt;0.005),571,"")</f>
        <v/>
      </c>
      <c r="B577" s="5" t="str">
        <f t="shared" si="17"/>
        <v/>
      </c>
      <c r="C577" s="5" t="str">
        <f>IF(A577="","",B577*'Mortgage Inputs'!$B$15)</f>
        <v/>
      </c>
      <c r="D577" s="5" t="str">
        <f>IF(A577="","",MIN(B577,MAX(0,'Mortgage Inputs'!$B$17-C577)))</f>
        <v/>
      </c>
      <c r="E577" s="5" t="str">
        <f t="shared" si="16"/>
        <v/>
      </c>
      <c r="F577" s="5">
        <f>IF('Monthly Projection'!A577="",0,'Monthly Projection'!G577)</f>
        <v>0</v>
      </c>
    </row>
    <row r="578" spans="1:6">
      <c r="A578" t="str">
        <f>IF(AND('Mortgage Inputs'!$B$12,572&lt;=IF('Mortgage Inputs'!$B$12,'Mortgage Inputs'!$B$7,0)*12+600,ISNUMBER(E577),E577&gt;0.005),572,"")</f>
        <v/>
      </c>
      <c r="B578" s="5" t="str">
        <f t="shared" si="17"/>
        <v/>
      </c>
      <c r="C578" s="5" t="str">
        <f>IF(A578="","",B578*'Mortgage Inputs'!$B$15)</f>
        <v/>
      </c>
      <c r="D578" s="5" t="str">
        <f>IF(A578="","",MIN(B578,MAX(0,'Mortgage Inputs'!$B$17-C578)))</f>
        <v/>
      </c>
      <c r="E578" s="5" t="str">
        <f t="shared" si="16"/>
        <v/>
      </c>
      <c r="F578" s="5">
        <f>IF('Monthly Projection'!A578="",0,'Monthly Projection'!G578)</f>
        <v>0</v>
      </c>
    </row>
    <row r="579" spans="1:6">
      <c r="A579" t="str">
        <f>IF(AND('Mortgage Inputs'!$B$12,573&lt;=IF('Mortgage Inputs'!$B$12,'Mortgage Inputs'!$B$7,0)*12+600,ISNUMBER(E578),E578&gt;0.005),573,"")</f>
        <v/>
      </c>
      <c r="B579" s="5" t="str">
        <f t="shared" si="17"/>
        <v/>
      </c>
      <c r="C579" s="5" t="str">
        <f>IF(A579="","",B579*'Mortgage Inputs'!$B$15)</f>
        <v/>
      </c>
      <c r="D579" s="5" t="str">
        <f>IF(A579="","",MIN(B579,MAX(0,'Mortgage Inputs'!$B$17-C579)))</f>
        <v/>
      </c>
      <c r="E579" s="5" t="str">
        <f t="shared" si="16"/>
        <v/>
      </c>
      <c r="F579" s="5">
        <f>IF('Monthly Projection'!A579="",0,'Monthly Projection'!G579)</f>
        <v>0</v>
      </c>
    </row>
    <row r="580" spans="1:6">
      <c r="A580" t="str">
        <f>IF(AND('Mortgage Inputs'!$B$12,574&lt;=IF('Mortgage Inputs'!$B$12,'Mortgage Inputs'!$B$7,0)*12+600,ISNUMBER(E579),E579&gt;0.005),574,"")</f>
        <v/>
      </c>
      <c r="B580" s="5" t="str">
        <f t="shared" si="17"/>
        <v/>
      </c>
      <c r="C580" s="5" t="str">
        <f>IF(A580="","",B580*'Mortgage Inputs'!$B$15)</f>
        <v/>
      </c>
      <c r="D580" s="5" t="str">
        <f>IF(A580="","",MIN(B580,MAX(0,'Mortgage Inputs'!$B$17-C580)))</f>
        <v/>
      </c>
      <c r="E580" s="5" t="str">
        <f t="shared" si="16"/>
        <v/>
      </c>
      <c r="F580" s="5">
        <f>IF('Monthly Projection'!A580="",0,'Monthly Projection'!G580)</f>
        <v>0</v>
      </c>
    </row>
    <row r="581" spans="1:6">
      <c r="A581" t="str">
        <f>IF(AND('Mortgage Inputs'!$B$12,575&lt;=IF('Mortgage Inputs'!$B$12,'Mortgage Inputs'!$B$7,0)*12+600,ISNUMBER(E580),E580&gt;0.005),575,"")</f>
        <v/>
      </c>
      <c r="B581" s="5" t="str">
        <f t="shared" si="17"/>
        <v/>
      </c>
      <c r="C581" s="5" t="str">
        <f>IF(A581="","",B581*'Mortgage Inputs'!$B$15)</f>
        <v/>
      </c>
      <c r="D581" s="5" t="str">
        <f>IF(A581="","",MIN(B581,MAX(0,'Mortgage Inputs'!$B$17-C581)))</f>
        <v/>
      </c>
      <c r="E581" s="5" t="str">
        <f t="shared" si="16"/>
        <v/>
      </c>
      <c r="F581" s="5">
        <f>IF('Monthly Projection'!A581="",0,'Monthly Projection'!G581)</f>
        <v>0</v>
      </c>
    </row>
    <row r="582" spans="1:6">
      <c r="A582" t="str">
        <f>IF(AND('Mortgage Inputs'!$B$12,576&lt;=IF('Mortgage Inputs'!$B$12,'Mortgage Inputs'!$B$7,0)*12+600,ISNUMBER(E581),E581&gt;0.005),576,"")</f>
        <v/>
      </c>
      <c r="B582" s="5" t="str">
        <f t="shared" si="17"/>
        <v/>
      </c>
      <c r="C582" s="5" t="str">
        <f>IF(A582="","",B582*'Mortgage Inputs'!$B$15)</f>
        <v/>
      </c>
      <c r="D582" s="5" t="str">
        <f>IF(A582="","",MIN(B582,MAX(0,'Mortgage Inputs'!$B$17-C582)))</f>
        <v/>
      </c>
      <c r="E582" s="5" t="str">
        <f t="shared" si="16"/>
        <v/>
      </c>
      <c r="F582" s="5">
        <f>IF('Monthly Projection'!A582="",0,'Monthly Projection'!G582)</f>
        <v>0</v>
      </c>
    </row>
    <row r="583" spans="1:6">
      <c r="A583" t="str">
        <f>IF(AND('Mortgage Inputs'!$B$12,577&lt;=IF('Mortgage Inputs'!$B$12,'Mortgage Inputs'!$B$7,0)*12+600,ISNUMBER(E582),E582&gt;0.005),577,"")</f>
        <v/>
      </c>
      <c r="B583" s="5" t="str">
        <f t="shared" si="17"/>
        <v/>
      </c>
      <c r="C583" s="5" t="str">
        <f>IF(A583="","",B583*'Mortgage Inputs'!$B$15)</f>
        <v/>
      </c>
      <c r="D583" s="5" t="str">
        <f>IF(A583="","",MIN(B583,MAX(0,'Mortgage Inputs'!$B$17-C583)))</f>
        <v/>
      </c>
      <c r="E583" s="5" t="str">
        <f t="shared" ref="E583:E646" si="18">IF(A583="","",MAX(0,B583-D583))</f>
        <v/>
      </c>
      <c r="F583" s="5">
        <f>IF('Monthly Projection'!A583="",0,'Monthly Projection'!G583)</f>
        <v>0</v>
      </c>
    </row>
    <row r="584" spans="1:6">
      <c r="A584" t="str">
        <f>IF(AND('Mortgage Inputs'!$B$12,578&lt;=IF('Mortgage Inputs'!$B$12,'Mortgage Inputs'!$B$7,0)*12+600,ISNUMBER(E583),E583&gt;0.005),578,"")</f>
        <v/>
      </c>
      <c r="B584" s="5" t="str">
        <f t="shared" ref="B584:B647" si="19">IF(A584="","",E583)</f>
        <v/>
      </c>
      <c r="C584" s="5" t="str">
        <f>IF(A584="","",B584*'Mortgage Inputs'!$B$15)</f>
        <v/>
      </c>
      <c r="D584" s="5" t="str">
        <f>IF(A584="","",MIN(B584,MAX(0,'Mortgage Inputs'!$B$17-C584)))</f>
        <v/>
      </c>
      <c r="E584" s="5" t="str">
        <f t="shared" si="18"/>
        <v/>
      </c>
      <c r="F584" s="5">
        <f>IF('Monthly Projection'!A584="",0,'Monthly Projection'!G584)</f>
        <v>0</v>
      </c>
    </row>
    <row r="585" spans="1:6">
      <c r="A585" t="str">
        <f>IF(AND('Mortgage Inputs'!$B$12,579&lt;=IF('Mortgage Inputs'!$B$12,'Mortgage Inputs'!$B$7,0)*12+600,ISNUMBER(E584),E584&gt;0.005),579,"")</f>
        <v/>
      </c>
      <c r="B585" s="5" t="str">
        <f t="shared" si="19"/>
        <v/>
      </c>
      <c r="C585" s="5" t="str">
        <f>IF(A585="","",B585*'Mortgage Inputs'!$B$15)</f>
        <v/>
      </c>
      <c r="D585" s="5" t="str">
        <f>IF(A585="","",MIN(B585,MAX(0,'Mortgage Inputs'!$B$17-C585)))</f>
        <v/>
      </c>
      <c r="E585" s="5" t="str">
        <f t="shared" si="18"/>
        <v/>
      </c>
      <c r="F585" s="5">
        <f>IF('Monthly Projection'!A585="",0,'Monthly Projection'!G585)</f>
        <v>0</v>
      </c>
    </row>
    <row r="586" spans="1:6">
      <c r="A586" t="str">
        <f>IF(AND('Mortgage Inputs'!$B$12,580&lt;=IF('Mortgage Inputs'!$B$12,'Mortgage Inputs'!$B$7,0)*12+600,ISNUMBER(E585),E585&gt;0.005),580,"")</f>
        <v/>
      </c>
      <c r="B586" s="5" t="str">
        <f t="shared" si="19"/>
        <v/>
      </c>
      <c r="C586" s="5" t="str">
        <f>IF(A586="","",B586*'Mortgage Inputs'!$B$15)</f>
        <v/>
      </c>
      <c r="D586" s="5" t="str">
        <f>IF(A586="","",MIN(B586,MAX(0,'Mortgage Inputs'!$B$17-C586)))</f>
        <v/>
      </c>
      <c r="E586" s="5" t="str">
        <f t="shared" si="18"/>
        <v/>
      </c>
      <c r="F586" s="5">
        <f>IF('Monthly Projection'!A586="",0,'Monthly Projection'!G586)</f>
        <v>0</v>
      </c>
    </row>
    <row r="587" spans="1:6">
      <c r="A587" t="str">
        <f>IF(AND('Mortgage Inputs'!$B$12,581&lt;=IF('Mortgage Inputs'!$B$12,'Mortgage Inputs'!$B$7,0)*12+600,ISNUMBER(E586),E586&gt;0.005),581,"")</f>
        <v/>
      </c>
      <c r="B587" s="5" t="str">
        <f t="shared" si="19"/>
        <v/>
      </c>
      <c r="C587" s="5" t="str">
        <f>IF(A587="","",B587*'Mortgage Inputs'!$B$15)</f>
        <v/>
      </c>
      <c r="D587" s="5" t="str">
        <f>IF(A587="","",MIN(B587,MAX(0,'Mortgage Inputs'!$B$17-C587)))</f>
        <v/>
      </c>
      <c r="E587" s="5" t="str">
        <f t="shared" si="18"/>
        <v/>
      </c>
      <c r="F587" s="5">
        <f>IF('Monthly Projection'!A587="",0,'Monthly Projection'!G587)</f>
        <v>0</v>
      </c>
    </row>
    <row r="588" spans="1:6">
      <c r="A588" t="str">
        <f>IF(AND('Mortgage Inputs'!$B$12,582&lt;=IF('Mortgage Inputs'!$B$12,'Mortgage Inputs'!$B$7,0)*12+600,ISNUMBER(E587),E587&gt;0.005),582,"")</f>
        <v/>
      </c>
      <c r="B588" s="5" t="str">
        <f t="shared" si="19"/>
        <v/>
      </c>
      <c r="C588" s="5" t="str">
        <f>IF(A588="","",B588*'Mortgage Inputs'!$B$15)</f>
        <v/>
      </c>
      <c r="D588" s="5" t="str">
        <f>IF(A588="","",MIN(B588,MAX(0,'Mortgage Inputs'!$B$17-C588)))</f>
        <v/>
      </c>
      <c r="E588" s="5" t="str">
        <f t="shared" si="18"/>
        <v/>
      </c>
      <c r="F588" s="5">
        <f>IF('Monthly Projection'!A588="",0,'Monthly Projection'!G588)</f>
        <v>0</v>
      </c>
    </row>
    <row r="589" spans="1:6">
      <c r="A589" t="str">
        <f>IF(AND('Mortgage Inputs'!$B$12,583&lt;=IF('Mortgage Inputs'!$B$12,'Mortgage Inputs'!$B$7,0)*12+600,ISNUMBER(E588),E588&gt;0.005),583,"")</f>
        <v/>
      </c>
      <c r="B589" s="5" t="str">
        <f t="shared" si="19"/>
        <v/>
      </c>
      <c r="C589" s="5" t="str">
        <f>IF(A589="","",B589*'Mortgage Inputs'!$B$15)</f>
        <v/>
      </c>
      <c r="D589" s="5" t="str">
        <f>IF(A589="","",MIN(B589,MAX(0,'Mortgage Inputs'!$B$17-C589)))</f>
        <v/>
      </c>
      <c r="E589" s="5" t="str">
        <f t="shared" si="18"/>
        <v/>
      </c>
      <c r="F589" s="5">
        <f>IF('Monthly Projection'!A589="",0,'Monthly Projection'!G589)</f>
        <v>0</v>
      </c>
    </row>
    <row r="590" spans="1:6">
      <c r="A590" t="str">
        <f>IF(AND('Mortgage Inputs'!$B$12,584&lt;=IF('Mortgage Inputs'!$B$12,'Mortgage Inputs'!$B$7,0)*12+600,ISNUMBER(E589),E589&gt;0.005),584,"")</f>
        <v/>
      </c>
      <c r="B590" s="5" t="str">
        <f t="shared" si="19"/>
        <v/>
      </c>
      <c r="C590" s="5" t="str">
        <f>IF(A590="","",B590*'Mortgage Inputs'!$B$15)</f>
        <v/>
      </c>
      <c r="D590" s="5" t="str">
        <f>IF(A590="","",MIN(B590,MAX(0,'Mortgage Inputs'!$B$17-C590)))</f>
        <v/>
      </c>
      <c r="E590" s="5" t="str">
        <f t="shared" si="18"/>
        <v/>
      </c>
      <c r="F590" s="5">
        <f>IF('Monthly Projection'!A590="",0,'Monthly Projection'!G590)</f>
        <v>0</v>
      </c>
    </row>
    <row r="591" spans="1:6">
      <c r="A591" t="str">
        <f>IF(AND('Mortgage Inputs'!$B$12,585&lt;=IF('Mortgage Inputs'!$B$12,'Mortgage Inputs'!$B$7,0)*12+600,ISNUMBER(E590),E590&gt;0.005),585,"")</f>
        <v/>
      </c>
      <c r="B591" s="5" t="str">
        <f t="shared" si="19"/>
        <v/>
      </c>
      <c r="C591" s="5" t="str">
        <f>IF(A591="","",B591*'Mortgage Inputs'!$B$15)</f>
        <v/>
      </c>
      <c r="D591" s="5" t="str">
        <f>IF(A591="","",MIN(B591,MAX(0,'Mortgage Inputs'!$B$17-C591)))</f>
        <v/>
      </c>
      <c r="E591" s="5" t="str">
        <f t="shared" si="18"/>
        <v/>
      </c>
      <c r="F591" s="5">
        <f>IF('Monthly Projection'!A591="",0,'Monthly Projection'!G591)</f>
        <v>0</v>
      </c>
    </row>
    <row r="592" spans="1:6">
      <c r="A592" t="str">
        <f>IF(AND('Mortgage Inputs'!$B$12,586&lt;=IF('Mortgage Inputs'!$B$12,'Mortgage Inputs'!$B$7,0)*12+600,ISNUMBER(E591),E591&gt;0.005),586,"")</f>
        <v/>
      </c>
      <c r="B592" s="5" t="str">
        <f t="shared" si="19"/>
        <v/>
      </c>
      <c r="C592" s="5" t="str">
        <f>IF(A592="","",B592*'Mortgage Inputs'!$B$15)</f>
        <v/>
      </c>
      <c r="D592" s="5" t="str">
        <f>IF(A592="","",MIN(B592,MAX(0,'Mortgage Inputs'!$B$17-C592)))</f>
        <v/>
      </c>
      <c r="E592" s="5" t="str">
        <f t="shared" si="18"/>
        <v/>
      </c>
      <c r="F592" s="5">
        <f>IF('Monthly Projection'!A592="",0,'Monthly Projection'!G592)</f>
        <v>0</v>
      </c>
    </row>
    <row r="593" spans="1:6">
      <c r="A593" t="str">
        <f>IF(AND('Mortgage Inputs'!$B$12,587&lt;=IF('Mortgage Inputs'!$B$12,'Mortgage Inputs'!$B$7,0)*12+600,ISNUMBER(E592),E592&gt;0.005),587,"")</f>
        <v/>
      </c>
      <c r="B593" s="5" t="str">
        <f t="shared" si="19"/>
        <v/>
      </c>
      <c r="C593" s="5" t="str">
        <f>IF(A593="","",B593*'Mortgage Inputs'!$B$15)</f>
        <v/>
      </c>
      <c r="D593" s="5" t="str">
        <f>IF(A593="","",MIN(B593,MAX(0,'Mortgage Inputs'!$B$17-C593)))</f>
        <v/>
      </c>
      <c r="E593" s="5" t="str">
        <f t="shared" si="18"/>
        <v/>
      </c>
      <c r="F593" s="5">
        <f>IF('Monthly Projection'!A593="",0,'Monthly Projection'!G593)</f>
        <v>0</v>
      </c>
    </row>
    <row r="594" spans="1:6">
      <c r="A594" t="str">
        <f>IF(AND('Mortgage Inputs'!$B$12,588&lt;=IF('Mortgage Inputs'!$B$12,'Mortgage Inputs'!$B$7,0)*12+600,ISNUMBER(E593),E593&gt;0.005),588,"")</f>
        <v/>
      </c>
      <c r="B594" s="5" t="str">
        <f t="shared" si="19"/>
        <v/>
      </c>
      <c r="C594" s="5" t="str">
        <f>IF(A594="","",B594*'Mortgage Inputs'!$B$15)</f>
        <v/>
      </c>
      <c r="D594" s="5" t="str">
        <f>IF(A594="","",MIN(B594,MAX(0,'Mortgage Inputs'!$B$17-C594)))</f>
        <v/>
      </c>
      <c r="E594" s="5" t="str">
        <f t="shared" si="18"/>
        <v/>
      </c>
      <c r="F594" s="5">
        <f>IF('Monthly Projection'!A594="",0,'Monthly Projection'!G594)</f>
        <v>0</v>
      </c>
    </row>
    <row r="595" spans="1:6">
      <c r="A595" t="str">
        <f>IF(AND('Mortgage Inputs'!$B$12,589&lt;=IF('Mortgage Inputs'!$B$12,'Mortgage Inputs'!$B$7,0)*12+600,ISNUMBER(E594),E594&gt;0.005),589,"")</f>
        <v/>
      </c>
      <c r="B595" s="5" t="str">
        <f t="shared" si="19"/>
        <v/>
      </c>
      <c r="C595" s="5" t="str">
        <f>IF(A595="","",B595*'Mortgage Inputs'!$B$15)</f>
        <v/>
      </c>
      <c r="D595" s="5" t="str">
        <f>IF(A595="","",MIN(B595,MAX(0,'Mortgage Inputs'!$B$17-C595)))</f>
        <v/>
      </c>
      <c r="E595" s="5" t="str">
        <f t="shared" si="18"/>
        <v/>
      </c>
      <c r="F595" s="5">
        <f>IF('Monthly Projection'!A595="",0,'Monthly Projection'!G595)</f>
        <v>0</v>
      </c>
    </row>
    <row r="596" spans="1:6">
      <c r="A596" t="str">
        <f>IF(AND('Mortgage Inputs'!$B$12,590&lt;=IF('Mortgage Inputs'!$B$12,'Mortgage Inputs'!$B$7,0)*12+600,ISNUMBER(E595),E595&gt;0.005),590,"")</f>
        <v/>
      </c>
      <c r="B596" s="5" t="str">
        <f t="shared" si="19"/>
        <v/>
      </c>
      <c r="C596" s="5" t="str">
        <f>IF(A596="","",B596*'Mortgage Inputs'!$B$15)</f>
        <v/>
      </c>
      <c r="D596" s="5" t="str">
        <f>IF(A596="","",MIN(B596,MAX(0,'Mortgage Inputs'!$B$17-C596)))</f>
        <v/>
      </c>
      <c r="E596" s="5" t="str">
        <f t="shared" si="18"/>
        <v/>
      </c>
      <c r="F596" s="5">
        <f>IF('Monthly Projection'!A596="",0,'Monthly Projection'!G596)</f>
        <v>0</v>
      </c>
    </row>
    <row r="597" spans="1:6">
      <c r="A597" t="str">
        <f>IF(AND('Mortgage Inputs'!$B$12,591&lt;=IF('Mortgage Inputs'!$B$12,'Mortgage Inputs'!$B$7,0)*12+600,ISNUMBER(E596),E596&gt;0.005),591,"")</f>
        <v/>
      </c>
      <c r="B597" s="5" t="str">
        <f t="shared" si="19"/>
        <v/>
      </c>
      <c r="C597" s="5" t="str">
        <f>IF(A597="","",B597*'Mortgage Inputs'!$B$15)</f>
        <v/>
      </c>
      <c r="D597" s="5" t="str">
        <f>IF(A597="","",MIN(B597,MAX(0,'Mortgage Inputs'!$B$17-C597)))</f>
        <v/>
      </c>
      <c r="E597" s="5" t="str">
        <f t="shared" si="18"/>
        <v/>
      </c>
      <c r="F597" s="5">
        <f>IF('Monthly Projection'!A597="",0,'Monthly Projection'!G597)</f>
        <v>0</v>
      </c>
    </row>
    <row r="598" spans="1:6">
      <c r="A598" t="str">
        <f>IF(AND('Mortgage Inputs'!$B$12,592&lt;=IF('Mortgage Inputs'!$B$12,'Mortgage Inputs'!$B$7,0)*12+600,ISNUMBER(E597),E597&gt;0.005),592,"")</f>
        <v/>
      </c>
      <c r="B598" s="5" t="str">
        <f t="shared" si="19"/>
        <v/>
      </c>
      <c r="C598" s="5" t="str">
        <f>IF(A598="","",B598*'Mortgage Inputs'!$B$15)</f>
        <v/>
      </c>
      <c r="D598" s="5" t="str">
        <f>IF(A598="","",MIN(B598,MAX(0,'Mortgage Inputs'!$B$17-C598)))</f>
        <v/>
      </c>
      <c r="E598" s="5" t="str">
        <f t="shared" si="18"/>
        <v/>
      </c>
      <c r="F598" s="5">
        <f>IF('Monthly Projection'!A598="",0,'Monthly Projection'!G598)</f>
        <v>0</v>
      </c>
    </row>
    <row r="599" spans="1:6">
      <c r="A599" t="str">
        <f>IF(AND('Mortgage Inputs'!$B$12,593&lt;=IF('Mortgage Inputs'!$B$12,'Mortgage Inputs'!$B$7,0)*12+600,ISNUMBER(E598),E598&gt;0.005),593,"")</f>
        <v/>
      </c>
      <c r="B599" s="5" t="str">
        <f t="shared" si="19"/>
        <v/>
      </c>
      <c r="C599" s="5" t="str">
        <f>IF(A599="","",B599*'Mortgage Inputs'!$B$15)</f>
        <v/>
      </c>
      <c r="D599" s="5" t="str">
        <f>IF(A599="","",MIN(B599,MAX(0,'Mortgage Inputs'!$B$17-C599)))</f>
        <v/>
      </c>
      <c r="E599" s="5" t="str">
        <f t="shared" si="18"/>
        <v/>
      </c>
      <c r="F599" s="5">
        <f>IF('Monthly Projection'!A599="",0,'Monthly Projection'!G599)</f>
        <v>0</v>
      </c>
    </row>
    <row r="600" spans="1:6">
      <c r="A600" t="str">
        <f>IF(AND('Mortgage Inputs'!$B$12,594&lt;=IF('Mortgage Inputs'!$B$12,'Mortgage Inputs'!$B$7,0)*12+600,ISNUMBER(E599),E599&gt;0.005),594,"")</f>
        <v/>
      </c>
      <c r="B600" s="5" t="str">
        <f t="shared" si="19"/>
        <v/>
      </c>
      <c r="C600" s="5" t="str">
        <f>IF(A600="","",B600*'Mortgage Inputs'!$B$15)</f>
        <v/>
      </c>
      <c r="D600" s="5" t="str">
        <f>IF(A600="","",MIN(B600,MAX(0,'Mortgage Inputs'!$B$17-C600)))</f>
        <v/>
      </c>
      <c r="E600" s="5" t="str">
        <f t="shared" si="18"/>
        <v/>
      </c>
      <c r="F600" s="5">
        <f>IF('Monthly Projection'!A600="",0,'Monthly Projection'!G600)</f>
        <v>0</v>
      </c>
    </row>
    <row r="601" spans="1:6">
      <c r="A601" t="str">
        <f>IF(AND('Mortgage Inputs'!$B$12,595&lt;=IF('Mortgage Inputs'!$B$12,'Mortgage Inputs'!$B$7,0)*12+600,ISNUMBER(E600),E600&gt;0.005),595,"")</f>
        <v/>
      </c>
      <c r="B601" s="5" t="str">
        <f t="shared" si="19"/>
        <v/>
      </c>
      <c r="C601" s="5" t="str">
        <f>IF(A601="","",B601*'Mortgage Inputs'!$B$15)</f>
        <v/>
      </c>
      <c r="D601" s="5" t="str">
        <f>IF(A601="","",MIN(B601,MAX(0,'Mortgage Inputs'!$B$17-C601)))</f>
        <v/>
      </c>
      <c r="E601" s="5" t="str">
        <f t="shared" si="18"/>
        <v/>
      </c>
      <c r="F601" s="5">
        <f>IF('Monthly Projection'!A601="",0,'Monthly Projection'!G601)</f>
        <v>0</v>
      </c>
    </row>
    <row r="602" spans="1:6">
      <c r="A602" t="str">
        <f>IF(AND('Mortgage Inputs'!$B$12,596&lt;=IF('Mortgage Inputs'!$B$12,'Mortgage Inputs'!$B$7,0)*12+600,ISNUMBER(E601),E601&gt;0.005),596,"")</f>
        <v/>
      </c>
      <c r="B602" s="5" t="str">
        <f t="shared" si="19"/>
        <v/>
      </c>
      <c r="C602" s="5" t="str">
        <f>IF(A602="","",B602*'Mortgage Inputs'!$B$15)</f>
        <v/>
      </c>
      <c r="D602" s="5" t="str">
        <f>IF(A602="","",MIN(B602,MAX(0,'Mortgage Inputs'!$B$17-C602)))</f>
        <v/>
      </c>
      <c r="E602" s="5" t="str">
        <f t="shared" si="18"/>
        <v/>
      </c>
      <c r="F602" s="5">
        <f>IF('Monthly Projection'!A602="",0,'Monthly Projection'!G602)</f>
        <v>0</v>
      </c>
    </row>
    <row r="603" spans="1:6">
      <c r="A603" t="str">
        <f>IF(AND('Mortgage Inputs'!$B$12,597&lt;=IF('Mortgage Inputs'!$B$12,'Mortgage Inputs'!$B$7,0)*12+600,ISNUMBER(E602),E602&gt;0.005),597,"")</f>
        <v/>
      </c>
      <c r="B603" s="5" t="str">
        <f t="shared" si="19"/>
        <v/>
      </c>
      <c r="C603" s="5" t="str">
        <f>IF(A603="","",B603*'Mortgage Inputs'!$B$15)</f>
        <v/>
      </c>
      <c r="D603" s="5" t="str">
        <f>IF(A603="","",MIN(B603,MAX(0,'Mortgage Inputs'!$B$17-C603)))</f>
        <v/>
      </c>
      <c r="E603" s="5" t="str">
        <f t="shared" si="18"/>
        <v/>
      </c>
      <c r="F603" s="5">
        <f>IF('Monthly Projection'!A603="",0,'Monthly Projection'!G603)</f>
        <v>0</v>
      </c>
    </row>
    <row r="604" spans="1:6">
      <c r="A604" t="str">
        <f>IF(AND('Mortgage Inputs'!$B$12,598&lt;=IF('Mortgage Inputs'!$B$12,'Mortgage Inputs'!$B$7,0)*12+600,ISNUMBER(E603),E603&gt;0.005),598,"")</f>
        <v/>
      </c>
      <c r="B604" s="5" t="str">
        <f t="shared" si="19"/>
        <v/>
      </c>
      <c r="C604" s="5" t="str">
        <f>IF(A604="","",B604*'Mortgage Inputs'!$B$15)</f>
        <v/>
      </c>
      <c r="D604" s="5" t="str">
        <f>IF(A604="","",MIN(B604,MAX(0,'Mortgage Inputs'!$B$17-C604)))</f>
        <v/>
      </c>
      <c r="E604" s="5" t="str">
        <f t="shared" si="18"/>
        <v/>
      </c>
      <c r="F604" s="5">
        <f>IF('Monthly Projection'!A604="",0,'Monthly Projection'!G604)</f>
        <v>0</v>
      </c>
    </row>
    <row r="605" spans="1:6">
      <c r="A605" t="str">
        <f>IF(AND('Mortgage Inputs'!$B$12,599&lt;=IF('Mortgage Inputs'!$B$12,'Mortgage Inputs'!$B$7,0)*12+600,ISNUMBER(E604),E604&gt;0.005),599,"")</f>
        <v/>
      </c>
      <c r="B605" s="5" t="str">
        <f t="shared" si="19"/>
        <v/>
      </c>
      <c r="C605" s="5" t="str">
        <f>IF(A605="","",B605*'Mortgage Inputs'!$B$15)</f>
        <v/>
      </c>
      <c r="D605" s="5" t="str">
        <f>IF(A605="","",MIN(B605,MAX(0,'Mortgage Inputs'!$B$17-C605)))</f>
        <v/>
      </c>
      <c r="E605" s="5" t="str">
        <f t="shared" si="18"/>
        <v/>
      </c>
      <c r="F605" s="5">
        <f>IF('Monthly Projection'!A605="",0,'Monthly Projection'!G605)</f>
        <v>0</v>
      </c>
    </row>
    <row r="606" spans="1:6">
      <c r="A606" t="str">
        <f>IF(AND('Mortgage Inputs'!$B$12,600&lt;=IF('Mortgage Inputs'!$B$12,'Mortgage Inputs'!$B$7,0)*12+600,ISNUMBER(E605),E605&gt;0.005),600,"")</f>
        <v/>
      </c>
      <c r="B606" s="5" t="str">
        <f t="shared" si="19"/>
        <v/>
      </c>
      <c r="C606" s="5" t="str">
        <f>IF(A606="","",B606*'Mortgage Inputs'!$B$15)</f>
        <v/>
      </c>
      <c r="D606" s="5" t="str">
        <f>IF(A606="","",MIN(B606,MAX(0,'Mortgage Inputs'!$B$17-C606)))</f>
        <v/>
      </c>
      <c r="E606" s="5" t="str">
        <f t="shared" si="18"/>
        <v/>
      </c>
      <c r="F606" s="5">
        <f>IF('Monthly Projection'!A606="",0,'Monthly Projection'!G606)</f>
        <v>0</v>
      </c>
    </row>
    <row r="607" spans="1:6">
      <c r="A607" t="str">
        <f>IF(AND('Mortgage Inputs'!$B$12,601&lt;=IF('Mortgage Inputs'!$B$12,'Mortgage Inputs'!$B$7,0)*12+600,ISNUMBER(E606),E606&gt;0.005),601,"")</f>
        <v/>
      </c>
      <c r="B607" s="5" t="str">
        <f t="shared" si="19"/>
        <v/>
      </c>
      <c r="C607" s="5" t="str">
        <f>IF(A607="","",B607*'Mortgage Inputs'!$B$15)</f>
        <v/>
      </c>
      <c r="D607" s="5" t="str">
        <f>IF(A607="","",MIN(B607,MAX(0,'Mortgage Inputs'!$B$17-C607)))</f>
        <v/>
      </c>
      <c r="E607" s="5" t="str">
        <f t="shared" si="18"/>
        <v/>
      </c>
      <c r="F607" s="5">
        <f>IF('Monthly Projection'!A607="",0,'Monthly Projection'!G607)</f>
        <v>0</v>
      </c>
    </row>
    <row r="608" spans="1:6">
      <c r="A608" t="str">
        <f>IF(AND('Mortgage Inputs'!$B$12,602&lt;=IF('Mortgage Inputs'!$B$12,'Mortgage Inputs'!$B$7,0)*12+600,ISNUMBER(E607),E607&gt;0.005),602,"")</f>
        <v/>
      </c>
      <c r="B608" s="5" t="str">
        <f t="shared" si="19"/>
        <v/>
      </c>
      <c r="C608" s="5" t="str">
        <f>IF(A608="","",B608*'Mortgage Inputs'!$B$15)</f>
        <v/>
      </c>
      <c r="D608" s="5" t="str">
        <f>IF(A608="","",MIN(B608,MAX(0,'Mortgage Inputs'!$B$17-C608)))</f>
        <v/>
      </c>
      <c r="E608" s="5" t="str">
        <f t="shared" si="18"/>
        <v/>
      </c>
      <c r="F608" s="5">
        <f>IF('Monthly Projection'!A608="",0,'Monthly Projection'!G608)</f>
        <v>0</v>
      </c>
    </row>
    <row r="609" spans="1:6">
      <c r="A609" t="str">
        <f>IF(AND('Mortgage Inputs'!$B$12,603&lt;=IF('Mortgage Inputs'!$B$12,'Mortgage Inputs'!$B$7,0)*12+600,ISNUMBER(E608),E608&gt;0.005),603,"")</f>
        <v/>
      </c>
      <c r="B609" s="5" t="str">
        <f t="shared" si="19"/>
        <v/>
      </c>
      <c r="C609" s="5" t="str">
        <f>IF(A609="","",B609*'Mortgage Inputs'!$B$15)</f>
        <v/>
      </c>
      <c r="D609" s="5" t="str">
        <f>IF(A609="","",MIN(B609,MAX(0,'Mortgage Inputs'!$B$17-C609)))</f>
        <v/>
      </c>
      <c r="E609" s="5" t="str">
        <f t="shared" si="18"/>
        <v/>
      </c>
      <c r="F609" s="5">
        <f>IF('Monthly Projection'!A609="",0,'Monthly Projection'!G609)</f>
        <v>0</v>
      </c>
    </row>
    <row r="610" spans="1:6">
      <c r="A610" t="str">
        <f>IF(AND('Mortgage Inputs'!$B$12,604&lt;=IF('Mortgage Inputs'!$B$12,'Mortgage Inputs'!$B$7,0)*12+600,ISNUMBER(E609),E609&gt;0.005),604,"")</f>
        <v/>
      </c>
      <c r="B610" s="5" t="str">
        <f t="shared" si="19"/>
        <v/>
      </c>
      <c r="C610" s="5" t="str">
        <f>IF(A610="","",B610*'Mortgage Inputs'!$B$15)</f>
        <v/>
      </c>
      <c r="D610" s="5" t="str">
        <f>IF(A610="","",MIN(B610,MAX(0,'Mortgage Inputs'!$B$17-C610)))</f>
        <v/>
      </c>
      <c r="E610" s="5" t="str">
        <f t="shared" si="18"/>
        <v/>
      </c>
      <c r="F610" s="5">
        <f>IF('Monthly Projection'!A610="",0,'Monthly Projection'!G610)</f>
        <v>0</v>
      </c>
    </row>
    <row r="611" spans="1:6">
      <c r="A611" t="str">
        <f>IF(AND('Mortgage Inputs'!$B$12,605&lt;=IF('Mortgage Inputs'!$B$12,'Mortgage Inputs'!$B$7,0)*12+600,ISNUMBER(E610),E610&gt;0.005),605,"")</f>
        <v/>
      </c>
      <c r="B611" s="5" t="str">
        <f t="shared" si="19"/>
        <v/>
      </c>
      <c r="C611" s="5" t="str">
        <f>IF(A611="","",B611*'Mortgage Inputs'!$B$15)</f>
        <v/>
      </c>
      <c r="D611" s="5" t="str">
        <f>IF(A611="","",MIN(B611,MAX(0,'Mortgage Inputs'!$B$17-C611)))</f>
        <v/>
      </c>
      <c r="E611" s="5" t="str">
        <f t="shared" si="18"/>
        <v/>
      </c>
      <c r="F611" s="5">
        <f>IF('Monthly Projection'!A611="",0,'Monthly Projection'!G611)</f>
        <v>0</v>
      </c>
    </row>
    <row r="612" spans="1:6">
      <c r="A612" t="str">
        <f>IF(AND('Mortgage Inputs'!$B$12,606&lt;=IF('Mortgage Inputs'!$B$12,'Mortgage Inputs'!$B$7,0)*12+600,ISNUMBER(E611),E611&gt;0.005),606,"")</f>
        <v/>
      </c>
      <c r="B612" s="5" t="str">
        <f t="shared" si="19"/>
        <v/>
      </c>
      <c r="C612" s="5" t="str">
        <f>IF(A612="","",B612*'Mortgage Inputs'!$B$15)</f>
        <v/>
      </c>
      <c r="D612" s="5" t="str">
        <f>IF(A612="","",MIN(B612,MAX(0,'Mortgage Inputs'!$B$17-C612)))</f>
        <v/>
      </c>
      <c r="E612" s="5" t="str">
        <f t="shared" si="18"/>
        <v/>
      </c>
      <c r="F612" s="5">
        <f>IF('Monthly Projection'!A612="",0,'Monthly Projection'!G612)</f>
        <v>0</v>
      </c>
    </row>
    <row r="613" spans="1:6">
      <c r="A613" t="str">
        <f>IF(AND('Mortgage Inputs'!$B$12,607&lt;=IF('Mortgage Inputs'!$B$12,'Mortgage Inputs'!$B$7,0)*12+600,ISNUMBER(E612),E612&gt;0.005),607,"")</f>
        <v/>
      </c>
      <c r="B613" s="5" t="str">
        <f t="shared" si="19"/>
        <v/>
      </c>
      <c r="C613" s="5" t="str">
        <f>IF(A613="","",B613*'Mortgage Inputs'!$B$15)</f>
        <v/>
      </c>
      <c r="D613" s="5" t="str">
        <f>IF(A613="","",MIN(B613,MAX(0,'Mortgage Inputs'!$B$17-C613)))</f>
        <v/>
      </c>
      <c r="E613" s="5" t="str">
        <f t="shared" si="18"/>
        <v/>
      </c>
      <c r="F613" s="5">
        <f>IF('Monthly Projection'!A613="",0,'Monthly Projection'!G613)</f>
        <v>0</v>
      </c>
    </row>
    <row r="614" spans="1:6">
      <c r="A614" t="str">
        <f>IF(AND('Mortgage Inputs'!$B$12,608&lt;=IF('Mortgage Inputs'!$B$12,'Mortgage Inputs'!$B$7,0)*12+600,ISNUMBER(E613),E613&gt;0.005),608,"")</f>
        <v/>
      </c>
      <c r="B614" s="5" t="str">
        <f t="shared" si="19"/>
        <v/>
      </c>
      <c r="C614" s="5" t="str">
        <f>IF(A614="","",B614*'Mortgage Inputs'!$B$15)</f>
        <v/>
      </c>
      <c r="D614" s="5" t="str">
        <f>IF(A614="","",MIN(B614,MAX(0,'Mortgage Inputs'!$B$17-C614)))</f>
        <v/>
      </c>
      <c r="E614" s="5" t="str">
        <f t="shared" si="18"/>
        <v/>
      </c>
      <c r="F614" s="5">
        <f>IF('Monthly Projection'!A614="",0,'Monthly Projection'!G614)</f>
        <v>0</v>
      </c>
    </row>
    <row r="615" spans="1:6">
      <c r="A615" t="str">
        <f>IF(AND('Mortgage Inputs'!$B$12,609&lt;=IF('Mortgage Inputs'!$B$12,'Mortgage Inputs'!$B$7,0)*12+600,ISNUMBER(E614),E614&gt;0.005),609,"")</f>
        <v/>
      </c>
      <c r="B615" s="5" t="str">
        <f t="shared" si="19"/>
        <v/>
      </c>
      <c r="C615" s="5" t="str">
        <f>IF(A615="","",B615*'Mortgage Inputs'!$B$15)</f>
        <v/>
      </c>
      <c r="D615" s="5" t="str">
        <f>IF(A615="","",MIN(B615,MAX(0,'Mortgage Inputs'!$B$17-C615)))</f>
        <v/>
      </c>
      <c r="E615" s="5" t="str">
        <f t="shared" si="18"/>
        <v/>
      </c>
      <c r="F615" s="5">
        <f>IF('Monthly Projection'!A615="",0,'Monthly Projection'!G615)</f>
        <v>0</v>
      </c>
    </row>
    <row r="616" spans="1:6">
      <c r="A616" t="str">
        <f>IF(AND('Mortgage Inputs'!$B$12,610&lt;=IF('Mortgage Inputs'!$B$12,'Mortgage Inputs'!$B$7,0)*12+600,ISNUMBER(E615),E615&gt;0.005),610,"")</f>
        <v/>
      </c>
      <c r="B616" s="5" t="str">
        <f t="shared" si="19"/>
        <v/>
      </c>
      <c r="C616" s="5" t="str">
        <f>IF(A616="","",B616*'Mortgage Inputs'!$B$15)</f>
        <v/>
      </c>
      <c r="D616" s="5" t="str">
        <f>IF(A616="","",MIN(B616,MAX(0,'Mortgage Inputs'!$B$17-C616)))</f>
        <v/>
      </c>
      <c r="E616" s="5" t="str">
        <f t="shared" si="18"/>
        <v/>
      </c>
      <c r="F616" s="5">
        <f>IF('Monthly Projection'!A616="",0,'Monthly Projection'!G616)</f>
        <v>0</v>
      </c>
    </row>
    <row r="617" spans="1:6">
      <c r="A617" t="str">
        <f>IF(AND('Mortgage Inputs'!$B$12,611&lt;=IF('Mortgage Inputs'!$B$12,'Mortgage Inputs'!$B$7,0)*12+600,ISNUMBER(E616),E616&gt;0.005),611,"")</f>
        <v/>
      </c>
      <c r="B617" s="5" t="str">
        <f t="shared" si="19"/>
        <v/>
      </c>
      <c r="C617" s="5" t="str">
        <f>IF(A617="","",B617*'Mortgage Inputs'!$B$15)</f>
        <v/>
      </c>
      <c r="D617" s="5" t="str">
        <f>IF(A617="","",MIN(B617,MAX(0,'Mortgage Inputs'!$B$17-C617)))</f>
        <v/>
      </c>
      <c r="E617" s="5" t="str">
        <f t="shared" si="18"/>
        <v/>
      </c>
      <c r="F617" s="5">
        <f>IF('Monthly Projection'!A617="",0,'Monthly Projection'!G617)</f>
        <v>0</v>
      </c>
    </row>
    <row r="618" spans="1:6">
      <c r="A618" t="str">
        <f>IF(AND('Mortgage Inputs'!$B$12,612&lt;=IF('Mortgage Inputs'!$B$12,'Mortgage Inputs'!$B$7,0)*12+600,ISNUMBER(E617),E617&gt;0.005),612,"")</f>
        <v/>
      </c>
      <c r="B618" s="5" t="str">
        <f t="shared" si="19"/>
        <v/>
      </c>
      <c r="C618" s="5" t="str">
        <f>IF(A618="","",B618*'Mortgage Inputs'!$B$15)</f>
        <v/>
      </c>
      <c r="D618" s="5" t="str">
        <f>IF(A618="","",MIN(B618,MAX(0,'Mortgage Inputs'!$B$17-C618)))</f>
        <v/>
      </c>
      <c r="E618" s="5" t="str">
        <f t="shared" si="18"/>
        <v/>
      </c>
      <c r="F618" s="5">
        <f>IF('Monthly Projection'!A618="",0,'Monthly Projection'!G618)</f>
        <v>0</v>
      </c>
    </row>
    <row r="619" spans="1:6">
      <c r="A619" t="str">
        <f>IF(AND('Mortgage Inputs'!$B$12,613&lt;=IF('Mortgage Inputs'!$B$12,'Mortgage Inputs'!$B$7,0)*12+600,ISNUMBER(E618),E618&gt;0.005),613,"")</f>
        <v/>
      </c>
      <c r="B619" s="5" t="str">
        <f t="shared" si="19"/>
        <v/>
      </c>
      <c r="C619" s="5" t="str">
        <f>IF(A619="","",B619*'Mortgage Inputs'!$B$15)</f>
        <v/>
      </c>
      <c r="D619" s="5" t="str">
        <f>IF(A619="","",MIN(B619,MAX(0,'Mortgage Inputs'!$B$17-C619)))</f>
        <v/>
      </c>
      <c r="E619" s="5" t="str">
        <f t="shared" si="18"/>
        <v/>
      </c>
      <c r="F619" s="5">
        <f>IF('Monthly Projection'!A619="",0,'Monthly Projection'!G619)</f>
        <v>0</v>
      </c>
    </row>
    <row r="620" spans="1:6">
      <c r="A620" t="str">
        <f>IF(AND('Mortgage Inputs'!$B$12,614&lt;=IF('Mortgage Inputs'!$B$12,'Mortgage Inputs'!$B$7,0)*12+600,ISNUMBER(E619),E619&gt;0.005),614,"")</f>
        <v/>
      </c>
      <c r="B620" s="5" t="str">
        <f t="shared" si="19"/>
        <v/>
      </c>
      <c r="C620" s="5" t="str">
        <f>IF(A620="","",B620*'Mortgage Inputs'!$B$15)</f>
        <v/>
      </c>
      <c r="D620" s="5" t="str">
        <f>IF(A620="","",MIN(B620,MAX(0,'Mortgage Inputs'!$B$17-C620)))</f>
        <v/>
      </c>
      <c r="E620" s="5" t="str">
        <f t="shared" si="18"/>
        <v/>
      </c>
      <c r="F620" s="5">
        <f>IF('Monthly Projection'!A620="",0,'Monthly Projection'!G620)</f>
        <v>0</v>
      </c>
    </row>
    <row r="621" spans="1:6">
      <c r="A621" t="str">
        <f>IF(AND('Mortgage Inputs'!$B$12,615&lt;=IF('Mortgage Inputs'!$B$12,'Mortgage Inputs'!$B$7,0)*12+600,ISNUMBER(E620),E620&gt;0.005),615,"")</f>
        <v/>
      </c>
      <c r="B621" s="5" t="str">
        <f t="shared" si="19"/>
        <v/>
      </c>
      <c r="C621" s="5" t="str">
        <f>IF(A621="","",B621*'Mortgage Inputs'!$B$15)</f>
        <v/>
      </c>
      <c r="D621" s="5" t="str">
        <f>IF(A621="","",MIN(B621,MAX(0,'Mortgage Inputs'!$B$17-C621)))</f>
        <v/>
      </c>
      <c r="E621" s="5" t="str">
        <f t="shared" si="18"/>
        <v/>
      </c>
      <c r="F621" s="5">
        <f>IF('Monthly Projection'!A621="",0,'Monthly Projection'!G621)</f>
        <v>0</v>
      </c>
    </row>
    <row r="622" spans="1:6">
      <c r="A622" t="str">
        <f>IF(AND('Mortgage Inputs'!$B$12,616&lt;=IF('Mortgage Inputs'!$B$12,'Mortgage Inputs'!$B$7,0)*12+600,ISNUMBER(E621),E621&gt;0.005),616,"")</f>
        <v/>
      </c>
      <c r="B622" s="5" t="str">
        <f t="shared" si="19"/>
        <v/>
      </c>
      <c r="C622" s="5" t="str">
        <f>IF(A622="","",B622*'Mortgage Inputs'!$B$15)</f>
        <v/>
      </c>
      <c r="D622" s="5" t="str">
        <f>IF(A622="","",MIN(B622,MAX(0,'Mortgage Inputs'!$B$17-C622)))</f>
        <v/>
      </c>
      <c r="E622" s="5" t="str">
        <f t="shared" si="18"/>
        <v/>
      </c>
      <c r="F622" s="5">
        <f>IF('Monthly Projection'!A622="",0,'Monthly Projection'!G622)</f>
        <v>0</v>
      </c>
    </row>
    <row r="623" spans="1:6">
      <c r="A623" t="str">
        <f>IF(AND('Mortgage Inputs'!$B$12,617&lt;=IF('Mortgage Inputs'!$B$12,'Mortgage Inputs'!$B$7,0)*12+600,ISNUMBER(E622),E622&gt;0.005),617,"")</f>
        <v/>
      </c>
      <c r="B623" s="5" t="str">
        <f t="shared" si="19"/>
        <v/>
      </c>
      <c r="C623" s="5" t="str">
        <f>IF(A623="","",B623*'Mortgage Inputs'!$B$15)</f>
        <v/>
      </c>
      <c r="D623" s="5" t="str">
        <f>IF(A623="","",MIN(B623,MAX(0,'Mortgage Inputs'!$B$17-C623)))</f>
        <v/>
      </c>
      <c r="E623" s="5" t="str">
        <f t="shared" si="18"/>
        <v/>
      </c>
      <c r="F623" s="5">
        <f>IF('Monthly Projection'!A623="",0,'Monthly Projection'!G623)</f>
        <v>0</v>
      </c>
    </row>
    <row r="624" spans="1:6">
      <c r="A624" t="str">
        <f>IF(AND('Mortgage Inputs'!$B$12,618&lt;=IF('Mortgage Inputs'!$B$12,'Mortgage Inputs'!$B$7,0)*12+600,ISNUMBER(E623),E623&gt;0.005),618,"")</f>
        <v/>
      </c>
      <c r="B624" s="5" t="str">
        <f t="shared" si="19"/>
        <v/>
      </c>
      <c r="C624" s="5" t="str">
        <f>IF(A624="","",B624*'Mortgage Inputs'!$B$15)</f>
        <v/>
      </c>
      <c r="D624" s="5" t="str">
        <f>IF(A624="","",MIN(B624,MAX(0,'Mortgage Inputs'!$B$17-C624)))</f>
        <v/>
      </c>
      <c r="E624" s="5" t="str">
        <f t="shared" si="18"/>
        <v/>
      </c>
      <c r="F624" s="5">
        <f>IF('Monthly Projection'!A624="",0,'Monthly Projection'!G624)</f>
        <v>0</v>
      </c>
    </row>
    <row r="625" spans="1:6">
      <c r="A625" t="str">
        <f>IF(AND('Mortgage Inputs'!$B$12,619&lt;=IF('Mortgage Inputs'!$B$12,'Mortgage Inputs'!$B$7,0)*12+600,ISNUMBER(E624),E624&gt;0.005),619,"")</f>
        <v/>
      </c>
      <c r="B625" s="5" t="str">
        <f t="shared" si="19"/>
        <v/>
      </c>
      <c r="C625" s="5" t="str">
        <f>IF(A625="","",B625*'Mortgage Inputs'!$B$15)</f>
        <v/>
      </c>
      <c r="D625" s="5" t="str">
        <f>IF(A625="","",MIN(B625,MAX(0,'Mortgage Inputs'!$B$17-C625)))</f>
        <v/>
      </c>
      <c r="E625" s="5" t="str">
        <f t="shared" si="18"/>
        <v/>
      </c>
      <c r="F625" s="5">
        <f>IF('Monthly Projection'!A625="",0,'Monthly Projection'!G625)</f>
        <v>0</v>
      </c>
    </row>
    <row r="626" spans="1:6">
      <c r="A626" t="str">
        <f>IF(AND('Mortgage Inputs'!$B$12,620&lt;=IF('Mortgage Inputs'!$B$12,'Mortgage Inputs'!$B$7,0)*12+600,ISNUMBER(E625),E625&gt;0.005),620,"")</f>
        <v/>
      </c>
      <c r="B626" s="5" t="str">
        <f t="shared" si="19"/>
        <v/>
      </c>
      <c r="C626" s="5" t="str">
        <f>IF(A626="","",B626*'Mortgage Inputs'!$B$15)</f>
        <v/>
      </c>
      <c r="D626" s="5" t="str">
        <f>IF(A626="","",MIN(B626,MAX(0,'Mortgage Inputs'!$B$17-C626)))</f>
        <v/>
      </c>
      <c r="E626" s="5" t="str">
        <f t="shared" si="18"/>
        <v/>
      </c>
      <c r="F626" s="5">
        <f>IF('Monthly Projection'!A626="",0,'Monthly Projection'!G626)</f>
        <v>0</v>
      </c>
    </row>
    <row r="627" spans="1:6">
      <c r="A627" t="str">
        <f>IF(AND('Mortgage Inputs'!$B$12,621&lt;=IF('Mortgage Inputs'!$B$12,'Mortgage Inputs'!$B$7,0)*12+600,ISNUMBER(E626),E626&gt;0.005),621,"")</f>
        <v/>
      </c>
      <c r="B627" s="5" t="str">
        <f t="shared" si="19"/>
        <v/>
      </c>
      <c r="C627" s="5" t="str">
        <f>IF(A627="","",B627*'Mortgage Inputs'!$B$15)</f>
        <v/>
      </c>
      <c r="D627" s="5" t="str">
        <f>IF(A627="","",MIN(B627,MAX(0,'Mortgage Inputs'!$B$17-C627)))</f>
        <v/>
      </c>
      <c r="E627" s="5" t="str">
        <f t="shared" si="18"/>
        <v/>
      </c>
      <c r="F627" s="5">
        <f>IF('Monthly Projection'!A627="",0,'Monthly Projection'!G627)</f>
        <v>0</v>
      </c>
    </row>
    <row r="628" spans="1:6">
      <c r="A628" t="str">
        <f>IF(AND('Mortgage Inputs'!$B$12,622&lt;=IF('Mortgage Inputs'!$B$12,'Mortgage Inputs'!$B$7,0)*12+600,ISNUMBER(E627),E627&gt;0.005),622,"")</f>
        <v/>
      </c>
      <c r="B628" s="5" t="str">
        <f t="shared" si="19"/>
        <v/>
      </c>
      <c r="C628" s="5" t="str">
        <f>IF(A628="","",B628*'Mortgage Inputs'!$B$15)</f>
        <v/>
      </c>
      <c r="D628" s="5" t="str">
        <f>IF(A628="","",MIN(B628,MAX(0,'Mortgage Inputs'!$B$17-C628)))</f>
        <v/>
      </c>
      <c r="E628" s="5" t="str">
        <f t="shared" si="18"/>
        <v/>
      </c>
      <c r="F628" s="5">
        <f>IF('Monthly Projection'!A628="",0,'Monthly Projection'!G628)</f>
        <v>0</v>
      </c>
    </row>
    <row r="629" spans="1:6">
      <c r="A629" t="str">
        <f>IF(AND('Mortgage Inputs'!$B$12,623&lt;=IF('Mortgage Inputs'!$B$12,'Mortgage Inputs'!$B$7,0)*12+600,ISNUMBER(E628),E628&gt;0.005),623,"")</f>
        <v/>
      </c>
      <c r="B629" s="5" t="str">
        <f t="shared" si="19"/>
        <v/>
      </c>
      <c r="C629" s="5" t="str">
        <f>IF(A629="","",B629*'Mortgage Inputs'!$B$15)</f>
        <v/>
      </c>
      <c r="D629" s="5" t="str">
        <f>IF(A629="","",MIN(B629,MAX(0,'Mortgage Inputs'!$B$17-C629)))</f>
        <v/>
      </c>
      <c r="E629" s="5" t="str">
        <f t="shared" si="18"/>
        <v/>
      </c>
      <c r="F629" s="5">
        <f>IF('Monthly Projection'!A629="",0,'Monthly Projection'!G629)</f>
        <v>0</v>
      </c>
    </row>
    <row r="630" spans="1:6">
      <c r="A630" t="str">
        <f>IF(AND('Mortgage Inputs'!$B$12,624&lt;=IF('Mortgage Inputs'!$B$12,'Mortgage Inputs'!$B$7,0)*12+600,ISNUMBER(E629),E629&gt;0.005),624,"")</f>
        <v/>
      </c>
      <c r="B630" s="5" t="str">
        <f t="shared" si="19"/>
        <v/>
      </c>
      <c r="C630" s="5" t="str">
        <f>IF(A630="","",B630*'Mortgage Inputs'!$B$15)</f>
        <v/>
      </c>
      <c r="D630" s="5" t="str">
        <f>IF(A630="","",MIN(B630,MAX(0,'Mortgage Inputs'!$B$17-C630)))</f>
        <v/>
      </c>
      <c r="E630" s="5" t="str">
        <f t="shared" si="18"/>
        <v/>
      </c>
      <c r="F630" s="5">
        <f>IF('Monthly Projection'!A630="",0,'Monthly Projection'!G630)</f>
        <v>0</v>
      </c>
    </row>
    <row r="631" spans="1:6">
      <c r="A631" t="str">
        <f>IF(AND('Mortgage Inputs'!$B$12,625&lt;=IF('Mortgage Inputs'!$B$12,'Mortgage Inputs'!$B$7,0)*12+600,ISNUMBER(E630),E630&gt;0.005),625,"")</f>
        <v/>
      </c>
      <c r="B631" s="5" t="str">
        <f t="shared" si="19"/>
        <v/>
      </c>
      <c r="C631" s="5" t="str">
        <f>IF(A631="","",B631*'Mortgage Inputs'!$B$15)</f>
        <v/>
      </c>
      <c r="D631" s="5" t="str">
        <f>IF(A631="","",MIN(B631,MAX(0,'Mortgage Inputs'!$B$17-C631)))</f>
        <v/>
      </c>
      <c r="E631" s="5" t="str">
        <f t="shared" si="18"/>
        <v/>
      </c>
      <c r="F631" s="5">
        <f>IF('Monthly Projection'!A631="",0,'Monthly Projection'!G631)</f>
        <v>0</v>
      </c>
    </row>
    <row r="632" spans="1:6">
      <c r="A632" t="str">
        <f>IF(AND('Mortgage Inputs'!$B$12,626&lt;=IF('Mortgage Inputs'!$B$12,'Mortgage Inputs'!$B$7,0)*12+600,ISNUMBER(E631),E631&gt;0.005),626,"")</f>
        <v/>
      </c>
      <c r="B632" s="5" t="str">
        <f t="shared" si="19"/>
        <v/>
      </c>
      <c r="C632" s="5" t="str">
        <f>IF(A632="","",B632*'Mortgage Inputs'!$B$15)</f>
        <v/>
      </c>
      <c r="D632" s="5" t="str">
        <f>IF(A632="","",MIN(B632,MAX(0,'Mortgage Inputs'!$B$17-C632)))</f>
        <v/>
      </c>
      <c r="E632" s="5" t="str">
        <f t="shared" si="18"/>
        <v/>
      </c>
      <c r="F632" s="5">
        <f>IF('Monthly Projection'!A632="",0,'Monthly Projection'!G632)</f>
        <v>0</v>
      </c>
    </row>
    <row r="633" spans="1:6">
      <c r="A633" t="str">
        <f>IF(AND('Mortgage Inputs'!$B$12,627&lt;=IF('Mortgage Inputs'!$B$12,'Mortgage Inputs'!$B$7,0)*12+600,ISNUMBER(E632),E632&gt;0.005),627,"")</f>
        <v/>
      </c>
      <c r="B633" s="5" t="str">
        <f t="shared" si="19"/>
        <v/>
      </c>
      <c r="C633" s="5" t="str">
        <f>IF(A633="","",B633*'Mortgage Inputs'!$B$15)</f>
        <v/>
      </c>
      <c r="D633" s="5" t="str">
        <f>IF(A633="","",MIN(B633,MAX(0,'Mortgage Inputs'!$B$17-C633)))</f>
        <v/>
      </c>
      <c r="E633" s="5" t="str">
        <f t="shared" si="18"/>
        <v/>
      </c>
      <c r="F633" s="5">
        <f>IF('Monthly Projection'!A633="",0,'Monthly Projection'!G633)</f>
        <v>0</v>
      </c>
    </row>
    <row r="634" spans="1:6">
      <c r="A634" t="str">
        <f>IF(AND('Mortgage Inputs'!$B$12,628&lt;=IF('Mortgage Inputs'!$B$12,'Mortgage Inputs'!$B$7,0)*12+600,ISNUMBER(E633),E633&gt;0.005),628,"")</f>
        <v/>
      </c>
      <c r="B634" s="5" t="str">
        <f t="shared" si="19"/>
        <v/>
      </c>
      <c r="C634" s="5" t="str">
        <f>IF(A634="","",B634*'Mortgage Inputs'!$B$15)</f>
        <v/>
      </c>
      <c r="D634" s="5" t="str">
        <f>IF(A634="","",MIN(B634,MAX(0,'Mortgage Inputs'!$B$17-C634)))</f>
        <v/>
      </c>
      <c r="E634" s="5" t="str">
        <f t="shared" si="18"/>
        <v/>
      </c>
      <c r="F634" s="5">
        <f>IF('Monthly Projection'!A634="",0,'Monthly Projection'!G634)</f>
        <v>0</v>
      </c>
    </row>
    <row r="635" spans="1:6">
      <c r="A635" t="str">
        <f>IF(AND('Mortgage Inputs'!$B$12,629&lt;=IF('Mortgage Inputs'!$B$12,'Mortgage Inputs'!$B$7,0)*12+600,ISNUMBER(E634),E634&gt;0.005),629,"")</f>
        <v/>
      </c>
      <c r="B635" s="5" t="str">
        <f t="shared" si="19"/>
        <v/>
      </c>
      <c r="C635" s="5" t="str">
        <f>IF(A635="","",B635*'Mortgage Inputs'!$B$15)</f>
        <v/>
      </c>
      <c r="D635" s="5" t="str">
        <f>IF(A635="","",MIN(B635,MAX(0,'Mortgage Inputs'!$B$17-C635)))</f>
        <v/>
      </c>
      <c r="E635" s="5" t="str">
        <f t="shared" si="18"/>
        <v/>
      </c>
      <c r="F635" s="5">
        <f>IF('Monthly Projection'!A635="",0,'Monthly Projection'!G635)</f>
        <v>0</v>
      </c>
    </row>
    <row r="636" spans="1:6">
      <c r="A636" t="str">
        <f>IF(AND('Mortgage Inputs'!$B$12,630&lt;=IF('Mortgage Inputs'!$B$12,'Mortgage Inputs'!$B$7,0)*12+600,ISNUMBER(E635),E635&gt;0.005),630,"")</f>
        <v/>
      </c>
      <c r="B636" s="5" t="str">
        <f t="shared" si="19"/>
        <v/>
      </c>
      <c r="C636" s="5" t="str">
        <f>IF(A636="","",B636*'Mortgage Inputs'!$B$15)</f>
        <v/>
      </c>
      <c r="D636" s="5" t="str">
        <f>IF(A636="","",MIN(B636,MAX(0,'Mortgage Inputs'!$B$17-C636)))</f>
        <v/>
      </c>
      <c r="E636" s="5" t="str">
        <f t="shared" si="18"/>
        <v/>
      </c>
      <c r="F636" s="5">
        <f>IF('Monthly Projection'!A636="",0,'Monthly Projection'!G636)</f>
        <v>0</v>
      </c>
    </row>
    <row r="637" spans="1:6">
      <c r="A637" t="str">
        <f>IF(AND('Mortgage Inputs'!$B$12,631&lt;=IF('Mortgage Inputs'!$B$12,'Mortgage Inputs'!$B$7,0)*12+600,ISNUMBER(E636),E636&gt;0.005),631,"")</f>
        <v/>
      </c>
      <c r="B637" s="5" t="str">
        <f t="shared" si="19"/>
        <v/>
      </c>
      <c r="C637" s="5" t="str">
        <f>IF(A637="","",B637*'Mortgage Inputs'!$B$15)</f>
        <v/>
      </c>
      <c r="D637" s="5" t="str">
        <f>IF(A637="","",MIN(B637,MAX(0,'Mortgage Inputs'!$B$17-C637)))</f>
        <v/>
      </c>
      <c r="E637" s="5" t="str">
        <f t="shared" si="18"/>
        <v/>
      </c>
      <c r="F637" s="5">
        <f>IF('Monthly Projection'!A637="",0,'Monthly Projection'!G637)</f>
        <v>0</v>
      </c>
    </row>
    <row r="638" spans="1:6">
      <c r="A638" t="str">
        <f>IF(AND('Mortgage Inputs'!$B$12,632&lt;=IF('Mortgage Inputs'!$B$12,'Mortgage Inputs'!$B$7,0)*12+600,ISNUMBER(E637),E637&gt;0.005),632,"")</f>
        <v/>
      </c>
      <c r="B638" s="5" t="str">
        <f t="shared" si="19"/>
        <v/>
      </c>
      <c r="C638" s="5" t="str">
        <f>IF(A638="","",B638*'Mortgage Inputs'!$B$15)</f>
        <v/>
      </c>
      <c r="D638" s="5" t="str">
        <f>IF(A638="","",MIN(B638,MAX(0,'Mortgage Inputs'!$B$17-C638)))</f>
        <v/>
      </c>
      <c r="E638" s="5" t="str">
        <f t="shared" si="18"/>
        <v/>
      </c>
      <c r="F638" s="5">
        <f>IF('Monthly Projection'!A638="",0,'Monthly Projection'!G638)</f>
        <v>0</v>
      </c>
    </row>
    <row r="639" spans="1:6">
      <c r="A639" t="str">
        <f>IF(AND('Mortgage Inputs'!$B$12,633&lt;=IF('Mortgage Inputs'!$B$12,'Mortgage Inputs'!$B$7,0)*12+600,ISNUMBER(E638),E638&gt;0.005),633,"")</f>
        <v/>
      </c>
      <c r="B639" s="5" t="str">
        <f t="shared" si="19"/>
        <v/>
      </c>
      <c r="C639" s="5" t="str">
        <f>IF(A639="","",B639*'Mortgage Inputs'!$B$15)</f>
        <v/>
      </c>
      <c r="D639" s="5" t="str">
        <f>IF(A639="","",MIN(B639,MAX(0,'Mortgage Inputs'!$B$17-C639)))</f>
        <v/>
      </c>
      <c r="E639" s="5" t="str">
        <f t="shared" si="18"/>
        <v/>
      </c>
      <c r="F639" s="5">
        <f>IF('Monthly Projection'!A639="",0,'Monthly Projection'!G639)</f>
        <v>0</v>
      </c>
    </row>
    <row r="640" spans="1:6">
      <c r="A640" t="str">
        <f>IF(AND('Mortgage Inputs'!$B$12,634&lt;=IF('Mortgage Inputs'!$B$12,'Mortgage Inputs'!$B$7,0)*12+600,ISNUMBER(E639),E639&gt;0.005),634,"")</f>
        <v/>
      </c>
      <c r="B640" s="5" t="str">
        <f t="shared" si="19"/>
        <v/>
      </c>
      <c r="C640" s="5" t="str">
        <f>IF(A640="","",B640*'Mortgage Inputs'!$B$15)</f>
        <v/>
      </c>
      <c r="D640" s="5" t="str">
        <f>IF(A640="","",MIN(B640,MAX(0,'Mortgage Inputs'!$B$17-C640)))</f>
        <v/>
      </c>
      <c r="E640" s="5" t="str">
        <f t="shared" si="18"/>
        <v/>
      </c>
      <c r="F640" s="5">
        <f>IF('Monthly Projection'!A640="",0,'Monthly Projection'!G640)</f>
        <v>0</v>
      </c>
    </row>
    <row r="641" spans="1:6">
      <c r="A641" t="str">
        <f>IF(AND('Mortgage Inputs'!$B$12,635&lt;=IF('Mortgage Inputs'!$B$12,'Mortgage Inputs'!$B$7,0)*12+600,ISNUMBER(E640),E640&gt;0.005),635,"")</f>
        <v/>
      </c>
      <c r="B641" s="5" t="str">
        <f t="shared" si="19"/>
        <v/>
      </c>
      <c r="C641" s="5" t="str">
        <f>IF(A641="","",B641*'Mortgage Inputs'!$B$15)</f>
        <v/>
      </c>
      <c r="D641" s="5" t="str">
        <f>IF(A641="","",MIN(B641,MAX(0,'Mortgage Inputs'!$B$17-C641)))</f>
        <v/>
      </c>
      <c r="E641" s="5" t="str">
        <f t="shared" si="18"/>
        <v/>
      </c>
      <c r="F641" s="5">
        <f>IF('Monthly Projection'!A641="",0,'Monthly Projection'!G641)</f>
        <v>0</v>
      </c>
    </row>
    <row r="642" spans="1:6">
      <c r="A642" t="str">
        <f>IF(AND('Mortgage Inputs'!$B$12,636&lt;=IF('Mortgage Inputs'!$B$12,'Mortgage Inputs'!$B$7,0)*12+600,ISNUMBER(E641),E641&gt;0.005),636,"")</f>
        <v/>
      </c>
      <c r="B642" s="5" t="str">
        <f t="shared" si="19"/>
        <v/>
      </c>
      <c r="C642" s="5" t="str">
        <f>IF(A642="","",B642*'Mortgage Inputs'!$B$15)</f>
        <v/>
      </c>
      <c r="D642" s="5" t="str">
        <f>IF(A642="","",MIN(B642,MAX(0,'Mortgage Inputs'!$B$17-C642)))</f>
        <v/>
      </c>
      <c r="E642" s="5" t="str">
        <f t="shared" si="18"/>
        <v/>
      </c>
      <c r="F642" s="5">
        <f>IF('Monthly Projection'!A642="",0,'Monthly Projection'!G642)</f>
        <v>0</v>
      </c>
    </row>
    <row r="643" spans="1:6">
      <c r="A643" t="str">
        <f>IF(AND('Mortgage Inputs'!$B$12,637&lt;=IF('Mortgage Inputs'!$B$12,'Mortgage Inputs'!$B$7,0)*12+600,ISNUMBER(E642),E642&gt;0.005),637,"")</f>
        <v/>
      </c>
      <c r="B643" s="5" t="str">
        <f t="shared" si="19"/>
        <v/>
      </c>
      <c r="C643" s="5" t="str">
        <f>IF(A643="","",B643*'Mortgage Inputs'!$B$15)</f>
        <v/>
      </c>
      <c r="D643" s="5" t="str">
        <f>IF(A643="","",MIN(B643,MAX(0,'Mortgage Inputs'!$B$17-C643)))</f>
        <v/>
      </c>
      <c r="E643" s="5" t="str">
        <f t="shared" si="18"/>
        <v/>
      </c>
      <c r="F643" s="5">
        <f>IF('Monthly Projection'!A643="",0,'Monthly Projection'!G643)</f>
        <v>0</v>
      </c>
    </row>
    <row r="644" spans="1:6">
      <c r="A644" t="str">
        <f>IF(AND('Mortgage Inputs'!$B$12,638&lt;=IF('Mortgage Inputs'!$B$12,'Mortgage Inputs'!$B$7,0)*12+600,ISNUMBER(E643),E643&gt;0.005),638,"")</f>
        <v/>
      </c>
      <c r="B644" s="5" t="str">
        <f t="shared" si="19"/>
        <v/>
      </c>
      <c r="C644" s="5" t="str">
        <f>IF(A644="","",B644*'Mortgage Inputs'!$B$15)</f>
        <v/>
      </c>
      <c r="D644" s="5" t="str">
        <f>IF(A644="","",MIN(B644,MAX(0,'Mortgage Inputs'!$B$17-C644)))</f>
        <v/>
      </c>
      <c r="E644" s="5" t="str">
        <f t="shared" si="18"/>
        <v/>
      </c>
      <c r="F644" s="5">
        <f>IF('Monthly Projection'!A644="",0,'Monthly Projection'!G644)</f>
        <v>0</v>
      </c>
    </row>
    <row r="645" spans="1:6">
      <c r="A645" t="str">
        <f>IF(AND('Mortgage Inputs'!$B$12,639&lt;=IF('Mortgage Inputs'!$B$12,'Mortgage Inputs'!$B$7,0)*12+600,ISNUMBER(E644),E644&gt;0.005),639,"")</f>
        <v/>
      </c>
      <c r="B645" s="5" t="str">
        <f t="shared" si="19"/>
        <v/>
      </c>
      <c r="C645" s="5" t="str">
        <f>IF(A645="","",B645*'Mortgage Inputs'!$B$15)</f>
        <v/>
      </c>
      <c r="D645" s="5" t="str">
        <f>IF(A645="","",MIN(B645,MAX(0,'Mortgage Inputs'!$B$17-C645)))</f>
        <v/>
      </c>
      <c r="E645" s="5" t="str">
        <f t="shared" si="18"/>
        <v/>
      </c>
      <c r="F645" s="5">
        <f>IF('Monthly Projection'!A645="",0,'Monthly Projection'!G645)</f>
        <v>0</v>
      </c>
    </row>
    <row r="646" spans="1:6">
      <c r="A646" t="str">
        <f>IF(AND('Mortgage Inputs'!$B$12,640&lt;=IF('Mortgage Inputs'!$B$12,'Mortgage Inputs'!$B$7,0)*12+600,ISNUMBER(E645),E645&gt;0.005),640,"")</f>
        <v/>
      </c>
      <c r="B646" s="5" t="str">
        <f t="shared" si="19"/>
        <v/>
      </c>
      <c r="C646" s="5" t="str">
        <f>IF(A646="","",B646*'Mortgage Inputs'!$B$15)</f>
        <v/>
      </c>
      <c r="D646" s="5" t="str">
        <f>IF(A646="","",MIN(B646,MAX(0,'Mortgage Inputs'!$B$17-C646)))</f>
        <v/>
      </c>
      <c r="E646" s="5" t="str">
        <f t="shared" si="18"/>
        <v/>
      </c>
      <c r="F646" s="5">
        <f>IF('Monthly Projection'!A646="",0,'Monthly Projection'!G646)</f>
        <v>0</v>
      </c>
    </row>
    <row r="647" spans="1:6">
      <c r="A647" t="str">
        <f>IF(AND('Mortgage Inputs'!$B$12,641&lt;=IF('Mortgage Inputs'!$B$12,'Mortgage Inputs'!$B$7,0)*12+600,ISNUMBER(E646),E646&gt;0.005),641,"")</f>
        <v/>
      </c>
      <c r="B647" s="5" t="str">
        <f t="shared" si="19"/>
        <v/>
      </c>
      <c r="C647" s="5" t="str">
        <f>IF(A647="","",B647*'Mortgage Inputs'!$B$15)</f>
        <v/>
      </c>
      <c r="D647" s="5" t="str">
        <f>IF(A647="","",MIN(B647,MAX(0,'Mortgage Inputs'!$B$17-C647)))</f>
        <v/>
      </c>
      <c r="E647" s="5" t="str">
        <f t="shared" ref="E647:E710" si="20">IF(A647="","",MAX(0,B647-D647))</f>
        <v/>
      </c>
      <c r="F647" s="5">
        <f>IF('Monthly Projection'!A647="",0,'Monthly Projection'!G647)</f>
        <v>0</v>
      </c>
    </row>
    <row r="648" spans="1:6">
      <c r="A648" t="str">
        <f>IF(AND('Mortgage Inputs'!$B$12,642&lt;=IF('Mortgage Inputs'!$B$12,'Mortgage Inputs'!$B$7,0)*12+600,ISNUMBER(E647),E647&gt;0.005),642,"")</f>
        <v/>
      </c>
      <c r="B648" s="5" t="str">
        <f t="shared" ref="B648:B711" si="21">IF(A648="","",E647)</f>
        <v/>
      </c>
      <c r="C648" s="5" t="str">
        <f>IF(A648="","",B648*'Mortgage Inputs'!$B$15)</f>
        <v/>
      </c>
      <c r="D648" s="5" t="str">
        <f>IF(A648="","",MIN(B648,MAX(0,'Mortgage Inputs'!$B$17-C648)))</f>
        <v/>
      </c>
      <c r="E648" s="5" t="str">
        <f t="shared" si="20"/>
        <v/>
      </c>
      <c r="F648" s="5">
        <f>IF('Monthly Projection'!A648="",0,'Monthly Projection'!G648)</f>
        <v>0</v>
      </c>
    </row>
    <row r="649" spans="1:6">
      <c r="A649" t="str">
        <f>IF(AND('Mortgage Inputs'!$B$12,643&lt;=IF('Mortgage Inputs'!$B$12,'Mortgage Inputs'!$B$7,0)*12+600,ISNUMBER(E648),E648&gt;0.005),643,"")</f>
        <v/>
      </c>
      <c r="B649" s="5" t="str">
        <f t="shared" si="21"/>
        <v/>
      </c>
      <c r="C649" s="5" t="str">
        <f>IF(A649="","",B649*'Mortgage Inputs'!$B$15)</f>
        <v/>
      </c>
      <c r="D649" s="5" t="str">
        <f>IF(A649="","",MIN(B649,MAX(0,'Mortgage Inputs'!$B$17-C649)))</f>
        <v/>
      </c>
      <c r="E649" s="5" t="str">
        <f t="shared" si="20"/>
        <v/>
      </c>
      <c r="F649" s="5">
        <f>IF('Monthly Projection'!A649="",0,'Monthly Projection'!G649)</f>
        <v>0</v>
      </c>
    </row>
    <row r="650" spans="1:6">
      <c r="A650" t="str">
        <f>IF(AND('Mortgage Inputs'!$B$12,644&lt;=IF('Mortgage Inputs'!$B$12,'Mortgage Inputs'!$B$7,0)*12+600,ISNUMBER(E649),E649&gt;0.005),644,"")</f>
        <v/>
      </c>
      <c r="B650" s="5" t="str">
        <f t="shared" si="21"/>
        <v/>
      </c>
      <c r="C650" s="5" t="str">
        <f>IF(A650="","",B650*'Mortgage Inputs'!$B$15)</f>
        <v/>
      </c>
      <c r="D650" s="5" t="str">
        <f>IF(A650="","",MIN(B650,MAX(0,'Mortgage Inputs'!$B$17-C650)))</f>
        <v/>
      </c>
      <c r="E650" s="5" t="str">
        <f t="shared" si="20"/>
        <v/>
      </c>
      <c r="F650" s="5">
        <f>IF('Monthly Projection'!A650="",0,'Monthly Projection'!G650)</f>
        <v>0</v>
      </c>
    </row>
    <row r="651" spans="1:6">
      <c r="A651" t="str">
        <f>IF(AND('Mortgage Inputs'!$B$12,645&lt;=IF('Mortgage Inputs'!$B$12,'Mortgage Inputs'!$B$7,0)*12+600,ISNUMBER(E650),E650&gt;0.005),645,"")</f>
        <v/>
      </c>
      <c r="B651" s="5" t="str">
        <f t="shared" si="21"/>
        <v/>
      </c>
      <c r="C651" s="5" t="str">
        <f>IF(A651="","",B651*'Mortgage Inputs'!$B$15)</f>
        <v/>
      </c>
      <c r="D651" s="5" t="str">
        <f>IF(A651="","",MIN(B651,MAX(0,'Mortgage Inputs'!$B$17-C651)))</f>
        <v/>
      </c>
      <c r="E651" s="5" t="str">
        <f t="shared" si="20"/>
        <v/>
      </c>
      <c r="F651" s="5">
        <f>IF('Monthly Projection'!A651="",0,'Monthly Projection'!G651)</f>
        <v>0</v>
      </c>
    </row>
    <row r="652" spans="1:6">
      <c r="A652" t="str">
        <f>IF(AND('Mortgage Inputs'!$B$12,646&lt;=IF('Mortgage Inputs'!$B$12,'Mortgage Inputs'!$B$7,0)*12+600,ISNUMBER(E651),E651&gt;0.005),646,"")</f>
        <v/>
      </c>
      <c r="B652" s="5" t="str">
        <f t="shared" si="21"/>
        <v/>
      </c>
      <c r="C652" s="5" t="str">
        <f>IF(A652="","",B652*'Mortgage Inputs'!$B$15)</f>
        <v/>
      </c>
      <c r="D652" s="5" t="str">
        <f>IF(A652="","",MIN(B652,MAX(0,'Mortgage Inputs'!$B$17-C652)))</f>
        <v/>
      </c>
      <c r="E652" s="5" t="str">
        <f t="shared" si="20"/>
        <v/>
      </c>
      <c r="F652" s="5">
        <f>IF('Monthly Projection'!A652="",0,'Monthly Projection'!G652)</f>
        <v>0</v>
      </c>
    </row>
    <row r="653" spans="1:6">
      <c r="A653" t="str">
        <f>IF(AND('Mortgage Inputs'!$B$12,647&lt;=IF('Mortgage Inputs'!$B$12,'Mortgage Inputs'!$B$7,0)*12+600,ISNUMBER(E652),E652&gt;0.005),647,"")</f>
        <v/>
      </c>
      <c r="B653" s="5" t="str">
        <f t="shared" si="21"/>
        <v/>
      </c>
      <c r="C653" s="5" t="str">
        <f>IF(A653="","",B653*'Mortgage Inputs'!$B$15)</f>
        <v/>
      </c>
      <c r="D653" s="5" t="str">
        <f>IF(A653="","",MIN(B653,MAX(0,'Mortgage Inputs'!$B$17-C653)))</f>
        <v/>
      </c>
      <c r="E653" s="5" t="str">
        <f t="shared" si="20"/>
        <v/>
      </c>
      <c r="F653" s="5">
        <f>IF('Monthly Projection'!A653="",0,'Monthly Projection'!G653)</f>
        <v>0</v>
      </c>
    </row>
    <row r="654" spans="1:6">
      <c r="A654" t="str">
        <f>IF(AND('Mortgage Inputs'!$B$12,648&lt;=IF('Mortgage Inputs'!$B$12,'Mortgage Inputs'!$B$7,0)*12+600,ISNUMBER(E653),E653&gt;0.005),648,"")</f>
        <v/>
      </c>
      <c r="B654" s="5" t="str">
        <f t="shared" si="21"/>
        <v/>
      </c>
      <c r="C654" s="5" t="str">
        <f>IF(A654="","",B654*'Mortgage Inputs'!$B$15)</f>
        <v/>
      </c>
      <c r="D654" s="5" t="str">
        <f>IF(A654="","",MIN(B654,MAX(0,'Mortgage Inputs'!$B$17-C654)))</f>
        <v/>
      </c>
      <c r="E654" s="5" t="str">
        <f t="shared" si="20"/>
        <v/>
      </c>
      <c r="F654" s="5">
        <f>IF('Monthly Projection'!A654="",0,'Monthly Projection'!G654)</f>
        <v>0</v>
      </c>
    </row>
    <row r="655" spans="1:6">
      <c r="A655" t="str">
        <f>IF(AND('Mortgage Inputs'!$B$12,649&lt;=IF('Mortgage Inputs'!$B$12,'Mortgage Inputs'!$B$7,0)*12+600,ISNUMBER(E654),E654&gt;0.005),649,"")</f>
        <v/>
      </c>
      <c r="B655" s="5" t="str">
        <f t="shared" si="21"/>
        <v/>
      </c>
      <c r="C655" s="5" t="str">
        <f>IF(A655="","",B655*'Mortgage Inputs'!$B$15)</f>
        <v/>
      </c>
      <c r="D655" s="5" t="str">
        <f>IF(A655="","",MIN(B655,MAX(0,'Mortgage Inputs'!$B$17-C655)))</f>
        <v/>
      </c>
      <c r="E655" s="5" t="str">
        <f t="shared" si="20"/>
        <v/>
      </c>
      <c r="F655" s="5">
        <f>IF('Monthly Projection'!A655="",0,'Monthly Projection'!G655)</f>
        <v>0</v>
      </c>
    </row>
    <row r="656" spans="1:6">
      <c r="A656" t="str">
        <f>IF(AND('Mortgage Inputs'!$B$12,650&lt;=IF('Mortgage Inputs'!$B$12,'Mortgage Inputs'!$B$7,0)*12+600,ISNUMBER(E655),E655&gt;0.005),650,"")</f>
        <v/>
      </c>
      <c r="B656" s="5" t="str">
        <f t="shared" si="21"/>
        <v/>
      </c>
      <c r="C656" s="5" t="str">
        <f>IF(A656="","",B656*'Mortgage Inputs'!$B$15)</f>
        <v/>
      </c>
      <c r="D656" s="5" t="str">
        <f>IF(A656="","",MIN(B656,MAX(0,'Mortgage Inputs'!$B$17-C656)))</f>
        <v/>
      </c>
      <c r="E656" s="5" t="str">
        <f t="shared" si="20"/>
        <v/>
      </c>
      <c r="F656" s="5">
        <f>IF('Monthly Projection'!A656="",0,'Monthly Projection'!G656)</f>
        <v>0</v>
      </c>
    </row>
    <row r="657" spans="1:6">
      <c r="A657" t="str">
        <f>IF(AND('Mortgage Inputs'!$B$12,651&lt;=IF('Mortgage Inputs'!$B$12,'Mortgage Inputs'!$B$7,0)*12+600,ISNUMBER(E656),E656&gt;0.005),651,"")</f>
        <v/>
      </c>
      <c r="B657" s="5" t="str">
        <f t="shared" si="21"/>
        <v/>
      </c>
      <c r="C657" s="5" t="str">
        <f>IF(A657="","",B657*'Mortgage Inputs'!$B$15)</f>
        <v/>
      </c>
      <c r="D657" s="5" t="str">
        <f>IF(A657="","",MIN(B657,MAX(0,'Mortgage Inputs'!$B$17-C657)))</f>
        <v/>
      </c>
      <c r="E657" s="5" t="str">
        <f t="shared" si="20"/>
        <v/>
      </c>
      <c r="F657" s="5">
        <f>IF('Monthly Projection'!A657="",0,'Monthly Projection'!G657)</f>
        <v>0</v>
      </c>
    </row>
    <row r="658" spans="1:6">
      <c r="A658" t="str">
        <f>IF(AND('Mortgage Inputs'!$B$12,652&lt;=IF('Mortgage Inputs'!$B$12,'Mortgage Inputs'!$B$7,0)*12+600,ISNUMBER(E657),E657&gt;0.005),652,"")</f>
        <v/>
      </c>
      <c r="B658" s="5" t="str">
        <f t="shared" si="21"/>
        <v/>
      </c>
      <c r="C658" s="5" t="str">
        <f>IF(A658="","",B658*'Mortgage Inputs'!$B$15)</f>
        <v/>
      </c>
      <c r="D658" s="5" t="str">
        <f>IF(A658="","",MIN(B658,MAX(0,'Mortgage Inputs'!$B$17-C658)))</f>
        <v/>
      </c>
      <c r="E658" s="5" t="str">
        <f t="shared" si="20"/>
        <v/>
      </c>
      <c r="F658" s="5">
        <f>IF('Monthly Projection'!A658="",0,'Monthly Projection'!G658)</f>
        <v>0</v>
      </c>
    </row>
    <row r="659" spans="1:6">
      <c r="A659" t="str">
        <f>IF(AND('Mortgage Inputs'!$B$12,653&lt;=IF('Mortgage Inputs'!$B$12,'Mortgage Inputs'!$B$7,0)*12+600,ISNUMBER(E658),E658&gt;0.005),653,"")</f>
        <v/>
      </c>
      <c r="B659" s="5" t="str">
        <f t="shared" si="21"/>
        <v/>
      </c>
      <c r="C659" s="5" t="str">
        <f>IF(A659="","",B659*'Mortgage Inputs'!$B$15)</f>
        <v/>
      </c>
      <c r="D659" s="5" t="str">
        <f>IF(A659="","",MIN(B659,MAX(0,'Mortgage Inputs'!$B$17-C659)))</f>
        <v/>
      </c>
      <c r="E659" s="5" t="str">
        <f t="shared" si="20"/>
        <v/>
      </c>
      <c r="F659" s="5">
        <f>IF('Monthly Projection'!A659="",0,'Monthly Projection'!G659)</f>
        <v>0</v>
      </c>
    </row>
    <row r="660" spans="1:6">
      <c r="A660" t="str">
        <f>IF(AND('Mortgage Inputs'!$B$12,654&lt;=IF('Mortgage Inputs'!$B$12,'Mortgage Inputs'!$B$7,0)*12+600,ISNUMBER(E659),E659&gt;0.005),654,"")</f>
        <v/>
      </c>
      <c r="B660" s="5" t="str">
        <f t="shared" si="21"/>
        <v/>
      </c>
      <c r="C660" s="5" t="str">
        <f>IF(A660="","",B660*'Mortgage Inputs'!$B$15)</f>
        <v/>
      </c>
      <c r="D660" s="5" t="str">
        <f>IF(A660="","",MIN(B660,MAX(0,'Mortgage Inputs'!$B$17-C660)))</f>
        <v/>
      </c>
      <c r="E660" s="5" t="str">
        <f t="shared" si="20"/>
        <v/>
      </c>
      <c r="F660" s="5">
        <f>IF('Monthly Projection'!A660="",0,'Monthly Projection'!G660)</f>
        <v>0</v>
      </c>
    </row>
    <row r="661" spans="1:6">
      <c r="A661" t="str">
        <f>IF(AND('Mortgage Inputs'!$B$12,655&lt;=IF('Mortgage Inputs'!$B$12,'Mortgage Inputs'!$B$7,0)*12+600,ISNUMBER(E660),E660&gt;0.005),655,"")</f>
        <v/>
      </c>
      <c r="B661" s="5" t="str">
        <f t="shared" si="21"/>
        <v/>
      </c>
      <c r="C661" s="5" t="str">
        <f>IF(A661="","",B661*'Mortgage Inputs'!$B$15)</f>
        <v/>
      </c>
      <c r="D661" s="5" t="str">
        <f>IF(A661="","",MIN(B661,MAX(0,'Mortgage Inputs'!$B$17-C661)))</f>
        <v/>
      </c>
      <c r="E661" s="5" t="str">
        <f t="shared" si="20"/>
        <v/>
      </c>
      <c r="F661" s="5">
        <f>IF('Monthly Projection'!A661="",0,'Monthly Projection'!G661)</f>
        <v>0</v>
      </c>
    </row>
    <row r="662" spans="1:6">
      <c r="A662" t="str">
        <f>IF(AND('Mortgage Inputs'!$B$12,656&lt;=IF('Mortgage Inputs'!$B$12,'Mortgage Inputs'!$B$7,0)*12+600,ISNUMBER(E661),E661&gt;0.005),656,"")</f>
        <v/>
      </c>
      <c r="B662" s="5" t="str">
        <f t="shared" si="21"/>
        <v/>
      </c>
      <c r="C662" s="5" t="str">
        <f>IF(A662="","",B662*'Mortgage Inputs'!$B$15)</f>
        <v/>
      </c>
      <c r="D662" s="5" t="str">
        <f>IF(A662="","",MIN(B662,MAX(0,'Mortgage Inputs'!$B$17-C662)))</f>
        <v/>
      </c>
      <c r="E662" s="5" t="str">
        <f t="shared" si="20"/>
        <v/>
      </c>
      <c r="F662" s="5">
        <f>IF('Monthly Projection'!A662="",0,'Monthly Projection'!G662)</f>
        <v>0</v>
      </c>
    </row>
    <row r="663" spans="1:6">
      <c r="A663" t="str">
        <f>IF(AND('Mortgage Inputs'!$B$12,657&lt;=IF('Mortgage Inputs'!$B$12,'Mortgage Inputs'!$B$7,0)*12+600,ISNUMBER(E662),E662&gt;0.005),657,"")</f>
        <v/>
      </c>
      <c r="B663" s="5" t="str">
        <f t="shared" si="21"/>
        <v/>
      </c>
      <c r="C663" s="5" t="str">
        <f>IF(A663="","",B663*'Mortgage Inputs'!$B$15)</f>
        <v/>
      </c>
      <c r="D663" s="5" t="str">
        <f>IF(A663="","",MIN(B663,MAX(0,'Mortgage Inputs'!$B$17-C663)))</f>
        <v/>
      </c>
      <c r="E663" s="5" t="str">
        <f t="shared" si="20"/>
        <v/>
      </c>
      <c r="F663" s="5">
        <f>IF('Monthly Projection'!A663="",0,'Monthly Projection'!G663)</f>
        <v>0</v>
      </c>
    </row>
    <row r="664" spans="1:6">
      <c r="A664" t="str">
        <f>IF(AND('Mortgage Inputs'!$B$12,658&lt;=IF('Mortgage Inputs'!$B$12,'Mortgage Inputs'!$B$7,0)*12+600,ISNUMBER(E663),E663&gt;0.005),658,"")</f>
        <v/>
      </c>
      <c r="B664" s="5" t="str">
        <f t="shared" si="21"/>
        <v/>
      </c>
      <c r="C664" s="5" t="str">
        <f>IF(A664="","",B664*'Mortgage Inputs'!$B$15)</f>
        <v/>
      </c>
      <c r="D664" s="5" t="str">
        <f>IF(A664="","",MIN(B664,MAX(0,'Mortgage Inputs'!$B$17-C664)))</f>
        <v/>
      </c>
      <c r="E664" s="5" t="str">
        <f t="shared" si="20"/>
        <v/>
      </c>
      <c r="F664" s="5">
        <f>IF('Monthly Projection'!A664="",0,'Monthly Projection'!G664)</f>
        <v>0</v>
      </c>
    </row>
    <row r="665" spans="1:6">
      <c r="A665" t="str">
        <f>IF(AND('Mortgage Inputs'!$B$12,659&lt;=IF('Mortgage Inputs'!$B$12,'Mortgage Inputs'!$B$7,0)*12+600,ISNUMBER(E664),E664&gt;0.005),659,"")</f>
        <v/>
      </c>
      <c r="B665" s="5" t="str">
        <f t="shared" si="21"/>
        <v/>
      </c>
      <c r="C665" s="5" t="str">
        <f>IF(A665="","",B665*'Mortgage Inputs'!$B$15)</f>
        <v/>
      </c>
      <c r="D665" s="5" t="str">
        <f>IF(A665="","",MIN(B665,MAX(0,'Mortgage Inputs'!$B$17-C665)))</f>
        <v/>
      </c>
      <c r="E665" s="5" t="str">
        <f t="shared" si="20"/>
        <v/>
      </c>
      <c r="F665" s="5">
        <f>IF('Monthly Projection'!A665="",0,'Monthly Projection'!G665)</f>
        <v>0</v>
      </c>
    </row>
    <row r="666" spans="1:6">
      <c r="A666" t="str">
        <f>IF(AND('Mortgage Inputs'!$B$12,660&lt;=IF('Mortgage Inputs'!$B$12,'Mortgage Inputs'!$B$7,0)*12+600,ISNUMBER(E665),E665&gt;0.005),660,"")</f>
        <v/>
      </c>
      <c r="B666" s="5" t="str">
        <f t="shared" si="21"/>
        <v/>
      </c>
      <c r="C666" s="5" t="str">
        <f>IF(A666="","",B666*'Mortgage Inputs'!$B$15)</f>
        <v/>
      </c>
      <c r="D666" s="5" t="str">
        <f>IF(A666="","",MIN(B666,MAX(0,'Mortgage Inputs'!$B$17-C666)))</f>
        <v/>
      </c>
      <c r="E666" s="5" t="str">
        <f t="shared" si="20"/>
        <v/>
      </c>
      <c r="F666" s="5">
        <f>IF('Monthly Projection'!A666="",0,'Monthly Projection'!G666)</f>
        <v>0</v>
      </c>
    </row>
    <row r="667" spans="1:6">
      <c r="A667" t="str">
        <f>IF(AND('Mortgage Inputs'!$B$12,661&lt;=IF('Mortgage Inputs'!$B$12,'Mortgage Inputs'!$B$7,0)*12+600,ISNUMBER(E666),E666&gt;0.005),661,"")</f>
        <v/>
      </c>
      <c r="B667" s="5" t="str">
        <f t="shared" si="21"/>
        <v/>
      </c>
      <c r="C667" s="5" t="str">
        <f>IF(A667="","",B667*'Mortgage Inputs'!$B$15)</f>
        <v/>
      </c>
      <c r="D667" s="5" t="str">
        <f>IF(A667="","",MIN(B667,MAX(0,'Mortgage Inputs'!$B$17-C667)))</f>
        <v/>
      </c>
      <c r="E667" s="5" t="str">
        <f t="shared" si="20"/>
        <v/>
      </c>
      <c r="F667" s="5">
        <f>IF('Monthly Projection'!A667="",0,'Monthly Projection'!G667)</f>
        <v>0</v>
      </c>
    </row>
    <row r="668" spans="1:6">
      <c r="A668" t="str">
        <f>IF(AND('Mortgage Inputs'!$B$12,662&lt;=IF('Mortgage Inputs'!$B$12,'Mortgage Inputs'!$B$7,0)*12+600,ISNUMBER(E667),E667&gt;0.005),662,"")</f>
        <v/>
      </c>
      <c r="B668" s="5" t="str">
        <f t="shared" si="21"/>
        <v/>
      </c>
      <c r="C668" s="5" t="str">
        <f>IF(A668="","",B668*'Mortgage Inputs'!$B$15)</f>
        <v/>
      </c>
      <c r="D668" s="5" t="str">
        <f>IF(A668="","",MIN(B668,MAX(0,'Mortgage Inputs'!$B$17-C668)))</f>
        <v/>
      </c>
      <c r="E668" s="5" t="str">
        <f t="shared" si="20"/>
        <v/>
      </c>
      <c r="F668" s="5">
        <f>IF('Monthly Projection'!A668="",0,'Monthly Projection'!G668)</f>
        <v>0</v>
      </c>
    </row>
    <row r="669" spans="1:6">
      <c r="A669" t="str">
        <f>IF(AND('Mortgage Inputs'!$B$12,663&lt;=IF('Mortgage Inputs'!$B$12,'Mortgage Inputs'!$B$7,0)*12+600,ISNUMBER(E668),E668&gt;0.005),663,"")</f>
        <v/>
      </c>
      <c r="B669" s="5" t="str">
        <f t="shared" si="21"/>
        <v/>
      </c>
      <c r="C669" s="5" t="str">
        <f>IF(A669="","",B669*'Mortgage Inputs'!$B$15)</f>
        <v/>
      </c>
      <c r="D669" s="5" t="str">
        <f>IF(A669="","",MIN(B669,MAX(0,'Mortgage Inputs'!$B$17-C669)))</f>
        <v/>
      </c>
      <c r="E669" s="5" t="str">
        <f t="shared" si="20"/>
        <v/>
      </c>
      <c r="F669" s="5">
        <f>IF('Monthly Projection'!A669="",0,'Monthly Projection'!G669)</f>
        <v>0</v>
      </c>
    </row>
    <row r="670" spans="1:6">
      <c r="A670" t="str">
        <f>IF(AND('Mortgage Inputs'!$B$12,664&lt;=IF('Mortgage Inputs'!$B$12,'Mortgage Inputs'!$B$7,0)*12+600,ISNUMBER(E669),E669&gt;0.005),664,"")</f>
        <v/>
      </c>
      <c r="B670" s="5" t="str">
        <f t="shared" si="21"/>
        <v/>
      </c>
      <c r="C670" s="5" t="str">
        <f>IF(A670="","",B670*'Mortgage Inputs'!$B$15)</f>
        <v/>
      </c>
      <c r="D670" s="5" t="str">
        <f>IF(A670="","",MIN(B670,MAX(0,'Mortgage Inputs'!$B$17-C670)))</f>
        <v/>
      </c>
      <c r="E670" s="5" t="str">
        <f t="shared" si="20"/>
        <v/>
      </c>
      <c r="F670" s="5">
        <f>IF('Monthly Projection'!A670="",0,'Monthly Projection'!G670)</f>
        <v>0</v>
      </c>
    </row>
    <row r="671" spans="1:6">
      <c r="A671" t="str">
        <f>IF(AND('Mortgage Inputs'!$B$12,665&lt;=IF('Mortgage Inputs'!$B$12,'Mortgage Inputs'!$B$7,0)*12+600,ISNUMBER(E670),E670&gt;0.005),665,"")</f>
        <v/>
      </c>
      <c r="B671" s="5" t="str">
        <f t="shared" si="21"/>
        <v/>
      </c>
      <c r="C671" s="5" t="str">
        <f>IF(A671="","",B671*'Mortgage Inputs'!$B$15)</f>
        <v/>
      </c>
      <c r="D671" s="5" t="str">
        <f>IF(A671="","",MIN(B671,MAX(0,'Mortgage Inputs'!$B$17-C671)))</f>
        <v/>
      </c>
      <c r="E671" s="5" t="str">
        <f t="shared" si="20"/>
        <v/>
      </c>
      <c r="F671" s="5">
        <f>IF('Monthly Projection'!A671="",0,'Monthly Projection'!G671)</f>
        <v>0</v>
      </c>
    </row>
    <row r="672" spans="1:6">
      <c r="A672" t="str">
        <f>IF(AND('Mortgage Inputs'!$B$12,666&lt;=IF('Mortgage Inputs'!$B$12,'Mortgage Inputs'!$B$7,0)*12+600,ISNUMBER(E671),E671&gt;0.005),666,"")</f>
        <v/>
      </c>
      <c r="B672" s="5" t="str">
        <f t="shared" si="21"/>
        <v/>
      </c>
      <c r="C672" s="5" t="str">
        <f>IF(A672="","",B672*'Mortgage Inputs'!$B$15)</f>
        <v/>
      </c>
      <c r="D672" s="5" t="str">
        <f>IF(A672="","",MIN(B672,MAX(0,'Mortgage Inputs'!$B$17-C672)))</f>
        <v/>
      </c>
      <c r="E672" s="5" t="str">
        <f t="shared" si="20"/>
        <v/>
      </c>
      <c r="F672" s="5">
        <f>IF('Monthly Projection'!A672="",0,'Monthly Projection'!G672)</f>
        <v>0</v>
      </c>
    </row>
    <row r="673" spans="1:6">
      <c r="A673" t="str">
        <f>IF(AND('Mortgage Inputs'!$B$12,667&lt;=IF('Mortgage Inputs'!$B$12,'Mortgage Inputs'!$B$7,0)*12+600,ISNUMBER(E672),E672&gt;0.005),667,"")</f>
        <v/>
      </c>
      <c r="B673" s="5" t="str">
        <f t="shared" si="21"/>
        <v/>
      </c>
      <c r="C673" s="5" t="str">
        <f>IF(A673="","",B673*'Mortgage Inputs'!$B$15)</f>
        <v/>
      </c>
      <c r="D673" s="5" t="str">
        <f>IF(A673="","",MIN(B673,MAX(0,'Mortgage Inputs'!$B$17-C673)))</f>
        <v/>
      </c>
      <c r="E673" s="5" t="str">
        <f t="shared" si="20"/>
        <v/>
      </c>
      <c r="F673" s="5">
        <f>IF('Monthly Projection'!A673="",0,'Monthly Projection'!G673)</f>
        <v>0</v>
      </c>
    </row>
    <row r="674" spans="1:6">
      <c r="A674" t="str">
        <f>IF(AND('Mortgage Inputs'!$B$12,668&lt;=IF('Mortgage Inputs'!$B$12,'Mortgage Inputs'!$B$7,0)*12+600,ISNUMBER(E673),E673&gt;0.005),668,"")</f>
        <v/>
      </c>
      <c r="B674" s="5" t="str">
        <f t="shared" si="21"/>
        <v/>
      </c>
      <c r="C674" s="5" t="str">
        <f>IF(A674="","",B674*'Mortgage Inputs'!$B$15)</f>
        <v/>
      </c>
      <c r="D674" s="5" t="str">
        <f>IF(A674="","",MIN(B674,MAX(0,'Mortgage Inputs'!$B$17-C674)))</f>
        <v/>
      </c>
      <c r="E674" s="5" t="str">
        <f t="shared" si="20"/>
        <v/>
      </c>
      <c r="F674" s="5">
        <f>IF('Monthly Projection'!A674="",0,'Monthly Projection'!G674)</f>
        <v>0</v>
      </c>
    </row>
    <row r="675" spans="1:6">
      <c r="A675" t="str">
        <f>IF(AND('Mortgage Inputs'!$B$12,669&lt;=IF('Mortgage Inputs'!$B$12,'Mortgage Inputs'!$B$7,0)*12+600,ISNUMBER(E674),E674&gt;0.005),669,"")</f>
        <v/>
      </c>
      <c r="B675" s="5" t="str">
        <f t="shared" si="21"/>
        <v/>
      </c>
      <c r="C675" s="5" t="str">
        <f>IF(A675="","",B675*'Mortgage Inputs'!$B$15)</f>
        <v/>
      </c>
      <c r="D675" s="5" t="str">
        <f>IF(A675="","",MIN(B675,MAX(0,'Mortgage Inputs'!$B$17-C675)))</f>
        <v/>
      </c>
      <c r="E675" s="5" t="str">
        <f t="shared" si="20"/>
        <v/>
      </c>
      <c r="F675" s="5">
        <f>IF('Monthly Projection'!A675="",0,'Monthly Projection'!G675)</f>
        <v>0</v>
      </c>
    </row>
    <row r="676" spans="1:6">
      <c r="A676" t="str">
        <f>IF(AND('Mortgage Inputs'!$B$12,670&lt;=IF('Mortgage Inputs'!$B$12,'Mortgage Inputs'!$B$7,0)*12+600,ISNUMBER(E675),E675&gt;0.005),670,"")</f>
        <v/>
      </c>
      <c r="B676" s="5" t="str">
        <f t="shared" si="21"/>
        <v/>
      </c>
      <c r="C676" s="5" t="str">
        <f>IF(A676="","",B676*'Mortgage Inputs'!$B$15)</f>
        <v/>
      </c>
      <c r="D676" s="5" t="str">
        <f>IF(A676="","",MIN(B676,MAX(0,'Mortgage Inputs'!$B$17-C676)))</f>
        <v/>
      </c>
      <c r="E676" s="5" t="str">
        <f t="shared" si="20"/>
        <v/>
      </c>
      <c r="F676" s="5">
        <f>IF('Monthly Projection'!A676="",0,'Monthly Projection'!G676)</f>
        <v>0</v>
      </c>
    </row>
    <row r="677" spans="1:6">
      <c r="A677" t="str">
        <f>IF(AND('Mortgage Inputs'!$B$12,671&lt;=IF('Mortgage Inputs'!$B$12,'Mortgage Inputs'!$B$7,0)*12+600,ISNUMBER(E676),E676&gt;0.005),671,"")</f>
        <v/>
      </c>
      <c r="B677" s="5" t="str">
        <f t="shared" si="21"/>
        <v/>
      </c>
      <c r="C677" s="5" t="str">
        <f>IF(A677="","",B677*'Mortgage Inputs'!$B$15)</f>
        <v/>
      </c>
      <c r="D677" s="5" t="str">
        <f>IF(A677="","",MIN(B677,MAX(0,'Mortgage Inputs'!$B$17-C677)))</f>
        <v/>
      </c>
      <c r="E677" s="5" t="str">
        <f t="shared" si="20"/>
        <v/>
      </c>
      <c r="F677" s="5">
        <f>IF('Monthly Projection'!A677="",0,'Monthly Projection'!G677)</f>
        <v>0</v>
      </c>
    </row>
    <row r="678" spans="1:6">
      <c r="A678" t="str">
        <f>IF(AND('Mortgage Inputs'!$B$12,672&lt;=IF('Mortgage Inputs'!$B$12,'Mortgage Inputs'!$B$7,0)*12+600,ISNUMBER(E677),E677&gt;0.005),672,"")</f>
        <v/>
      </c>
      <c r="B678" s="5" t="str">
        <f t="shared" si="21"/>
        <v/>
      </c>
      <c r="C678" s="5" t="str">
        <f>IF(A678="","",B678*'Mortgage Inputs'!$B$15)</f>
        <v/>
      </c>
      <c r="D678" s="5" t="str">
        <f>IF(A678="","",MIN(B678,MAX(0,'Mortgage Inputs'!$B$17-C678)))</f>
        <v/>
      </c>
      <c r="E678" s="5" t="str">
        <f t="shared" si="20"/>
        <v/>
      </c>
      <c r="F678" s="5">
        <f>IF('Monthly Projection'!A678="",0,'Monthly Projection'!G678)</f>
        <v>0</v>
      </c>
    </row>
    <row r="679" spans="1:6">
      <c r="A679" t="str">
        <f>IF(AND('Mortgage Inputs'!$B$12,673&lt;=IF('Mortgage Inputs'!$B$12,'Mortgage Inputs'!$B$7,0)*12+600,ISNUMBER(E678),E678&gt;0.005),673,"")</f>
        <v/>
      </c>
      <c r="B679" s="5" t="str">
        <f t="shared" si="21"/>
        <v/>
      </c>
      <c r="C679" s="5" t="str">
        <f>IF(A679="","",B679*'Mortgage Inputs'!$B$15)</f>
        <v/>
      </c>
      <c r="D679" s="5" t="str">
        <f>IF(A679="","",MIN(B679,MAX(0,'Mortgage Inputs'!$B$17-C679)))</f>
        <v/>
      </c>
      <c r="E679" s="5" t="str">
        <f t="shared" si="20"/>
        <v/>
      </c>
      <c r="F679" s="5">
        <f>IF('Monthly Projection'!A679="",0,'Monthly Projection'!G679)</f>
        <v>0</v>
      </c>
    </row>
    <row r="680" spans="1:6">
      <c r="A680" t="str">
        <f>IF(AND('Mortgage Inputs'!$B$12,674&lt;=IF('Mortgage Inputs'!$B$12,'Mortgage Inputs'!$B$7,0)*12+600,ISNUMBER(E679),E679&gt;0.005),674,"")</f>
        <v/>
      </c>
      <c r="B680" s="5" t="str">
        <f t="shared" si="21"/>
        <v/>
      </c>
      <c r="C680" s="5" t="str">
        <f>IF(A680="","",B680*'Mortgage Inputs'!$B$15)</f>
        <v/>
      </c>
      <c r="D680" s="5" t="str">
        <f>IF(A680="","",MIN(B680,MAX(0,'Mortgage Inputs'!$B$17-C680)))</f>
        <v/>
      </c>
      <c r="E680" s="5" t="str">
        <f t="shared" si="20"/>
        <v/>
      </c>
      <c r="F680" s="5">
        <f>IF('Monthly Projection'!A680="",0,'Monthly Projection'!G680)</f>
        <v>0</v>
      </c>
    </row>
    <row r="681" spans="1:6">
      <c r="A681" t="str">
        <f>IF(AND('Mortgage Inputs'!$B$12,675&lt;=IF('Mortgage Inputs'!$B$12,'Mortgage Inputs'!$B$7,0)*12+600,ISNUMBER(E680),E680&gt;0.005),675,"")</f>
        <v/>
      </c>
      <c r="B681" s="5" t="str">
        <f t="shared" si="21"/>
        <v/>
      </c>
      <c r="C681" s="5" t="str">
        <f>IF(A681="","",B681*'Mortgage Inputs'!$B$15)</f>
        <v/>
      </c>
      <c r="D681" s="5" t="str">
        <f>IF(A681="","",MIN(B681,MAX(0,'Mortgage Inputs'!$B$17-C681)))</f>
        <v/>
      </c>
      <c r="E681" s="5" t="str">
        <f t="shared" si="20"/>
        <v/>
      </c>
      <c r="F681" s="5">
        <f>IF('Monthly Projection'!A681="",0,'Monthly Projection'!G681)</f>
        <v>0</v>
      </c>
    </row>
    <row r="682" spans="1:6">
      <c r="A682" t="str">
        <f>IF(AND('Mortgage Inputs'!$B$12,676&lt;=IF('Mortgage Inputs'!$B$12,'Mortgage Inputs'!$B$7,0)*12+600,ISNUMBER(E681),E681&gt;0.005),676,"")</f>
        <v/>
      </c>
      <c r="B682" s="5" t="str">
        <f t="shared" si="21"/>
        <v/>
      </c>
      <c r="C682" s="5" t="str">
        <f>IF(A682="","",B682*'Mortgage Inputs'!$B$15)</f>
        <v/>
      </c>
      <c r="D682" s="5" t="str">
        <f>IF(A682="","",MIN(B682,MAX(0,'Mortgage Inputs'!$B$17-C682)))</f>
        <v/>
      </c>
      <c r="E682" s="5" t="str">
        <f t="shared" si="20"/>
        <v/>
      </c>
      <c r="F682" s="5">
        <f>IF('Monthly Projection'!A682="",0,'Monthly Projection'!G682)</f>
        <v>0</v>
      </c>
    </row>
    <row r="683" spans="1:6">
      <c r="A683" t="str">
        <f>IF(AND('Mortgage Inputs'!$B$12,677&lt;=IF('Mortgage Inputs'!$B$12,'Mortgage Inputs'!$B$7,0)*12+600,ISNUMBER(E682),E682&gt;0.005),677,"")</f>
        <v/>
      </c>
      <c r="B683" s="5" t="str">
        <f t="shared" si="21"/>
        <v/>
      </c>
      <c r="C683" s="5" t="str">
        <f>IF(A683="","",B683*'Mortgage Inputs'!$B$15)</f>
        <v/>
      </c>
      <c r="D683" s="5" t="str">
        <f>IF(A683="","",MIN(B683,MAX(0,'Mortgage Inputs'!$B$17-C683)))</f>
        <v/>
      </c>
      <c r="E683" s="5" t="str">
        <f t="shared" si="20"/>
        <v/>
      </c>
      <c r="F683" s="5">
        <f>IF('Monthly Projection'!A683="",0,'Monthly Projection'!G683)</f>
        <v>0</v>
      </c>
    </row>
    <row r="684" spans="1:6">
      <c r="A684" t="str">
        <f>IF(AND('Mortgage Inputs'!$B$12,678&lt;=IF('Mortgage Inputs'!$B$12,'Mortgage Inputs'!$B$7,0)*12+600,ISNUMBER(E683),E683&gt;0.005),678,"")</f>
        <v/>
      </c>
      <c r="B684" s="5" t="str">
        <f t="shared" si="21"/>
        <v/>
      </c>
      <c r="C684" s="5" t="str">
        <f>IF(A684="","",B684*'Mortgage Inputs'!$B$15)</f>
        <v/>
      </c>
      <c r="D684" s="5" t="str">
        <f>IF(A684="","",MIN(B684,MAX(0,'Mortgage Inputs'!$B$17-C684)))</f>
        <v/>
      </c>
      <c r="E684" s="5" t="str">
        <f t="shared" si="20"/>
        <v/>
      </c>
      <c r="F684" s="5">
        <f>IF('Monthly Projection'!A684="",0,'Monthly Projection'!G684)</f>
        <v>0</v>
      </c>
    </row>
    <row r="685" spans="1:6">
      <c r="A685" t="str">
        <f>IF(AND('Mortgage Inputs'!$B$12,679&lt;=IF('Mortgage Inputs'!$B$12,'Mortgage Inputs'!$B$7,0)*12+600,ISNUMBER(E684),E684&gt;0.005),679,"")</f>
        <v/>
      </c>
      <c r="B685" s="5" t="str">
        <f t="shared" si="21"/>
        <v/>
      </c>
      <c r="C685" s="5" t="str">
        <f>IF(A685="","",B685*'Mortgage Inputs'!$B$15)</f>
        <v/>
      </c>
      <c r="D685" s="5" t="str">
        <f>IF(A685="","",MIN(B685,MAX(0,'Mortgage Inputs'!$B$17-C685)))</f>
        <v/>
      </c>
      <c r="E685" s="5" t="str">
        <f t="shared" si="20"/>
        <v/>
      </c>
      <c r="F685" s="5">
        <f>IF('Monthly Projection'!A685="",0,'Monthly Projection'!G685)</f>
        <v>0</v>
      </c>
    </row>
    <row r="686" spans="1:6">
      <c r="A686" t="str">
        <f>IF(AND('Mortgage Inputs'!$B$12,680&lt;=IF('Mortgage Inputs'!$B$12,'Mortgage Inputs'!$B$7,0)*12+600,ISNUMBER(E685),E685&gt;0.005),680,"")</f>
        <v/>
      </c>
      <c r="B686" s="5" t="str">
        <f t="shared" si="21"/>
        <v/>
      </c>
      <c r="C686" s="5" t="str">
        <f>IF(A686="","",B686*'Mortgage Inputs'!$B$15)</f>
        <v/>
      </c>
      <c r="D686" s="5" t="str">
        <f>IF(A686="","",MIN(B686,MAX(0,'Mortgage Inputs'!$B$17-C686)))</f>
        <v/>
      </c>
      <c r="E686" s="5" t="str">
        <f t="shared" si="20"/>
        <v/>
      </c>
      <c r="F686" s="5">
        <f>IF('Monthly Projection'!A686="",0,'Monthly Projection'!G686)</f>
        <v>0</v>
      </c>
    </row>
    <row r="687" spans="1:6">
      <c r="A687" t="str">
        <f>IF(AND('Mortgage Inputs'!$B$12,681&lt;=IF('Mortgage Inputs'!$B$12,'Mortgage Inputs'!$B$7,0)*12+600,ISNUMBER(E686),E686&gt;0.005),681,"")</f>
        <v/>
      </c>
      <c r="B687" s="5" t="str">
        <f t="shared" si="21"/>
        <v/>
      </c>
      <c r="C687" s="5" t="str">
        <f>IF(A687="","",B687*'Mortgage Inputs'!$B$15)</f>
        <v/>
      </c>
      <c r="D687" s="5" t="str">
        <f>IF(A687="","",MIN(B687,MAX(0,'Mortgage Inputs'!$B$17-C687)))</f>
        <v/>
      </c>
      <c r="E687" s="5" t="str">
        <f t="shared" si="20"/>
        <v/>
      </c>
      <c r="F687" s="5">
        <f>IF('Monthly Projection'!A687="",0,'Monthly Projection'!G687)</f>
        <v>0</v>
      </c>
    </row>
    <row r="688" spans="1:6">
      <c r="A688" t="str">
        <f>IF(AND('Mortgage Inputs'!$B$12,682&lt;=IF('Mortgage Inputs'!$B$12,'Mortgage Inputs'!$B$7,0)*12+600,ISNUMBER(E687),E687&gt;0.005),682,"")</f>
        <v/>
      </c>
      <c r="B688" s="5" t="str">
        <f t="shared" si="21"/>
        <v/>
      </c>
      <c r="C688" s="5" t="str">
        <f>IF(A688="","",B688*'Mortgage Inputs'!$B$15)</f>
        <v/>
      </c>
      <c r="D688" s="5" t="str">
        <f>IF(A688="","",MIN(B688,MAX(0,'Mortgage Inputs'!$B$17-C688)))</f>
        <v/>
      </c>
      <c r="E688" s="5" t="str">
        <f t="shared" si="20"/>
        <v/>
      </c>
      <c r="F688" s="5">
        <f>IF('Monthly Projection'!A688="",0,'Monthly Projection'!G688)</f>
        <v>0</v>
      </c>
    </row>
    <row r="689" spans="1:6">
      <c r="A689" t="str">
        <f>IF(AND('Mortgage Inputs'!$B$12,683&lt;=IF('Mortgage Inputs'!$B$12,'Mortgage Inputs'!$B$7,0)*12+600,ISNUMBER(E688),E688&gt;0.005),683,"")</f>
        <v/>
      </c>
      <c r="B689" s="5" t="str">
        <f t="shared" si="21"/>
        <v/>
      </c>
      <c r="C689" s="5" t="str">
        <f>IF(A689="","",B689*'Mortgage Inputs'!$B$15)</f>
        <v/>
      </c>
      <c r="D689" s="5" t="str">
        <f>IF(A689="","",MIN(B689,MAX(0,'Mortgage Inputs'!$B$17-C689)))</f>
        <v/>
      </c>
      <c r="E689" s="5" t="str">
        <f t="shared" si="20"/>
        <v/>
      </c>
      <c r="F689" s="5">
        <f>IF('Monthly Projection'!A689="",0,'Monthly Projection'!G689)</f>
        <v>0</v>
      </c>
    </row>
    <row r="690" spans="1:6">
      <c r="A690" t="str">
        <f>IF(AND('Mortgage Inputs'!$B$12,684&lt;=IF('Mortgage Inputs'!$B$12,'Mortgage Inputs'!$B$7,0)*12+600,ISNUMBER(E689),E689&gt;0.005),684,"")</f>
        <v/>
      </c>
      <c r="B690" s="5" t="str">
        <f t="shared" si="21"/>
        <v/>
      </c>
      <c r="C690" s="5" t="str">
        <f>IF(A690="","",B690*'Mortgage Inputs'!$B$15)</f>
        <v/>
      </c>
      <c r="D690" s="5" t="str">
        <f>IF(A690="","",MIN(B690,MAX(0,'Mortgage Inputs'!$B$17-C690)))</f>
        <v/>
      </c>
      <c r="E690" s="5" t="str">
        <f t="shared" si="20"/>
        <v/>
      </c>
      <c r="F690" s="5">
        <f>IF('Monthly Projection'!A690="",0,'Monthly Projection'!G690)</f>
        <v>0</v>
      </c>
    </row>
    <row r="691" spans="1:6">
      <c r="A691" t="str">
        <f>IF(AND('Mortgage Inputs'!$B$12,685&lt;=IF('Mortgage Inputs'!$B$12,'Mortgage Inputs'!$B$7,0)*12+600,ISNUMBER(E690),E690&gt;0.005),685,"")</f>
        <v/>
      </c>
      <c r="B691" s="5" t="str">
        <f t="shared" si="21"/>
        <v/>
      </c>
      <c r="C691" s="5" t="str">
        <f>IF(A691="","",B691*'Mortgage Inputs'!$B$15)</f>
        <v/>
      </c>
      <c r="D691" s="5" t="str">
        <f>IF(A691="","",MIN(B691,MAX(0,'Mortgage Inputs'!$B$17-C691)))</f>
        <v/>
      </c>
      <c r="E691" s="5" t="str">
        <f t="shared" si="20"/>
        <v/>
      </c>
      <c r="F691" s="5">
        <f>IF('Monthly Projection'!A691="",0,'Monthly Projection'!G691)</f>
        <v>0</v>
      </c>
    </row>
    <row r="692" spans="1:6">
      <c r="A692" t="str">
        <f>IF(AND('Mortgage Inputs'!$B$12,686&lt;=IF('Mortgage Inputs'!$B$12,'Mortgage Inputs'!$B$7,0)*12+600,ISNUMBER(E691),E691&gt;0.005),686,"")</f>
        <v/>
      </c>
      <c r="B692" s="5" t="str">
        <f t="shared" si="21"/>
        <v/>
      </c>
      <c r="C692" s="5" t="str">
        <f>IF(A692="","",B692*'Mortgage Inputs'!$B$15)</f>
        <v/>
      </c>
      <c r="D692" s="5" t="str">
        <f>IF(A692="","",MIN(B692,MAX(0,'Mortgage Inputs'!$B$17-C692)))</f>
        <v/>
      </c>
      <c r="E692" s="5" t="str">
        <f t="shared" si="20"/>
        <v/>
      </c>
      <c r="F692" s="5">
        <f>IF('Monthly Projection'!A692="",0,'Monthly Projection'!G692)</f>
        <v>0</v>
      </c>
    </row>
    <row r="693" spans="1:6">
      <c r="A693" t="str">
        <f>IF(AND('Mortgage Inputs'!$B$12,687&lt;=IF('Mortgage Inputs'!$B$12,'Mortgage Inputs'!$B$7,0)*12+600,ISNUMBER(E692),E692&gt;0.005),687,"")</f>
        <v/>
      </c>
      <c r="B693" s="5" t="str">
        <f t="shared" si="21"/>
        <v/>
      </c>
      <c r="C693" s="5" t="str">
        <f>IF(A693="","",B693*'Mortgage Inputs'!$B$15)</f>
        <v/>
      </c>
      <c r="D693" s="5" t="str">
        <f>IF(A693="","",MIN(B693,MAX(0,'Mortgage Inputs'!$B$17-C693)))</f>
        <v/>
      </c>
      <c r="E693" s="5" t="str">
        <f t="shared" si="20"/>
        <v/>
      </c>
      <c r="F693" s="5">
        <f>IF('Monthly Projection'!A693="",0,'Monthly Projection'!G693)</f>
        <v>0</v>
      </c>
    </row>
    <row r="694" spans="1:6">
      <c r="A694" t="str">
        <f>IF(AND('Mortgage Inputs'!$B$12,688&lt;=IF('Mortgage Inputs'!$B$12,'Mortgage Inputs'!$B$7,0)*12+600,ISNUMBER(E693),E693&gt;0.005),688,"")</f>
        <v/>
      </c>
      <c r="B694" s="5" t="str">
        <f t="shared" si="21"/>
        <v/>
      </c>
      <c r="C694" s="5" t="str">
        <f>IF(A694="","",B694*'Mortgage Inputs'!$B$15)</f>
        <v/>
      </c>
      <c r="D694" s="5" t="str">
        <f>IF(A694="","",MIN(B694,MAX(0,'Mortgage Inputs'!$B$17-C694)))</f>
        <v/>
      </c>
      <c r="E694" s="5" t="str">
        <f t="shared" si="20"/>
        <v/>
      </c>
      <c r="F694" s="5">
        <f>IF('Monthly Projection'!A694="",0,'Monthly Projection'!G694)</f>
        <v>0</v>
      </c>
    </row>
    <row r="695" spans="1:6">
      <c r="A695" t="str">
        <f>IF(AND('Mortgage Inputs'!$B$12,689&lt;=IF('Mortgage Inputs'!$B$12,'Mortgage Inputs'!$B$7,0)*12+600,ISNUMBER(E694),E694&gt;0.005),689,"")</f>
        <v/>
      </c>
      <c r="B695" s="5" t="str">
        <f t="shared" si="21"/>
        <v/>
      </c>
      <c r="C695" s="5" t="str">
        <f>IF(A695="","",B695*'Mortgage Inputs'!$B$15)</f>
        <v/>
      </c>
      <c r="D695" s="5" t="str">
        <f>IF(A695="","",MIN(B695,MAX(0,'Mortgage Inputs'!$B$17-C695)))</f>
        <v/>
      </c>
      <c r="E695" s="5" t="str">
        <f t="shared" si="20"/>
        <v/>
      </c>
      <c r="F695" s="5">
        <f>IF('Monthly Projection'!A695="",0,'Monthly Projection'!G695)</f>
        <v>0</v>
      </c>
    </row>
    <row r="696" spans="1:6">
      <c r="A696" t="str">
        <f>IF(AND('Mortgage Inputs'!$B$12,690&lt;=IF('Mortgage Inputs'!$B$12,'Mortgage Inputs'!$B$7,0)*12+600,ISNUMBER(E695),E695&gt;0.005),690,"")</f>
        <v/>
      </c>
      <c r="B696" s="5" t="str">
        <f t="shared" si="21"/>
        <v/>
      </c>
      <c r="C696" s="5" t="str">
        <f>IF(A696="","",B696*'Mortgage Inputs'!$B$15)</f>
        <v/>
      </c>
      <c r="D696" s="5" t="str">
        <f>IF(A696="","",MIN(B696,MAX(0,'Mortgage Inputs'!$B$17-C696)))</f>
        <v/>
      </c>
      <c r="E696" s="5" t="str">
        <f t="shared" si="20"/>
        <v/>
      </c>
      <c r="F696" s="5">
        <f>IF('Monthly Projection'!A696="",0,'Monthly Projection'!G696)</f>
        <v>0</v>
      </c>
    </row>
    <row r="697" spans="1:6">
      <c r="A697" t="str">
        <f>IF(AND('Mortgage Inputs'!$B$12,691&lt;=IF('Mortgage Inputs'!$B$12,'Mortgage Inputs'!$B$7,0)*12+600,ISNUMBER(E696),E696&gt;0.005),691,"")</f>
        <v/>
      </c>
      <c r="B697" s="5" t="str">
        <f t="shared" si="21"/>
        <v/>
      </c>
      <c r="C697" s="5" t="str">
        <f>IF(A697="","",B697*'Mortgage Inputs'!$B$15)</f>
        <v/>
      </c>
      <c r="D697" s="5" t="str">
        <f>IF(A697="","",MIN(B697,MAX(0,'Mortgage Inputs'!$B$17-C697)))</f>
        <v/>
      </c>
      <c r="E697" s="5" t="str">
        <f t="shared" si="20"/>
        <v/>
      </c>
      <c r="F697" s="5">
        <f>IF('Monthly Projection'!A697="",0,'Monthly Projection'!G697)</f>
        <v>0</v>
      </c>
    </row>
    <row r="698" spans="1:6">
      <c r="A698" t="str">
        <f>IF(AND('Mortgage Inputs'!$B$12,692&lt;=IF('Mortgage Inputs'!$B$12,'Mortgage Inputs'!$B$7,0)*12+600,ISNUMBER(E697),E697&gt;0.005),692,"")</f>
        <v/>
      </c>
      <c r="B698" s="5" t="str">
        <f t="shared" si="21"/>
        <v/>
      </c>
      <c r="C698" s="5" t="str">
        <f>IF(A698="","",B698*'Mortgage Inputs'!$B$15)</f>
        <v/>
      </c>
      <c r="D698" s="5" t="str">
        <f>IF(A698="","",MIN(B698,MAX(0,'Mortgage Inputs'!$B$17-C698)))</f>
        <v/>
      </c>
      <c r="E698" s="5" t="str">
        <f t="shared" si="20"/>
        <v/>
      </c>
      <c r="F698" s="5">
        <f>IF('Monthly Projection'!A698="",0,'Monthly Projection'!G698)</f>
        <v>0</v>
      </c>
    </row>
    <row r="699" spans="1:6">
      <c r="A699" t="str">
        <f>IF(AND('Mortgage Inputs'!$B$12,693&lt;=IF('Mortgage Inputs'!$B$12,'Mortgage Inputs'!$B$7,0)*12+600,ISNUMBER(E698),E698&gt;0.005),693,"")</f>
        <v/>
      </c>
      <c r="B699" s="5" t="str">
        <f t="shared" si="21"/>
        <v/>
      </c>
      <c r="C699" s="5" t="str">
        <f>IF(A699="","",B699*'Mortgage Inputs'!$B$15)</f>
        <v/>
      </c>
      <c r="D699" s="5" t="str">
        <f>IF(A699="","",MIN(B699,MAX(0,'Mortgage Inputs'!$B$17-C699)))</f>
        <v/>
      </c>
      <c r="E699" s="5" t="str">
        <f t="shared" si="20"/>
        <v/>
      </c>
      <c r="F699" s="5">
        <f>IF('Monthly Projection'!A699="",0,'Monthly Projection'!G699)</f>
        <v>0</v>
      </c>
    </row>
    <row r="700" spans="1:6">
      <c r="A700" t="str">
        <f>IF(AND('Mortgage Inputs'!$B$12,694&lt;=IF('Mortgage Inputs'!$B$12,'Mortgage Inputs'!$B$7,0)*12+600,ISNUMBER(E699),E699&gt;0.005),694,"")</f>
        <v/>
      </c>
      <c r="B700" s="5" t="str">
        <f t="shared" si="21"/>
        <v/>
      </c>
      <c r="C700" s="5" t="str">
        <f>IF(A700="","",B700*'Mortgage Inputs'!$B$15)</f>
        <v/>
      </c>
      <c r="D700" s="5" t="str">
        <f>IF(A700="","",MIN(B700,MAX(0,'Mortgage Inputs'!$B$17-C700)))</f>
        <v/>
      </c>
      <c r="E700" s="5" t="str">
        <f t="shared" si="20"/>
        <v/>
      </c>
      <c r="F700" s="5">
        <f>IF('Monthly Projection'!A700="",0,'Monthly Projection'!G700)</f>
        <v>0</v>
      </c>
    </row>
    <row r="701" spans="1:6">
      <c r="A701" t="str">
        <f>IF(AND('Mortgage Inputs'!$B$12,695&lt;=IF('Mortgage Inputs'!$B$12,'Mortgage Inputs'!$B$7,0)*12+600,ISNUMBER(E700),E700&gt;0.005),695,"")</f>
        <v/>
      </c>
      <c r="B701" s="5" t="str">
        <f t="shared" si="21"/>
        <v/>
      </c>
      <c r="C701" s="5" t="str">
        <f>IF(A701="","",B701*'Mortgage Inputs'!$B$15)</f>
        <v/>
      </c>
      <c r="D701" s="5" t="str">
        <f>IF(A701="","",MIN(B701,MAX(0,'Mortgage Inputs'!$B$17-C701)))</f>
        <v/>
      </c>
      <c r="E701" s="5" t="str">
        <f t="shared" si="20"/>
        <v/>
      </c>
      <c r="F701" s="5">
        <f>IF('Monthly Projection'!A701="",0,'Monthly Projection'!G701)</f>
        <v>0</v>
      </c>
    </row>
    <row r="702" spans="1:6">
      <c r="A702" t="str">
        <f>IF(AND('Mortgage Inputs'!$B$12,696&lt;=IF('Mortgage Inputs'!$B$12,'Mortgage Inputs'!$B$7,0)*12+600,ISNUMBER(E701),E701&gt;0.005),696,"")</f>
        <v/>
      </c>
      <c r="B702" s="5" t="str">
        <f t="shared" si="21"/>
        <v/>
      </c>
      <c r="C702" s="5" t="str">
        <f>IF(A702="","",B702*'Mortgage Inputs'!$B$15)</f>
        <v/>
      </c>
      <c r="D702" s="5" t="str">
        <f>IF(A702="","",MIN(B702,MAX(0,'Mortgage Inputs'!$B$17-C702)))</f>
        <v/>
      </c>
      <c r="E702" s="5" t="str">
        <f t="shared" si="20"/>
        <v/>
      </c>
      <c r="F702" s="5">
        <f>IF('Monthly Projection'!A702="",0,'Monthly Projection'!G702)</f>
        <v>0</v>
      </c>
    </row>
    <row r="703" spans="1:6">
      <c r="A703" t="str">
        <f>IF(AND('Mortgage Inputs'!$B$12,697&lt;=IF('Mortgage Inputs'!$B$12,'Mortgage Inputs'!$B$7,0)*12+600,ISNUMBER(E702),E702&gt;0.005),697,"")</f>
        <v/>
      </c>
      <c r="B703" s="5" t="str">
        <f t="shared" si="21"/>
        <v/>
      </c>
      <c r="C703" s="5" t="str">
        <f>IF(A703="","",B703*'Mortgage Inputs'!$B$15)</f>
        <v/>
      </c>
      <c r="D703" s="5" t="str">
        <f>IF(A703="","",MIN(B703,MAX(0,'Mortgage Inputs'!$B$17-C703)))</f>
        <v/>
      </c>
      <c r="E703" s="5" t="str">
        <f t="shared" si="20"/>
        <v/>
      </c>
      <c r="F703" s="5">
        <f>IF('Monthly Projection'!A703="",0,'Monthly Projection'!G703)</f>
        <v>0</v>
      </c>
    </row>
    <row r="704" spans="1:6">
      <c r="A704" t="str">
        <f>IF(AND('Mortgage Inputs'!$B$12,698&lt;=IF('Mortgage Inputs'!$B$12,'Mortgage Inputs'!$B$7,0)*12+600,ISNUMBER(E703),E703&gt;0.005),698,"")</f>
        <v/>
      </c>
      <c r="B704" s="5" t="str">
        <f t="shared" si="21"/>
        <v/>
      </c>
      <c r="C704" s="5" t="str">
        <f>IF(A704="","",B704*'Mortgage Inputs'!$B$15)</f>
        <v/>
      </c>
      <c r="D704" s="5" t="str">
        <f>IF(A704="","",MIN(B704,MAX(0,'Mortgage Inputs'!$B$17-C704)))</f>
        <v/>
      </c>
      <c r="E704" s="5" t="str">
        <f t="shared" si="20"/>
        <v/>
      </c>
      <c r="F704" s="5">
        <f>IF('Monthly Projection'!A704="",0,'Monthly Projection'!G704)</f>
        <v>0</v>
      </c>
    </row>
    <row r="705" spans="1:6">
      <c r="A705" t="str">
        <f>IF(AND('Mortgage Inputs'!$B$12,699&lt;=IF('Mortgage Inputs'!$B$12,'Mortgage Inputs'!$B$7,0)*12+600,ISNUMBER(E704),E704&gt;0.005),699,"")</f>
        <v/>
      </c>
      <c r="B705" s="5" t="str">
        <f t="shared" si="21"/>
        <v/>
      </c>
      <c r="C705" s="5" t="str">
        <f>IF(A705="","",B705*'Mortgage Inputs'!$B$15)</f>
        <v/>
      </c>
      <c r="D705" s="5" t="str">
        <f>IF(A705="","",MIN(B705,MAX(0,'Mortgage Inputs'!$B$17-C705)))</f>
        <v/>
      </c>
      <c r="E705" s="5" t="str">
        <f t="shared" si="20"/>
        <v/>
      </c>
      <c r="F705" s="5">
        <f>IF('Monthly Projection'!A705="",0,'Monthly Projection'!G705)</f>
        <v>0</v>
      </c>
    </row>
    <row r="706" spans="1:6">
      <c r="A706" t="str">
        <f>IF(AND('Mortgage Inputs'!$B$12,700&lt;=IF('Mortgage Inputs'!$B$12,'Mortgage Inputs'!$B$7,0)*12+600,ISNUMBER(E705),E705&gt;0.005),700,"")</f>
        <v/>
      </c>
      <c r="B706" s="5" t="str">
        <f t="shared" si="21"/>
        <v/>
      </c>
      <c r="C706" s="5" t="str">
        <f>IF(A706="","",B706*'Mortgage Inputs'!$B$15)</f>
        <v/>
      </c>
      <c r="D706" s="5" t="str">
        <f>IF(A706="","",MIN(B706,MAX(0,'Mortgage Inputs'!$B$17-C706)))</f>
        <v/>
      </c>
      <c r="E706" s="5" t="str">
        <f t="shared" si="20"/>
        <v/>
      </c>
      <c r="F706" s="5">
        <f>IF('Monthly Projection'!A706="",0,'Monthly Projection'!G706)</f>
        <v>0</v>
      </c>
    </row>
    <row r="707" spans="1:6">
      <c r="A707" t="str">
        <f>IF(AND('Mortgage Inputs'!$B$12,701&lt;=IF('Mortgage Inputs'!$B$12,'Mortgage Inputs'!$B$7,0)*12+600,ISNUMBER(E706),E706&gt;0.005),701,"")</f>
        <v/>
      </c>
      <c r="B707" s="5" t="str">
        <f t="shared" si="21"/>
        <v/>
      </c>
      <c r="C707" s="5" t="str">
        <f>IF(A707="","",B707*'Mortgage Inputs'!$B$15)</f>
        <v/>
      </c>
      <c r="D707" s="5" t="str">
        <f>IF(A707="","",MIN(B707,MAX(0,'Mortgage Inputs'!$B$17-C707)))</f>
        <v/>
      </c>
      <c r="E707" s="5" t="str">
        <f t="shared" si="20"/>
        <v/>
      </c>
      <c r="F707" s="5">
        <f>IF('Monthly Projection'!A707="",0,'Monthly Projection'!G707)</f>
        <v>0</v>
      </c>
    </row>
    <row r="708" spans="1:6">
      <c r="A708" t="str">
        <f>IF(AND('Mortgage Inputs'!$B$12,702&lt;=IF('Mortgage Inputs'!$B$12,'Mortgage Inputs'!$B$7,0)*12+600,ISNUMBER(E707),E707&gt;0.005),702,"")</f>
        <v/>
      </c>
      <c r="B708" s="5" t="str">
        <f t="shared" si="21"/>
        <v/>
      </c>
      <c r="C708" s="5" t="str">
        <f>IF(A708="","",B708*'Mortgage Inputs'!$B$15)</f>
        <v/>
      </c>
      <c r="D708" s="5" t="str">
        <f>IF(A708="","",MIN(B708,MAX(0,'Mortgage Inputs'!$B$17-C708)))</f>
        <v/>
      </c>
      <c r="E708" s="5" t="str">
        <f t="shared" si="20"/>
        <v/>
      </c>
      <c r="F708" s="5">
        <f>IF('Monthly Projection'!A708="",0,'Monthly Projection'!G708)</f>
        <v>0</v>
      </c>
    </row>
    <row r="709" spans="1:6">
      <c r="A709" t="str">
        <f>IF(AND('Mortgage Inputs'!$B$12,703&lt;=IF('Mortgage Inputs'!$B$12,'Mortgage Inputs'!$B$7,0)*12+600,ISNUMBER(E708),E708&gt;0.005),703,"")</f>
        <v/>
      </c>
      <c r="B709" s="5" t="str">
        <f t="shared" si="21"/>
        <v/>
      </c>
      <c r="C709" s="5" t="str">
        <f>IF(A709="","",B709*'Mortgage Inputs'!$B$15)</f>
        <v/>
      </c>
      <c r="D709" s="5" t="str">
        <f>IF(A709="","",MIN(B709,MAX(0,'Mortgage Inputs'!$B$17-C709)))</f>
        <v/>
      </c>
      <c r="E709" s="5" t="str">
        <f t="shared" si="20"/>
        <v/>
      </c>
      <c r="F709" s="5">
        <f>IF('Monthly Projection'!A709="",0,'Monthly Projection'!G709)</f>
        <v>0</v>
      </c>
    </row>
    <row r="710" spans="1:6">
      <c r="A710" t="str">
        <f>IF(AND('Mortgage Inputs'!$B$12,704&lt;=IF('Mortgage Inputs'!$B$12,'Mortgage Inputs'!$B$7,0)*12+600,ISNUMBER(E709),E709&gt;0.005),704,"")</f>
        <v/>
      </c>
      <c r="B710" s="5" t="str">
        <f t="shared" si="21"/>
        <v/>
      </c>
      <c r="C710" s="5" t="str">
        <f>IF(A710="","",B710*'Mortgage Inputs'!$B$15)</f>
        <v/>
      </c>
      <c r="D710" s="5" t="str">
        <f>IF(A710="","",MIN(B710,MAX(0,'Mortgage Inputs'!$B$17-C710)))</f>
        <v/>
      </c>
      <c r="E710" s="5" t="str">
        <f t="shared" si="20"/>
        <v/>
      </c>
      <c r="F710" s="5">
        <f>IF('Monthly Projection'!A710="",0,'Monthly Projection'!G710)</f>
        <v>0</v>
      </c>
    </row>
    <row r="711" spans="1:6">
      <c r="A711" t="str">
        <f>IF(AND('Mortgage Inputs'!$B$12,705&lt;=IF('Mortgage Inputs'!$B$12,'Mortgage Inputs'!$B$7,0)*12+600,ISNUMBER(E710),E710&gt;0.005),705,"")</f>
        <v/>
      </c>
      <c r="B711" s="5" t="str">
        <f t="shared" si="21"/>
        <v/>
      </c>
      <c r="C711" s="5" t="str">
        <f>IF(A711="","",B711*'Mortgage Inputs'!$B$15)</f>
        <v/>
      </c>
      <c r="D711" s="5" t="str">
        <f>IF(A711="","",MIN(B711,MAX(0,'Mortgage Inputs'!$B$17-C711)))</f>
        <v/>
      </c>
      <c r="E711" s="5" t="str">
        <f t="shared" ref="E711:E774" si="22">IF(A711="","",MAX(0,B711-D711))</f>
        <v/>
      </c>
      <c r="F711" s="5">
        <f>IF('Monthly Projection'!A711="",0,'Monthly Projection'!G711)</f>
        <v>0</v>
      </c>
    </row>
    <row r="712" spans="1:6">
      <c r="A712" t="str">
        <f>IF(AND('Mortgage Inputs'!$B$12,706&lt;=IF('Mortgage Inputs'!$B$12,'Mortgage Inputs'!$B$7,0)*12+600,ISNUMBER(E711),E711&gt;0.005),706,"")</f>
        <v/>
      </c>
      <c r="B712" s="5" t="str">
        <f t="shared" ref="B712:B775" si="23">IF(A712="","",E711)</f>
        <v/>
      </c>
      <c r="C712" s="5" t="str">
        <f>IF(A712="","",B712*'Mortgage Inputs'!$B$15)</f>
        <v/>
      </c>
      <c r="D712" s="5" t="str">
        <f>IF(A712="","",MIN(B712,MAX(0,'Mortgage Inputs'!$B$17-C712)))</f>
        <v/>
      </c>
      <c r="E712" s="5" t="str">
        <f t="shared" si="22"/>
        <v/>
      </c>
      <c r="F712" s="5">
        <f>IF('Monthly Projection'!A712="",0,'Monthly Projection'!G712)</f>
        <v>0</v>
      </c>
    </row>
    <row r="713" spans="1:6">
      <c r="A713" t="str">
        <f>IF(AND('Mortgage Inputs'!$B$12,707&lt;=IF('Mortgage Inputs'!$B$12,'Mortgage Inputs'!$B$7,0)*12+600,ISNUMBER(E712),E712&gt;0.005),707,"")</f>
        <v/>
      </c>
      <c r="B713" s="5" t="str">
        <f t="shared" si="23"/>
        <v/>
      </c>
      <c r="C713" s="5" t="str">
        <f>IF(A713="","",B713*'Mortgage Inputs'!$B$15)</f>
        <v/>
      </c>
      <c r="D713" s="5" t="str">
        <f>IF(A713="","",MIN(B713,MAX(0,'Mortgage Inputs'!$B$17-C713)))</f>
        <v/>
      </c>
      <c r="E713" s="5" t="str">
        <f t="shared" si="22"/>
        <v/>
      </c>
      <c r="F713" s="5">
        <f>IF('Monthly Projection'!A713="",0,'Monthly Projection'!G713)</f>
        <v>0</v>
      </c>
    </row>
    <row r="714" spans="1:6">
      <c r="A714" t="str">
        <f>IF(AND('Mortgage Inputs'!$B$12,708&lt;=IF('Mortgage Inputs'!$B$12,'Mortgage Inputs'!$B$7,0)*12+600,ISNUMBER(E713),E713&gt;0.005),708,"")</f>
        <v/>
      </c>
      <c r="B714" s="5" t="str">
        <f t="shared" si="23"/>
        <v/>
      </c>
      <c r="C714" s="5" t="str">
        <f>IF(A714="","",B714*'Mortgage Inputs'!$B$15)</f>
        <v/>
      </c>
      <c r="D714" s="5" t="str">
        <f>IF(A714="","",MIN(B714,MAX(0,'Mortgage Inputs'!$B$17-C714)))</f>
        <v/>
      </c>
      <c r="E714" s="5" t="str">
        <f t="shared" si="22"/>
        <v/>
      </c>
      <c r="F714" s="5">
        <f>IF('Monthly Projection'!A714="",0,'Monthly Projection'!G714)</f>
        <v>0</v>
      </c>
    </row>
    <row r="715" spans="1:6">
      <c r="A715" t="str">
        <f>IF(AND('Mortgage Inputs'!$B$12,709&lt;=IF('Mortgage Inputs'!$B$12,'Mortgage Inputs'!$B$7,0)*12+600,ISNUMBER(E714),E714&gt;0.005),709,"")</f>
        <v/>
      </c>
      <c r="B715" s="5" t="str">
        <f t="shared" si="23"/>
        <v/>
      </c>
      <c r="C715" s="5" t="str">
        <f>IF(A715="","",B715*'Mortgage Inputs'!$B$15)</f>
        <v/>
      </c>
      <c r="D715" s="5" t="str">
        <f>IF(A715="","",MIN(B715,MAX(0,'Mortgage Inputs'!$B$17-C715)))</f>
        <v/>
      </c>
      <c r="E715" s="5" t="str">
        <f t="shared" si="22"/>
        <v/>
      </c>
      <c r="F715" s="5">
        <f>IF('Monthly Projection'!A715="",0,'Monthly Projection'!G715)</f>
        <v>0</v>
      </c>
    </row>
    <row r="716" spans="1:6">
      <c r="A716" t="str">
        <f>IF(AND('Mortgage Inputs'!$B$12,710&lt;=IF('Mortgage Inputs'!$B$12,'Mortgage Inputs'!$B$7,0)*12+600,ISNUMBER(E715),E715&gt;0.005),710,"")</f>
        <v/>
      </c>
      <c r="B716" s="5" t="str">
        <f t="shared" si="23"/>
        <v/>
      </c>
      <c r="C716" s="5" t="str">
        <f>IF(A716="","",B716*'Mortgage Inputs'!$B$15)</f>
        <v/>
      </c>
      <c r="D716" s="5" t="str">
        <f>IF(A716="","",MIN(B716,MAX(0,'Mortgage Inputs'!$B$17-C716)))</f>
        <v/>
      </c>
      <c r="E716" s="5" t="str">
        <f t="shared" si="22"/>
        <v/>
      </c>
      <c r="F716" s="5">
        <f>IF('Monthly Projection'!A716="",0,'Monthly Projection'!G716)</f>
        <v>0</v>
      </c>
    </row>
    <row r="717" spans="1:6">
      <c r="A717" t="str">
        <f>IF(AND('Mortgage Inputs'!$B$12,711&lt;=IF('Mortgage Inputs'!$B$12,'Mortgage Inputs'!$B$7,0)*12+600,ISNUMBER(E716),E716&gt;0.005),711,"")</f>
        <v/>
      </c>
      <c r="B717" s="5" t="str">
        <f t="shared" si="23"/>
        <v/>
      </c>
      <c r="C717" s="5" t="str">
        <f>IF(A717="","",B717*'Mortgage Inputs'!$B$15)</f>
        <v/>
      </c>
      <c r="D717" s="5" t="str">
        <f>IF(A717="","",MIN(B717,MAX(0,'Mortgage Inputs'!$B$17-C717)))</f>
        <v/>
      </c>
      <c r="E717" s="5" t="str">
        <f t="shared" si="22"/>
        <v/>
      </c>
      <c r="F717" s="5">
        <f>IF('Monthly Projection'!A717="",0,'Monthly Projection'!G717)</f>
        <v>0</v>
      </c>
    </row>
    <row r="718" spans="1:6">
      <c r="A718" t="str">
        <f>IF(AND('Mortgage Inputs'!$B$12,712&lt;=IF('Mortgage Inputs'!$B$12,'Mortgage Inputs'!$B$7,0)*12+600,ISNUMBER(E717),E717&gt;0.005),712,"")</f>
        <v/>
      </c>
      <c r="B718" s="5" t="str">
        <f t="shared" si="23"/>
        <v/>
      </c>
      <c r="C718" s="5" t="str">
        <f>IF(A718="","",B718*'Mortgage Inputs'!$B$15)</f>
        <v/>
      </c>
      <c r="D718" s="5" t="str">
        <f>IF(A718="","",MIN(B718,MAX(0,'Mortgage Inputs'!$B$17-C718)))</f>
        <v/>
      </c>
      <c r="E718" s="5" t="str">
        <f t="shared" si="22"/>
        <v/>
      </c>
      <c r="F718" s="5">
        <f>IF('Monthly Projection'!A718="",0,'Monthly Projection'!G718)</f>
        <v>0</v>
      </c>
    </row>
    <row r="719" spans="1:6">
      <c r="A719" t="str">
        <f>IF(AND('Mortgage Inputs'!$B$12,713&lt;=IF('Mortgage Inputs'!$B$12,'Mortgage Inputs'!$B$7,0)*12+600,ISNUMBER(E718),E718&gt;0.005),713,"")</f>
        <v/>
      </c>
      <c r="B719" s="5" t="str">
        <f t="shared" si="23"/>
        <v/>
      </c>
      <c r="C719" s="5" t="str">
        <f>IF(A719="","",B719*'Mortgage Inputs'!$B$15)</f>
        <v/>
      </c>
      <c r="D719" s="5" t="str">
        <f>IF(A719="","",MIN(B719,MAX(0,'Mortgage Inputs'!$B$17-C719)))</f>
        <v/>
      </c>
      <c r="E719" s="5" t="str">
        <f t="shared" si="22"/>
        <v/>
      </c>
      <c r="F719" s="5">
        <f>IF('Monthly Projection'!A719="",0,'Monthly Projection'!G719)</f>
        <v>0</v>
      </c>
    </row>
    <row r="720" spans="1:6">
      <c r="A720" t="str">
        <f>IF(AND('Mortgage Inputs'!$B$12,714&lt;=IF('Mortgage Inputs'!$B$12,'Mortgage Inputs'!$B$7,0)*12+600,ISNUMBER(E719),E719&gt;0.005),714,"")</f>
        <v/>
      </c>
      <c r="B720" s="5" t="str">
        <f t="shared" si="23"/>
        <v/>
      </c>
      <c r="C720" s="5" t="str">
        <f>IF(A720="","",B720*'Mortgage Inputs'!$B$15)</f>
        <v/>
      </c>
      <c r="D720" s="5" t="str">
        <f>IF(A720="","",MIN(B720,MAX(0,'Mortgage Inputs'!$B$17-C720)))</f>
        <v/>
      </c>
      <c r="E720" s="5" t="str">
        <f t="shared" si="22"/>
        <v/>
      </c>
      <c r="F720" s="5">
        <f>IF('Monthly Projection'!A720="",0,'Monthly Projection'!G720)</f>
        <v>0</v>
      </c>
    </row>
    <row r="721" spans="1:6">
      <c r="A721" t="str">
        <f>IF(AND('Mortgage Inputs'!$B$12,715&lt;=IF('Mortgage Inputs'!$B$12,'Mortgage Inputs'!$B$7,0)*12+600,ISNUMBER(E720),E720&gt;0.005),715,"")</f>
        <v/>
      </c>
      <c r="B721" s="5" t="str">
        <f t="shared" si="23"/>
        <v/>
      </c>
      <c r="C721" s="5" t="str">
        <f>IF(A721="","",B721*'Mortgage Inputs'!$B$15)</f>
        <v/>
      </c>
      <c r="D721" s="5" t="str">
        <f>IF(A721="","",MIN(B721,MAX(0,'Mortgage Inputs'!$B$17-C721)))</f>
        <v/>
      </c>
      <c r="E721" s="5" t="str">
        <f t="shared" si="22"/>
        <v/>
      </c>
      <c r="F721" s="5">
        <f>IF('Monthly Projection'!A721="",0,'Monthly Projection'!G721)</f>
        <v>0</v>
      </c>
    </row>
    <row r="722" spans="1:6">
      <c r="A722" t="str">
        <f>IF(AND('Mortgage Inputs'!$B$12,716&lt;=IF('Mortgage Inputs'!$B$12,'Mortgage Inputs'!$B$7,0)*12+600,ISNUMBER(E721),E721&gt;0.005),716,"")</f>
        <v/>
      </c>
      <c r="B722" s="5" t="str">
        <f t="shared" si="23"/>
        <v/>
      </c>
      <c r="C722" s="5" t="str">
        <f>IF(A722="","",B722*'Mortgage Inputs'!$B$15)</f>
        <v/>
      </c>
      <c r="D722" s="5" t="str">
        <f>IF(A722="","",MIN(B722,MAX(0,'Mortgage Inputs'!$B$17-C722)))</f>
        <v/>
      </c>
      <c r="E722" s="5" t="str">
        <f t="shared" si="22"/>
        <v/>
      </c>
      <c r="F722" s="5">
        <f>IF('Monthly Projection'!A722="",0,'Monthly Projection'!G722)</f>
        <v>0</v>
      </c>
    </row>
    <row r="723" spans="1:6">
      <c r="A723" t="str">
        <f>IF(AND('Mortgage Inputs'!$B$12,717&lt;=IF('Mortgage Inputs'!$B$12,'Mortgage Inputs'!$B$7,0)*12+600,ISNUMBER(E722),E722&gt;0.005),717,"")</f>
        <v/>
      </c>
      <c r="B723" s="5" t="str">
        <f t="shared" si="23"/>
        <v/>
      </c>
      <c r="C723" s="5" t="str">
        <f>IF(A723="","",B723*'Mortgage Inputs'!$B$15)</f>
        <v/>
      </c>
      <c r="D723" s="5" t="str">
        <f>IF(A723="","",MIN(B723,MAX(0,'Mortgage Inputs'!$B$17-C723)))</f>
        <v/>
      </c>
      <c r="E723" s="5" t="str">
        <f t="shared" si="22"/>
        <v/>
      </c>
      <c r="F723" s="5">
        <f>IF('Monthly Projection'!A723="",0,'Monthly Projection'!G723)</f>
        <v>0</v>
      </c>
    </row>
    <row r="724" spans="1:6">
      <c r="A724" t="str">
        <f>IF(AND('Mortgage Inputs'!$B$12,718&lt;=IF('Mortgage Inputs'!$B$12,'Mortgage Inputs'!$B$7,0)*12+600,ISNUMBER(E723),E723&gt;0.005),718,"")</f>
        <v/>
      </c>
      <c r="B724" s="5" t="str">
        <f t="shared" si="23"/>
        <v/>
      </c>
      <c r="C724" s="5" t="str">
        <f>IF(A724="","",B724*'Mortgage Inputs'!$B$15)</f>
        <v/>
      </c>
      <c r="D724" s="5" t="str">
        <f>IF(A724="","",MIN(B724,MAX(0,'Mortgage Inputs'!$B$17-C724)))</f>
        <v/>
      </c>
      <c r="E724" s="5" t="str">
        <f t="shared" si="22"/>
        <v/>
      </c>
      <c r="F724" s="5">
        <f>IF('Monthly Projection'!A724="",0,'Monthly Projection'!G724)</f>
        <v>0</v>
      </c>
    </row>
    <row r="725" spans="1:6">
      <c r="A725" t="str">
        <f>IF(AND('Mortgage Inputs'!$B$12,719&lt;=IF('Mortgage Inputs'!$B$12,'Mortgage Inputs'!$B$7,0)*12+600,ISNUMBER(E724),E724&gt;0.005),719,"")</f>
        <v/>
      </c>
      <c r="B725" s="5" t="str">
        <f t="shared" si="23"/>
        <v/>
      </c>
      <c r="C725" s="5" t="str">
        <f>IF(A725="","",B725*'Mortgage Inputs'!$B$15)</f>
        <v/>
      </c>
      <c r="D725" s="5" t="str">
        <f>IF(A725="","",MIN(B725,MAX(0,'Mortgage Inputs'!$B$17-C725)))</f>
        <v/>
      </c>
      <c r="E725" s="5" t="str">
        <f t="shared" si="22"/>
        <v/>
      </c>
      <c r="F725" s="5">
        <f>IF('Monthly Projection'!A725="",0,'Monthly Projection'!G725)</f>
        <v>0</v>
      </c>
    </row>
    <row r="726" spans="1:6">
      <c r="A726" t="str">
        <f>IF(AND('Mortgage Inputs'!$B$12,720&lt;=IF('Mortgage Inputs'!$B$12,'Mortgage Inputs'!$B$7,0)*12+600,ISNUMBER(E725),E725&gt;0.005),720,"")</f>
        <v/>
      </c>
      <c r="B726" s="5" t="str">
        <f t="shared" si="23"/>
        <v/>
      </c>
      <c r="C726" s="5" t="str">
        <f>IF(A726="","",B726*'Mortgage Inputs'!$B$15)</f>
        <v/>
      </c>
      <c r="D726" s="5" t="str">
        <f>IF(A726="","",MIN(B726,MAX(0,'Mortgage Inputs'!$B$17-C726)))</f>
        <v/>
      </c>
      <c r="E726" s="5" t="str">
        <f t="shared" si="22"/>
        <v/>
      </c>
      <c r="F726" s="5">
        <f>IF('Monthly Projection'!A726="",0,'Monthly Projection'!G726)</f>
        <v>0</v>
      </c>
    </row>
    <row r="727" spans="1:6">
      <c r="A727" t="str">
        <f>IF(AND('Mortgage Inputs'!$B$12,721&lt;=IF('Mortgage Inputs'!$B$12,'Mortgage Inputs'!$B$7,0)*12+600,ISNUMBER(E726),E726&gt;0.005),721,"")</f>
        <v/>
      </c>
      <c r="B727" s="5" t="str">
        <f t="shared" si="23"/>
        <v/>
      </c>
      <c r="C727" s="5" t="str">
        <f>IF(A727="","",B727*'Mortgage Inputs'!$B$15)</f>
        <v/>
      </c>
      <c r="D727" s="5" t="str">
        <f>IF(A727="","",MIN(B727,MAX(0,'Mortgage Inputs'!$B$17-C727)))</f>
        <v/>
      </c>
      <c r="E727" s="5" t="str">
        <f t="shared" si="22"/>
        <v/>
      </c>
      <c r="F727" s="5">
        <f>IF('Monthly Projection'!A727="",0,'Monthly Projection'!G727)</f>
        <v>0</v>
      </c>
    </row>
    <row r="728" spans="1:6">
      <c r="A728" t="str">
        <f>IF(AND('Mortgage Inputs'!$B$12,722&lt;=IF('Mortgage Inputs'!$B$12,'Mortgage Inputs'!$B$7,0)*12+600,ISNUMBER(E727),E727&gt;0.005),722,"")</f>
        <v/>
      </c>
      <c r="B728" s="5" t="str">
        <f t="shared" si="23"/>
        <v/>
      </c>
      <c r="C728" s="5" t="str">
        <f>IF(A728="","",B728*'Mortgage Inputs'!$B$15)</f>
        <v/>
      </c>
      <c r="D728" s="5" t="str">
        <f>IF(A728="","",MIN(B728,MAX(0,'Mortgage Inputs'!$B$17-C728)))</f>
        <v/>
      </c>
      <c r="E728" s="5" t="str">
        <f t="shared" si="22"/>
        <v/>
      </c>
      <c r="F728" s="5">
        <f>IF('Monthly Projection'!A728="",0,'Monthly Projection'!G728)</f>
        <v>0</v>
      </c>
    </row>
    <row r="729" spans="1:6">
      <c r="A729" t="str">
        <f>IF(AND('Mortgage Inputs'!$B$12,723&lt;=IF('Mortgage Inputs'!$B$12,'Mortgage Inputs'!$B$7,0)*12+600,ISNUMBER(E728),E728&gt;0.005),723,"")</f>
        <v/>
      </c>
      <c r="B729" s="5" t="str">
        <f t="shared" si="23"/>
        <v/>
      </c>
      <c r="C729" s="5" t="str">
        <f>IF(A729="","",B729*'Mortgage Inputs'!$B$15)</f>
        <v/>
      </c>
      <c r="D729" s="5" t="str">
        <f>IF(A729="","",MIN(B729,MAX(0,'Mortgage Inputs'!$B$17-C729)))</f>
        <v/>
      </c>
      <c r="E729" s="5" t="str">
        <f t="shared" si="22"/>
        <v/>
      </c>
      <c r="F729" s="5">
        <f>IF('Monthly Projection'!A729="",0,'Monthly Projection'!G729)</f>
        <v>0</v>
      </c>
    </row>
    <row r="730" spans="1:6">
      <c r="A730" t="str">
        <f>IF(AND('Mortgage Inputs'!$B$12,724&lt;=IF('Mortgage Inputs'!$B$12,'Mortgage Inputs'!$B$7,0)*12+600,ISNUMBER(E729),E729&gt;0.005),724,"")</f>
        <v/>
      </c>
      <c r="B730" s="5" t="str">
        <f t="shared" si="23"/>
        <v/>
      </c>
      <c r="C730" s="5" t="str">
        <f>IF(A730="","",B730*'Mortgage Inputs'!$B$15)</f>
        <v/>
      </c>
      <c r="D730" s="5" t="str">
        <f>IF(A730="","",MIN(B730,MAX(0,'Mortgage Inputs'!$B$17-C730)))</f>
        <v/>
      </c>
      <c r="E730" s="5" t="str">
        <f t="shared" si="22"/>
        <v/>
      </c>
      <c r="F730" s="5">
        <f>IF('Monthly Projection'!A730="",0,'Monthly Projection'!G730)</f>
        <v>0</v>
      </c>
    </row>
    <row r="731" spans="1:6">
      <c r="A731" t="str">
        <f>IF(AND('Mortgage Inputs'!$B$12,725&lt;=IF('Mortgage Inputs'!$B$12,'Mortgage Inputs'!$B$7,0)*12+600,ISNUMBER(E730),E730&gt;0.005),725,"")</f>
        <v/>
      </c>
      <c r="B731" s="5" t="str">
        <f t="shared" si="23"/>
        <v/>
      </c>
      <c r="C731" s="5" t="str">
        <f>IF(A731="","",B731*'Mortgage Inputs'!$B$15)</f>
        <v/>
      </c>
      <c r="D731" s="5" t="str">
        <f>IF(A731="","",MIN(B731,MAX(0,'Mortgage Inputs'!$B$17-C731)))</f>
        <v/>
      </c>
      <c r="E731" s="5" t="str">
        <f t="shared" si="22"/>
        <v/>
      </c>
      <c r="F731" s="5">
        <f>IF('Monthly Projection'!A731="",0,'Monthly Projection'!G731)</f>
        <v>0</v>
      </c>
    </row>
    <row r="732" spans="1:6">
      <c r="A732" t="str">
        <f>IF(AND('Mortgage Inputs'!$B$12,726&lt;=IF('Mortgage Inputs'!$B$12,'Mortgage Inputs'!$B$7,0)*12+600,ISNUMBER(E731),E731&gt;0.005),726,"")</f>
        <v/>
      </c>
      <c r="B732" s="5" t="str">
        <f t="shared" si="23"/>
        <v/>
      </c>
      <c r="C732" s="5" t="str">
        <f>IF(A732="","",B732*'Mortgage Inputs'!$B$15)</f>
        <v/>
      </c>
      <c r="D732" s="5" t="str">
        <f>IF(A732="","",MIN(B732,MAX(0,'Mortgage Inputs'!$B$17-C732)))</f>
        <v/>
      </c>
      <c r="E732" s="5" t="str">
        <f t="shared" si="22"/>
        <v/>
      </c>
      <c r="F732" s="5">
        <f>IF('Monthly Projection'!A732="",0,'Monthly Projection'!G732)</f>
        <v>0</v>
      </c>
    </row>
    <row r="733" spans="1:6">
      <c r="A733" t="str">
        <f>IF(AND('Mortgage Inputs'!$B$12,727&lt;=IF('Mortgage Inputs'!$B$12,'Mortgage Inputs'!$B$7,0)*12+600,ISNUMBER(E732),E732&gt;0.005),727,"")</f>
        <v/>
      </c>
      <c r="B733" s="5" t="str">
        <f t="shared" si="23"/>
        <v/>
      </c>
      <c r="C733" s="5" t="str">
        <f>IF(A733="","",B733*'Mortgage Inputs'!$B$15)</f>
        <v/>
      </c>
      <c r="D733" s="5" t="str">
        <f>IF(A733="","",MIN(B733,MAX(0,'Mortgage Inputs'!$B$17-C733)))</f>
        <v/>
      </c>
      <c r="E733" s="5" t="str">
        <f t="shared" si="22"/>
        <v/>
      </c>
      <c r="F733" s="5">
        <f>IF('Monthly Projection'!A733="",0,'Monthly Projection'!G733)</f>
        <v>0</v>
      </c>
    </row>
    <row r="734" spans="1:6">
      <c r="A734" t="str">
        <f>IF(AND('Mortgage Inputs'!$B$12,728&lt;=IF('Mortgage Inputs'!$B$12,'Mortgage Inputs'!$B$7,0)*12+600,ISNUMBER(E733),E733&gt;0.005),728,"")</f>
        <v/>
      </c>
      <c r="B734" s="5" t="str">
        <f t="shared" si="23"/>
        <v/>
      </c>
      <c r="C734" s="5" t="str">
        <f>IF(A734="","",B734*'Mortgage Inputs'!$B$15)</f>
        <v/>
      </c>
      <c r="D734" s="5" t="str">
        <f>IF(A734="","",MIN(B734,MAX(0,'Mortgage Inputs'!$B$17-C734)))</f>
        <v/>
      </c>
      <c r="E734" s="5" t="str">
        <f t="shared" si="22"/>
        <v/>
      </c>
      <c r="F734" s="5">
        <f>IF('Monthly Projection'!A734="",0,'Monthly Projection'!G734)</f>
        <v>0</v>
      </c>
    </row>
    <row r="735" spans="1:6">
      <c r="A735" t="str">
        <f>IF(AND('Mortgage Inputs'!$B$12,729&lt;=IF('Mortgage Inputs'!$B$12,'Mortgage Inputs'!$B$7,0)*12+600,ISNUMBER(E734),E734&gt;0.005),729,"")</f>
        <v/>
      </c>
      <c r="B735" s="5" t="str">
        <f t="shared" si="23"/>
        <v/>
      </c>
      <c r="C735" s="5" t="str">
        <f>IF(A735="","",B735*'Mortgage Inputs'!$B$15)</f>
        <v/>
      </c>
      <c r="D735" s="5" t="str">
        <f>IF(A735="","",MIN(B735,MAX(0,'Mortgage Inputs'!$B$17-C735)))</f>
        <v/>
      </c>
      <c r="E735" s="5" t="str">
        <f t="shared" si="22"/>
        <v/>
      </c>
      <c r="F735" s="5">
        <f>IF('Monthly Projection'!A735="",0,'Monthly Projection'!G735)</f>
        <v>0</v>
      </c>
    </row>
    <row r="736" spans="1:6">
      <c r="A736" t="str">
        <f>IF(AND('Mortgage Inputs'!$B$12,730&lt;=IF('Mortgage Inputs'!$B$12,'Mortgage Inputs'!$B$7,0)*12+600,ISNUMBER(E735),E735&gt;0.005),730,"")</f>
        <v/>
      </c>
      <c r="B736" s="5" t="str">
        <f t="shared" si="23"/>
        <v/>
      </c>
      <c r="C736" s="5" t="str">
        <f>IF(A736="","",B736*'Mortgage Inputs'!$B$15)</f>
        <v/>
      </c>
      <c r="D736" s="5" t="str">
        <f>IF(A736="","",MIN(B736,MAX(0,'Mortgage Inputs'!$B$17-C736)))</f>
        <v/>
      </c>
      <c r="E736" s="5" t="str">
        <f t="shared" si="22"/>
        <v/>
      </c>
      <c r="F736" s="5">
        <f>IF('Monthly Projection'!A736="",0,'Monthly Projection'!G736)</f>
        <v>0</v>
      </c>
    </row>
    <row r="737" spans="1:6">
      <c r="A737" t="str">
        <f>IF(AND('Mortgage Inputs'!$B$12,731&lt;=IF('Mortgage Inputs'!$B$12,'Mortgage Inputs'!$B$7,0)*12+600,ISNUMBER(E736),E736&gt;0.005),731,"")</f>
        <v/>
      </c>
      <c r="B737" s="5" t="str">
        <f t="shared" si="23"/>
        <v/>
      </c>
      <c r="C737" s="5" t="str">
        <f>IF(A737="","",B737*'Mortgage Inputs'!$B$15)</f>
        <v/>
      </c>
      <c r="D737" s="5" t="str">
        <f>IF(A737="","",MIN(B737,MAX(0,'Mortgage Inputs'!$B$17-C737)))</f>
        <v/>
      </c>
      <c r="E737" s="5" t="str">
        <f t="shared" si="22"/>
        <v/>
      </c>
      <c r="F737" s="5">
        <f>IF('Monthly Projection'!A737="",0,'Monthly Projection'!G737)</f>
        <v>0</v>
      </c>
    </row>
    <row r="738" spans="1:6">
      <c r="A738" t="str">
        <f>IF(AND('Mortgage Inputs'!$B$12,732&lt;=IF('Mortgage Inputs'!$B$12,'Mortgage Inputs'!$B$7,0)*12+600,ISNUMBER(E737),E737&gt;0.005),732,"")</f>
        <v/>
      </c>
      <c r="B738" s="5" t="str">
        <f t="shared" si="23"/>
        <v/>
      </c>
      <c r="C738" s="5" t="str">
        <f>IF(A738="","",B738*'Mortgage Inputs'!$B$15)</f>
        <v/>
      </c>
      <c r="D738" s="5" t="str">
        <f>IF(A738="","",MIN(B738,MAX(0,'Mortgage Inputs'!$B$17-C738)))</f>
        <v/>
      </c>
      <c r="E738" s="5" t="str">
        <f t="shared" si="22"/>
        <v/>
      </c>
      <c r="F738" s="5">
        <f>IF('Monthly Projection'!A738="",0,'Monthly Projection'!G738)</f>
        <v>0</v>
      </c>
    </row>
    <row r="739" spans="1:6">
      <c r="A739" t="str">
        <f>IF(AND('Mortgage Inputs'!$B$12,733&lt;=IF('Mortgage Inputs'!$B$12,'Mortgage Inputs'!$B$7,0)*12+600,ISNUMBER(E738),E738&gt;0.005),733,"")</f>
        <v/>
      </c>
      <c r="B739" s="5" t="str">
        <f t="shared" si="23"/>
        <v/>
      </c>
      <c r="C739" s="5" t="str">
        <f>IF(A739="","",B739*'Mortgage Inputs'!$B$15)</f>
        <v/>
      </c>
      <c r="D739" s="5" t="str">
        <f>IF(A739="","",MIN(B739,MAX(0,'Mortgage Inputs'!$B$17-C739)))</f>
        <v/>
      </c>
      <c r="E739" s="5" t="str">
        <f t="shared" si="22"/>
        <v/>
      </c>
      <c r="F739" s="5">
        <f>IF('Monthly Projection'!A739="",0,'Monthly Projection'!G739)</f>
        <v>0</v>
      </c>
    </row>
    <row r="740" spans="1:6">
      <c r="A740" t="str">
        <f>IF(AND('Mortgage Inputs'!$B$12,734&lt;=IF('Mortgage Inputs'!$B$12,'Mortgage Inputs'!$B$7,0)*12+600,ISNUMBER(E739),E739&gt;0.005),734,"")</f>
        <v/>
      </c>
      <c r="B740" s="5" t="str">
        <f t="shared" si="23"/>
        <v/>
      </c>
      <c r="C740" s="5" t="str">
        <f>IF(A740="","",B740*'Mortgage Inputs'!$B$15)</f>
        <v/>
      </c>
      <c r="D740" s="5" t="str">
        <f>IF(A740="","",MIN(B740,MAX(0,'Mortgage Inputs'!$B$17-C740)))</f>
        <v/>
      </c>
      <c r="E740" s="5" t="str">
        <f t="shared" si="22"/>
        <v/>
      </c>
      <c r="F740" s="5">
        <f>IF('Monthly Projection'!A740="",0,'Monthly Projection'!G740)</f>
        <v>0</v>
      </c>
    </row>
    <row r="741" spans="1:6">
      <c r="A741" t="str">
        <f>IF(AND('Mortgage Inputs'!$B$12,735&lt;=IF('Mortgage Inputs'!$B$12,'Mortgage Inputs'!$B$7,0)*12+600,ISNUMBER(E740),E740&gt;0.005),735,"")</f>
        <v/>
      </c>
      <c r="B741" s="5" t="str">
        <f t="shared" si="23"/>
        <v/>
      </c>
      <c r="C741" s="5" t="str">
        <f>IF(A741="","",B741*'Mortgage Inputs'!$B$15)</f>
        <v/>
      </c>
      <c r="D741" s="5" t="str">
        <f>IF(A741="","",MIN(B741,MAX(0,'Mortgage Inputs'!$B$17-C741)))</f>
        <v/>
      </c>
      <c r="E741" s="5" t="str">
        <f t="shared" si="22"/>
        <v/>
      </c>
      <c r="F741" s="5">
        <f>IF('Monthly Projection'!A741="",0,'Monthly Projection'!G741)</f>
        <v>0</v>
      </c>
    </row>
    <row r="742" spans="1:6">
      <c r="A742" t="str">
        <f>IF(AND('Mortgage Inputs'!$B$12,736&lt;=IF('Mortgage Inputs'!$B$12,'Mortgage Inputs'!$B$7,0)*12+600,ISNUMBER(E741),E741&gt;0.005),736,"")</f>
        <v/>
      </c>
      <c r="B742" s="5" t="str">
        <f t="shared" si="23"/>
        <v/>
      </c>
      <c r="C742" s="5" t="str">
        <f>IF(A742="","",B742*'Mortgage Inputs'!$B$15)</f>
        <v/>
      </c>
      <c r="D742" s="5" t="str">
        <f>IF(A742="","",MIN(B742,MAX(0,'Mortgage Inputs'!$B$17-C742)))</f>
        <v/>
      </c>
      <c r="E742" s="5" t="str">
        <f t="shared" si="22"/>
        <v/>
      </c>
      <c r="F742" s="5">
        <f>IF('Monthly Projection'!A742="",0,'Monthly Projection'!G742)</f>
        <v>0</v>
      </c>
    </row>
    <row r="743" spans="1:6">
      <c r="A743" t="str">
        <f>IF(AND('Mortgage Inputs'!$B$12,737&lt;=IF('Mortgage Inputs'!$B$12,'Mortgage Inputs'!$B$7,0)*12+600,ISNUMBER(E742),E742&gt;0.005),737,"")</f>
        <v/>
      </c>
      <c r="B743" s="5" t="str">
        <f t="shared" si="23"/>
        <v/>
      </c>
      <c r="C743" s="5" t="str">
        <f>IF(A743="","",B743*'Mortgage Inputs'!$B$15)</f>
        <v/>
      </c>
      <c r="D743" s="5" t="str">
        <f>IF(A743="","",MIN(B743,MAX(0,'Mortgage Inputs'!$B$17-C743)))</f>
        <v/>
      </c>
      <c r="E743" s="5" t="str">
        <f t="shared" si="22"/>
        <v/>
      </c>
      <c r="F743" s="5">
        <f>IF('Monthly Projection'!A743="",0,'Monthly Projection'!G743)</f>
        <v>0</v>
      </c>
    </row>
    <row r="744" spans="1:6">
      <c r="A744" t="str">
        <f>IF(AND('Mortgage Inputs'!$B$12,738&lt;=IF('Mortgage Inputs'!$B$12,'Mortgage Inputs'!$B$7,0)*12+600,ISNUMBER(E743),E743&gt;0.005),738,"")</f>
        <v/>
      </c>
      <c r="B744" s="5" t="str">
        <f t="shared" si="23"/>
        <v/>
      </c>
      <c r="C744" s="5" t="str">
        <f>IF(A744="","",B744*'Mortgage Inputs'!$B$15)</f>
        <v/>
      </c>
      <c r="D744" s="5" t="str">
        <f>IF(A744="","",MIN(B744,MAX(0,'Mortgage Inputs'!$B$17-C744)))</f>
        <v/>
      </c>
      <c r="E744" s="5" t="str">
        <f t="shared" si="22"/>
        <v/>
      </c>
      <c r="F744" s="5">
        <f>IF('Monthly Projection'!A744="",0,'Monthly Projection'!G744)</f>
        <v>0</v>
      </c>
    </row>
    <row r="745" spans="1:6">
      <c r="A745" t="str">
        <f>IF(AND('Mortgage Inputs'!$B$12,739&lt;=IF('Mortgage Inputs'!$B$12,'Mortgage Inputs'!$B$7,0)*12+600,ISNUMBER(E744),E744&gt;0.005),739,"")</f>
        <v/>
      </c>
      <c r="B745" s="5" t="str">
        <f t="shared" si="23"/>
        <v/>
      </c>
      <c r="C745" s="5" t="str">
        <f>IF(A745="","",B745*'Mortgage Inputs'!$B$15)</f>
        <v/>
      </c>
      <c r="D745" s="5" t="str">
        <f>IF(A745="","",MIN(B745,MAX(0,'Mortgage Inputs'!$B$17-C745)))</f>
        <v/>
      </c>
      <c r="E745" s="5" t="str">
        <f t="shared" si="22"/>
        <v/>
      </c>
      <c r="F745" s="5">
        <f>IF('Monthly Projection'!A745="",0,'Monthly Projection'!G745)</f>
        <v>0</v>
      </c>
    </row>
    <row r="746" spans="1:6">
      <c r="A746" t="str">
        <f>IF(AND('Mortgage Inputs'!$B$12,740&lt;=IF('Mortgage Inputs'!$B$12,'Mortgage Inputs'!$B$7,0)*12+600,ISNUMBER(E745),E745&gt;0.005),740,"")</f>
        <v/>
      </c>
      <c r="B746" s="5" t="str">
        <f t="shared" si="23"/>
        <v/>
      </c>
      <c r="C746" s="5" t="str">
        <f>IF(A746="","",B746*'Mortgage Inputs'!$B$15)</f>
        <v/>
      </c>
      <c r="D746" s="5" t="str">
        <f>IF(A746="","",MIN(B746,MAX(0,'Mortgage Inputs'!$B$17-C746)))</f>
        <v/>
      </c>
      <c r="E746" s="5" t="str">
        <f t="shared" si="22"/>
        <v/>
      </c>
      <c r="F746" s="5">
        <f>IF('Monthly Projection'!A746="",0,'Monthly Projection'!G746)</f>
        <v>0</v>
      </c>
    </row>
    <row r="747" spans="1:6">
      <c r="A747" t="str">
        <f>IF(AND('Mortgage Inputs'!$B$12,741&lt;=IF('Mortgage Inputs'!$B$12,'Mortgage Inputs'!$B$7,0)*12+600,ISNUMBER(E746),E746&gt;0.005),741,"")</f>
        <v/>
      </c>
      <c r="B747" s="5" t="str">
        <f t="shared" si="23"/>
        <v/>
      </c>
      <c r="C747" s="5" t="str">
        <f>IF(A747="","",B747*'Mortgage Inputs'!$B$15)</f>
        <v/>
      </c>
      <c r="D747" s="5" t="str">
        <f>IF(A747="","",MIN(B747,MAX(0,'Mortgage Inputs'!$B$17-C747)))</f>
        <v/>
      </c>
      <c r="E747" s="5" t="str">
        <f t="shared" si="22"/>
        <v/>
      </c>
      <c r="F747" s="5">
        <f>IF('Monthly Projection'!A747="",0,'Monthly Projection'!G747)</f>
        <v>0</v>
      </c>
    </row>
    <row r="748" spans="1:6">
      <c r="A748" t="str">
        <f>IF(AND('Mortgage Inputs'!$B$12,742&lt;=IF('Mortgage Inputs'!$B$12,'Mortgage Inputs'!$B$7,0)*12+600,ISNUMBER(E747),E747&gt;0.005),742,"")</f>
        <v/>
      </c>
      <c r="B748" s="5" t="str">
        <f t="shared" si="23"/>
        <v/>
      </c>
      <c r="C748" s="5" t="str">
        <f>IF(A748="","",B748*'Mortgage Inputs'!$B$15)</f>
        <v/>
      </c>
      <c r="D748" s="5" t="str">
        <f>IF(A748="","",MIN(B748,MAX(0,'Mortgage Inputs'!$B$17-C748)))</f>
        <v/>
      </c>
      <c r="E748" s="5" t="str">
        <f t="shared" si="22"/>
        <v/>
      </c>
      <c r="F748" s="5">
        <f>IF('Monthly Projection'!A748="",0,'Monthly Projection'!G748)</f>
        <v>0</v>
      </c>
    </row>
    <row r="749" spans="1:6">
      <c r="A749" t="str">
        <f>IF(AND('Mortgage Inputs'!$B$12,743&lt;=IF('Mortgage Inputs'!$B$12,'Mortgage Inputs'!$B$7,0)*12+600,ISNUMBER(E748),E748&gt;0.005),743,"")</f>
        <v/>
      </c>
      <c r="B749" s="5" t="str">
        <f t="shared" si="23"/>
        <v/>
      </c>
      <c r="C749" s="5" t="str">
        <f>IF(A749="","",B749*'Mortgage Inputs'!$B$15)</f>
        <v/>
      </c>
      <c r="D749" s="5" t="str">
        <f>IF(A749="","",MIN(B749,MAX(0,'Mortgage Inputs'!$B$17-C749)))</f>
        <v/>
      </c>
      <c r="E749" s="5" t="str">
        <f t="shared" si="22"/>
        <v/>
      </c>
      <c r="F749" s="5">
        <f>IF('Monthly Projection'!A749="",0,'Monthly Projection'!G749)</f>
        <v>0</v>
      </c>
    </row>
    <row r="750" spans="1:6">
      <c r="A750" t="str">
        <f>IF(AND('Mortgage Inputs'!$B$12,744&lt;=IF('Mortgage Inputs'!$B$12,'Mortgage Inputs'!$B$7,0)*12+600,ISNUMBER(E749),E749&gt;0.005),744,"")</f>
        <v/>
      </c>
      <c r="B750" s="5" t="str">
        <f t="shared" si="23"/>
        <v/>
      </c>
      <c r="C750" s="5" t="str">
        <f>IF(A750="","",B750*'Mortgage Inputs'!$B$15)</f>
        <v/>
      </c>
      <c r="D750" s="5" t="str">
        <f>IF(A750="","",MIN(B750,MAX(0,'Mortgage Inputs'!$B$17-C750)))</f>
        <v/>
      </c>
      <c r="E750" s="5" t="str">
        <f t="shared" si="22"/>
        <v/>
      </c>
      <c r="F750" s="5">
        <f>IF('Monthly Projection'!A750="",0,'Monthly Projection'!G750)</f>
        <v>0</v>
      </c>
    </row>
    <row r="751" spans="1:6">
      <c r="A751" t="str">
        <f>IF(AND('Mortgage Inputs'!$B$12,745&lt;=IF('Mortgage Inputs'!$B$12,'Mortgage Inputs'!$B$7,0)*12+600,ISNUMBER(E750),E750&gt;0.005),745,"")</f>
        <v/>
      </c>
      <c r="B751" s="5" t="str">
        <f t="shared" si="23"/>
        <v/>
      </c>
      <c r="C751" s="5" t="str">
        <f>IF(A751="","",B751*'Mortgage Inputs'!$B$15)</f>
        <v/>
      </c>
      <c r="D751" s="5" t="str">
        <f>IF(A751="","",MIN(B751,MAX(0,'Mortgage Inputs'!$B$17-C751)))</f>
        <v/>
      </c>
      <c r="E751" s="5" t="str">
        <f t="shared" si="22"/>
        <v/>
      </c>
      <c r="F751" s="5">
        <f>IF('Monthly Projection'!A751="",0,'Monthly Projection'!G751)</f>
        <v>0</v>
      </c>
    </row>
    <row r="752" spans="1:6">
      <c r="A752" t="str">
        <f>IF(AND('Mortgage Inputs'!$B$12,746&lt;=IF('Mortgage Inputs'!$B$12,'Mortgage Inputs'!$B$7,0)*12+600,ISNUMBER(E751),E751&gt;0.005),746,"")</f>
        <v/>
      </c>
      <c r="B752" s="5" t="str">
        <f t="shared" si="23"/>
        <v/>
      </c>
      <c r="C752" s="5" t="str">
        <f>IF(A752="","",B752*'Mortgage Inputs'!$B$15)</f>
        <v/>
      </c>
      <c r="D752" s="5" t="str">
        <f>IF(A752="","",MIN(B752,MAX(0,'Mortgage Inputs'!$B$17-C752)))</f>
        <v/>
      </c>
      <c r="E752" s="5" t="str">
        <f t="shared" si="22"/>
        <v/>
      </c>
      <c r="F752" s="5">
        <f>IF('Monthly Projection'!A752="",0,'Monthly Projection'!G752)</f>
        <v>0</v>
      </c>
    </row>
    <row r="753" spans="1:6">
      <c r="A753" t="str">
        <f>IF(AND('Mortgage Inputs'!$B$12,747&lt;=IF('Mortgage Inputs'!$B$12,'Mortgage Inputs'!$B$7,0)*12+600,ISNUMBER(E752),E752&gt;0.005),747,"")</f>
        <v/>
      </c>
      <c r="B753" s="5" t="str">
        <f t="shared" si="23"/>
        <v/>
      </c>
      <c r="C753" s="5" t="str">
        <f>IF(A753="","",B753*'Mortgage Inputs'!$B$15)</f>
        <v/>
      </c>
      <c r="D753" s="5" t="str">
        <f>IF(A753="","",MIN(B753,MAX(0,'Mortgage Inputs'!$B$17-C753)))</f>
        <v/>
      </c>
      <c r="E753" s="5" t="str">
        <f t="shared" si="22"/>
        <v/>
      </c>
      <c r="F753" s="5">
        <f>IF('Monthly Projection'!A753="",0,'Monthly Projection'!G753)</f>
        <v>0</v>
      </c>
    </row>
    <row r="754" spans="1:6">
      <c r="A754" t="str">
        <f>IF(AND('Mortgage Inputs'!$B$12,748&lt;=IF('Mortgage Inputs'!$B$12,'Mortgage Inputs'!$B$7,0)*12+600,ISNUMBER(E753),E753&gt;0.005),748,"")</f>
        <v/>
      </c>
      <c r="B754" s="5" t="str">
        <f t="shared" si="23"/>
        <v/>
      </c>
      <c r="C754" s="5" t="str">
        <f>IF(A754="","",B754*'Mortgage Inputs'!$B$15)</f>
        <v/>
      </c>
      <c r="D754" s="5" t="str">
        <f>IF(A754="","",MIN(B754,MAX(0,'Mortgage Inputs'!$B$17-C754)))</f>
        <v/>
      </c>
      <c r="E754" s="5" t="str">
        <f t="shared" si="22"/>
        <v/>
      </c>
      <c r="F754" s="5">
        <f>IF('Monthly Projection'!A754="",0,'Monthly Projection'!G754)</f>
        <v>0</v>
      </c>
    </row>
    <row r="755" spans="1:6">
      <c r="A755" t="str">
        <f>IF(AND('Mortgage Inputs'!$B$12,749&lt;=IF('Mortgage Inputs'!$B$12,'Mortgage Inputs'!$B$7,0)*12+600,ISNUMBER(E754),E754&gt;0.005),749,"")</f>
        <v/>
      </c>
      <c r="B755" s="5" t="str">
        <f t="shared" si="23"/>
        <v/>
      </c>
      <c r="C755" s="5" t="str">
        <f>IF(A755="","",B755*'Mortgage Inputs'!$B$15)</f>
        <v/>
      </c>
      <c r="D755" s="5" t="str">
        <f>IF(A755="","",MIN(B755,MAX(0,'Mortgage Inputs'!$B$17-C755)))</f>
        <v/>
      </c>
      <c r="E755" s="5" t="str">
        <f t="shared" si="22"/>
        <v/>
      </c>
      <c r="F755" s="5">
        <f>IF('Monthly Projection'!A755="",0,'Monthly Projection'!G755)</f>
        <v>0</v>
      </c>
    </row>
    <row r="756" spans="1:6">
      <c r="A756" t="str">
        <f>IF(AND('Mortgage Inputs'!$B$12,750&lt;=IF('Mortgage Inputs'!$B$12,'Mortgage Inputs'!$B$7,0)*12+600,ISNUMBER(E755),E755&gt;0.005),750,"")</f>
        <v/>
      </c>
      <c r="B756" s="5" t="str">
        <f t="shared" si="23"/>
        <v/>
      </c>
      <c r="C756" s="5" t="str">
        <f>IF(A756="","",B756*'Mortgage Inputs'!$B$15)</f>
        <v/>
      </c>
      <c r="D756" s="5" t="str">
        <f>IF(A756="","",MIN(B756,MAX(0,'Mortgage Inputs'!$B$17-C756)))</f>
        <v/>
      </c>
      <c r="E756" s="5" t="str">
        <f t="shared" si="22"/>
        <v/>
      </c>
      <c r="F756" s="5">
        <f>IF('Monthly Projection'!A756="",0,'Monthly Projection'!G756)</f>
        <v>0</v>
      </c>
    </row>
    <row r="757" spans="1:6">
      <c r="A757" t="str">
        <f>IF(AND('Mortgage Inputs'!$B$12,751&lt;=IF('Mortgage Inputs'!$B$12,'Mortgage Inputs'!$B$7,0)*12+600,ISNUMBER(E756),E756&gt;0.005),751,"")</f>
        <v/>
      </c>
      <c r="B757" s="5" t="str">
        <f t="shared" si="23"/>
        <v/>
      </c>
      <c r="C757" s="5" t="str">
        <f>IF(A757="","",B757*'Mortgage Inputs'!$B$15)</f>
        <v/>
      </c>
      <c r="D757" s="5" t="str">
        <f>IF(A757="","",MIN(B757,MAX(0,'Mortgage Inputs'!$B$17-C757)))</f>
        <v/>
      </c>
      <c r="E757" s="5" t="str">
        <f t="shared" si="22"/>
        <v/>
      </c>
      <c r="F757" s="5">
        <f>IF('Monthly Projection'!A757="",0,'Monthly Projection'!G757)</f>
        <v>0</v>
      </c>
    </row>
    <row r="758" spans="1:6">
      <c r="A758" t="str">
        <f>IF(AND('Mortgage Inputs'!$B$12,752&lt;=IF('Mortgage Inputs'!$B$12,'Mortgage Inputs'!$B$7,0)*12+600,ISNUMBER(E757),E757&gt;0.005),752,"")</f>
        <v/>
      </c>
      <c r="B758" s="5" t="str">
        <f t="shared" si="23"/>
        <v/>
      </c>
      <c r="C758" s="5" t="str">
        <f>IF(A758="","",B758*'Mortgage Inputs'!$B$15)</f>
        <v/>
      </c>
      <c r="D758" s="5" t="str">
        <f>IF(A758="","",MIN(B758,MAX(0,'Mortgage Inputs'!$B$17-C758)))</f>
        <v/>
      </c>
      <c r="E758" s="5" t="str">
        <f t="shared" si="22"/>
        <v/>
      </c>
      <c r="F758" s="5">
        <f>IF('Monthly Projection'!A758="",0,'Monthly Projection'!G758)</f>
        <v>0</v>
      </c>
    </row>
    <row r="759" spans="1:6">
      <c r="A759" t="str">
        <f>IF(AND('Mortgage Inputs'!$B$12,753&lt;=IF('Mortgage Inputs'!$B$12,'Mortgage Inputs'!$B$7,0)*12+600,ISNUMBER(E758),E758&gt;0.005),753,"")</f>
        <v/>
      </c>
      <c r="B759" s="5" t="str">
        <f t="shared" si="23"/>
        <v/>
      </c>
      <c r="C759" s="5" t="str">
        <f>IF(A759="","",B759*'Mortgage Inputs'!$B$15)</f>
        <v/>
      </c>
      <c r="D759" s="5" t="str">
        <f>IF(A759="","",MIN(B759,MAX(0,'Mortgage Inputs'!$B$17-C759)))</f>
        <v/>
      </c>
      <c r="E759" s="5" t="str">
        <f t="shared" si="22"/>
        <v/>
      </c>
      <c r="F759" s="5">
        <f>IF('Monthly Projection'!A759="",0,'Monthly Projection'!G759)</f>
        <v>0</v>
      </c>
    </row>
    <row r="760" spans="1:6">
      <c r="A760" t="str">
        <f>IF(AND('Mortgage Inputs'!$B$12,754&lt;=IF('Mortgage Inputs'!$B$12,'Mortgage Inputs'!$B$7,0)*12+600,ISNUMBER(E759),E759&gt;0.005),754,"")</f>
        <v/>
      </c>
      <c r="B760" s="5" t="str">
        <f t="shared" si="23"/>
        <v/>
      </c>
      <c r="C760" s="5" t="str">
        <f>IF(A760="","",B760*'Mortgage Inputs'!$B$15)</f>
        <v/>
      </c>
      <c r="D760" s="5" t="str">
        <f>IF(A760="","",MIN(B760,MAX(0,'Mortgage Inputs'!$B$17-C760)))</f>
        <v/>
      </c>
      <c r="E760" s="5" t="str">
        <f t="shared" si="22"/>
        <v/>
      </c>
      <c r="F760" s="5">
        <f>IF('Monthly Projection'!A760="",0,'Monthly Projection'!G760)</f>
        <v>0</v>
      </c>
    </row>
    <row r="761" spans="1:6">
      <c r="A761" t="str">
        <f>IF(AND('Mortgage Inputs'!$B$12,755&lt;=IF('Mortgage Inputs'!$B$12,'Mortgage Inputs'!$B$7,0)*12+600,ISNUMBER(E760),E760&gt;0.005),755,"")</f>
        <v/>
      </c>
      <c r="B761" s="5" t="str">
        <f t="shared" si="23"/>
        <v/>
      </c>
      <c r="C761" s="5" t="str">
        <f>IF(A761="","",B761*'Mortgage Inputs'!$B$15)</f>
        <v/>
      </c>
      <c r="D761" s="5" t="str">
        <f>IF(A761="","",MIN(B761,MAX(0,'Mortgage Inputs'!$B$17-C761)))</f>
        <v/>
      </c>
      <c r="E761" s="5" t="str">
        <f t="shared" si="22"/>
        <v/>
      </c>
      <c r="F761" s="5">
        <f>IF('Monthly Projection'!A761="",0,'Monthly Projection'!G761)</f>
        <v>0</v>
      </c>
    </row>
    <row r="762" spans="1:6">
      <c r="A762" t="str">
        <f>IF(AND('Mortgage Inputs'!$B$12,756&lt;=IF('Mortgage Inputs'!$B$12,'Mortgage Inputs'!$B$7,0)*12+600,ISNUMBER(E761),E761&gt;0.005),756,"")</f>
        <v/>
      </c>
      <c r="B762" s="5" t="str">
        <f t="shared" si="23"/>
        <v/>
      </c>
      <c r="C762" s="5" t="str">
        <f>IF(A762="","",B762*'Mortgage Inputs'!$B$15)</f>
        <v/>
      </c>
      <c r="D762" s="5" t="str">
        <f>IF(A762="","",MIN(B762,MAX(0,'Mortgage Inputs'!$B$17-C762)))</f>
        <v/>
      </c>
      <c r="E762" s="5" t="str">
        <f t="shared" si="22"/>
        <v/>
      </c>
      <c r="F762" s="5">
        <f>IF('Monthly Projection'!A762="",0,'Monthly Projection'!G762)</f>
        <v>0</v>
      </c>
    </row>
    <row r="763" spans="1:6">
      <c r="A763" t="str">
        <f>IF(AND('Mortgage Inputs'!$B$12,757&lt;=IF('Mortgage Inputs'!$B$12,'Mortgage Inputs'!$B$7,0)*12+600,ISNUMBER(E762),E762&gt;0.005),757,"")</f>
        <v/>
      </c>
      <c r="B763" s="5" t="str">
        <f t="shared" si="23"/>
        <v/>
      </c>
      <c r="C763" s="5" t="str">
        <f>IF(A763="","",B763*'Mortgage Inputs'!$B$15)</f>
        <v/>
      </c>
      <c r="D763" s="5" t="str">
        <f>IF(A763="","",MIN(B763,MAX(0,'Mortgage Inputs'!$B$17-C763)))</f>
        <v/>
      </c>
      <c r="E763" s="5" t="str">
        <f t="shared" si="22"/>
        <v/>
      </c>
      <c r="F763" s="5">
        <f>IF('Monthly Projection'!A763="",0,'Monthly Projection'!G763)</f>
        <v>0</v>
      </c>
    </row>
    <row r="764" spans="1:6">
      <c r="A764" t="str">
        <f>IF(AND('Mortgage Inputs'!$B$12,758&lt;=IF('Mortgage Inputs'!$B$12,'Mortgage Inputs'!$B$7,0)*12+600,ISNUMBER(E763),E763&gt;0.005),758,"")</f>
        <v/>
      </c>
      <c r="B764" s="5" t="str">
        <f t="shared" si="23"/>
        <v/>
      </c>
      <c r="C764" s="5" t="str">
        <f>IF(A764="","",B764*'Mortgage Inputs'!$B$15)</f>
        <v/>
      </c>
      <c r="D764" s="5" t="str">
        <f>IF(A764="","",MIN(B764,MAX(0,'Mortgage Inputs'!$B$17-C764)))</f>
        <v/>
      </c>
      <c r="E764" s="5" t="str">
        <f t="shared" si="22"/>
        <v/>
      </c>
      <c r="F764" s="5">
        <f>IF('Monthly Projection'!A764="",0,'Monthly Projection'!G764)</f>
        <v>0</v>
      </c>
    </row>
    <row r="765" spans="1:6">
      <c r="A765" t="str">
        <f>IF(AND('Mortgage Inputs'!$B$12,759&lt;=IF('Mortgage Inputs'!$B$12,'Mortgage Inputs'!$B$7,0)*12+600,ISNUMBER(E764),E764&gt;0.005),759,"")</f>
        <v/>
      </c>
      <c r="B765" s="5" t="str">
        <f t="shared" si="23"/>
        <v/>
      </c>
      <c r="C765" s="5" t="str">
        <f>IF(A765="","",B765*'Mortgage Inputs'!$B$15)</f>
        <v/>
      </c>
      <c r="D765" s="5" t="str">
        <f>IF(A765="","",MIN(B765,MAX(0,'Mortgage Inputs'!$B$17-C765)))</f>
        <v/>
      </c>
      <c r="E765" s="5" t="str">
        <f t="shared" si="22"/>
        <v/>
      </c>
      <c r="F765" s="5">
        <f>IF('Monthly Projection'!A765="",0,'Monthly Projection'!G765)</f>
        <v>0</v>
      </c>
    </row>
    <row r="766" spans="1:6">
      <c r="A766" t="str">
        <f>IF(AND('Mortgage Inputs'!$B$12,760&lt;=IF('Mortgage Inputs'!$B$12,'Mortgage Inputs'!$B$7,0)*12+600,ISNUMBER(E765),E765&gt;0.005),760,"")</f>
        <v/>
      </c>
      <c r="B766" s="5" t="str">
        <f t="shared" si="23"/>
        <v/>
      </c>
      <c r="C766" s="5" t="str">
        <f>IF(A766="","",B766*'Mortgage Inputs'!$B$15)</f>
        <v/>
      </c>
      <c r="D766" s="5" t="str">
        <f>IF(A766="","",MIN(B766,MAX(0,'Mortgage Inputs'!$B$17-C766)))</f>
        <v/>
      </c>
      <c r="E766" s="5" t="str">
        <f t="shared" si="22"/>
        <v/>
      </c>
      <c r="F766" s="5">
        <f>IF('Monthly Projection'!A766="",0,'Monthly Projection'!G766)</f>
        <v>0</v>
      </c>
    </row>
    <row r="767" spans="1:6">
      <c r="A767" t="str">
        <f>IF(AND('Mortgage Inputs'!$B$12,761&lt;=IF('Mortgage Inputs'!$B$12,'Mortgage Inputs'!$B$7,0)*12+600,ISNUMBER(E766),E766&gt;0.005),761,"")</f>
        <v/>
      </c>
      <c r="B767" s="5" t="str">
        <f t="shared" si="23"/>
        <v/>
      </c>
      <c r="C767" s="5" t="str">
        <f>IF(A767="","",B767*'Mortgage Inputs'!$B$15)</f>
        <v/>
      </c>
      <c r="D767" s="5" t="str">
        <f>IF(A767="","",MIN(B767,MAX(0,'Mortgage Inputs'!$B$17-C767)))</f>
        <v/>
      </c>
      <c r="E767" s="5" t="str">
        <f t="shared" si="22"/>
        <v/>
      </c>
      <c r="F767" s="5">
        <f>IF('Monthly Projection'!A767="",0,'Monthly Projection'!G767)</f>
        <v>0</v>
      </c>
    </row>
    <row r="768" spans="1:6">
      <c r="A768" t="str">
        <f>IF(AND('Mortgage Inputs'!$B$12,762&lt;=IF('Mortgage Inputs'!$B$12,'Mortgage Inputs'!$B$7,0)*12+600,ISNUMBER(E767),E767&gt;0.005),762,"")</f>
        <v/>
      </c>
      <c r="B768" s="5" t="str">
        <f t="shared" si="23"/>
        <v/>
      </c>
      <c r="C768" s="5" t="str">
        <f>IF(A768="","",B768*'Mortgage Inputs'!$B$15)</f>
        <v/>
      </c>
      <c r="D768" s="5" t="str">
        <f>IF(A768="","",MIN(B768,MAX(0,'Mortgage Inputs'!$B$17-C768)))</f>
        <v/>
      </c>
      <c r="E768" s="5" t="str">
        <f t="shared" si="22"/>
        <v/>
      </c>
      <c r="F768" s="5">
        <f>IF('Monthly Projection'!A768="",0,'Monthly Projection'!G768)</f>
        <v>0</v>
      </c>
    </row>
    <row r="769" spans="1:6">
      <c r="A769" t="str">
        <f>IF(AND('Mortgage Inputs'!$B$12,763&lt;=IF('Mortgage Inputs'!$B$12,'Mortgage Inputs'!$B$7,0)*12+600,ISNUMBER(E768),E768&gt;0.005),763,"")</f>
        <v/>
      </c>
      <c r="B769" s="5" t="str">
        <f t="shared" si="23"/>
        <v/>
      </c>
      <c r="C769" s="5" t="str">
        <f>IF(A769="","",B769*'Mortgage Inputs'!$B$15)</f>
        <v/>
      </c>
      <c r="D769" s="5" t="str">
        <f>IF(A769="","",MIN(B769,MAX(0,'Mortgage Inputs'!$B$17-C769)))</f>
        <v/>
      </c>
      <c r="E769" s="5" t="str">
        <f t="shared" si="22"/>
        <v/>
      </c>
      <c r="F769" s="5">
        <f>IF('Monthly Projection'!A769="",0,'Monthly Projection'!G769)</f>
        <v>0</v>
      </c>
    </row>
    <row r="770" spans="1:6">
      <c r="A770" t="str">
        <f>IF(AND('Mortgage Inputs'!$B$12,764&lt;=IF('Mortgage Inputs'!$B$12,'Mortgage Inputs'!$B$7,0)*12+600,ISNUMBER(E769),E769&gt;0.005),764,"")</f>
        <v/>
      </c>
      <c r="B770" s="5" t="str">
        <f t="shared" si="23"/>
        <v/>
      </c>
      <c r="C770" s="5" t="str">
        <f>IF(A770="","",B770*'Mortgage Inputs'!$B$15)</f>
        <v/>
      </c>
      <c r="D770" s="5" t="str">
        <f>IF(A770="","",MIN(B770,MAX(0,'Mortgage Inputs'!$B$17-C770)))</f>
        <v/>
      </c>
      <c r="E770" s="5" t="str">
        <f t="shared" si="22"/>
        <v/>
      </c>
      <c r="F770" s="5">
        <f>IF('Monthly Projection'!A770="",0,'Monthly Projection'!G770)</f>
        <v>0</v>
      </c>
    </row>
    <row r="771" spans="1:6">
      <c r="A771" t="str">
        <f>IF(AND('Mortgage Inputs'!$B$12,765&lt;=IF('Mortgage Inputs'!$B$12,'Mortgage Inputs'!$B$7,0)*12+600,ISNUMBER(E770),E770&gt;0.005),765,"")</f>
        <v/>
      </c>
      <c r="B771" s="5" t="str">
        <f t="shared" si="23"/>
        <v/>
      </c>
      <c r="C771" s="5" t="str">
        <f>IF(A771="","",B771*'Mortgage Inputs'!$B$15)</f>
        <v/>
      </c>
      <c r="D771" s="5" t="str">
        <f>IF(A771="","",MIN(B771,MAX(0,'Mortgage Inputs'!$B$17-C771)))</f>
        <v/>
      </c>
      <c r="E771" s="5" t="str">
        <f t="shared" si="22"/>
        <v/>
      </c>
      <c r="F771" s="5">
        <f>IF('Monthly Projection'!A771="",0,'Monthly Projection'!G771)</f>
        <v>0</v>
      </c>
    </row>
    <row r="772" spans="1:6">
      <c r="A772" t="str">
        <f>IF(AND('Mortgage Inputs'!$B$12,766&lt;=IF('Mortgage Inputs'!$B$12,'Mortgage Inputs'!$B$7,0)*12+600,ISNUMBER(E771),E771&gt;0.005),766,"")</f>
        <v/>
      </c>
      <c r="B772" s="5" t="str">
        <f t="shared" si="23"/>
        <v/>
      </c>
      <c r="C772" s="5" t="str">
        <f>IF(A772="","",B772*'Mortgage Inputs'!$B$15)</f>
        <v/>
      </c>
      <c r="D772" s="5" t="str">
        <f>IF(A772="","",MIN(B772,MAX(0,'Mortgage Inputs'!$B$17-C772)))</f>
        <v/>
      </c>
      <c r="E772" s="5" t="str">
        <f t="shared" si="22"/>
        <v/>
      </c>
      <c r="F772" s="5">
        <f>IF('Monthly Projection'!A772="",0,'Monthly Projection'!G772)</f>
        <v>0</v>
      </c>
    </row>
    <row r="773" spans="1:6">
      <c r="A773" t="str">
        <f>IF(AND('Mortgage Inputs'!$B$12,767&lt;=IF('Mortgage Inputs'!$B$12,'Mortgage Inputs'!$B$7,0)*12+600,ISNUMBER(E772),E772&gt;0.005),767,"")</f>
        <v/>
      </c>
      <c r="B773" s="5" t="str">
        <f t="shared" si="23"/>
        <v/>
      </c>
      <c r="C773" s="5" t="str">
        <f>IF(A773="","",B773*'Mortgage Inputs'!$B$15)</f>
        <v/>
      </c>
      <c r="D773" s="5" t="str">
        <f>IF(A773="","",MIN(B773,MAX(0,'Mortgage Inputs'!$B$17-C773)))</f>
        <v/>
      </c>
      <c r="E773" s="5" t="str">
        <f t="shared" si="22"/>
        <v/>
      </c>
      <c r="F773" s="5">
        <f>IF('Monthly Projection'!A773="",0,'Monthly Projection'!G773)</f>
        <v>0</v>
      </c>
    </row>
    <row r="774" spans="1:6">
      <c r="A774" t="str">
        <f>IF(AND('Mortgage Inputs'!$B$12,768&lt;=IF('Mortgage Inputs'!$B$12,'Mortgage Inputs'!$B$7,0)*12+600,ISNUMBER(E773),E773&gt;0.005),768,"")</f>
        <v/>
      </c>
      <c r="B774" s="5" t="str">
        <f t="shared" si="23"/>
        <v/>
      </c>
      <c r="C774" s="5" t="str">
        <f>IF(A774="","",B774*'Mortgage Inputs'!$B$15)</f>
        <v/>
      </c>
      <c r="D774" s="5" t="str">
        <f>IF(A774="","",MIN(B774,MAX(0,'Mortgage Inputs'!$B$17-C774)))</f>
        <v/>
      </c>
      <c r="E774" s="5" t="str">
        <f t="shared" si="22"/>
        <v/>
      </c>
      <c r="F774" s="5">
        <f>IF('Monthly Projection'!A774="",0,'Monthly Projection'!G774)</f>
        <v>0</v>
      </c>
    </row>
    <row r="775" spans="1:6">
      <c r="A775" t="str">
        <f>IF(AND('Mortgage Inputs'!$B$12,769&lt;=IF('Mortgage Inputs'!$B$12,'Mortgage Inputs'!$B$7,0)*12+600,ISNUMBER(E774),E774&gt;0.005),769,"")</f>
        <v/>
      </c>
      <c r="B775" s="5" t="str">
        <f t="shared" si="23"/>
        <v/>
      </c>
      <c r="C775" s="5" t="str">
        <f>IF(A775="","",B775*'Mortgage Inputs'!$B$15)</f>
        <v/>
      </c>
      <c r="D775" s="5" t="str">
        <f>IF(A775="","",MIN(B775,MAX(0,'Mortgage Inputs'!$B$17-C775)))</f>
        <v/>
      </c>
      <c r="E775" s="5" t="str">
        <f t="shared" ref="E775:E838" si="24">IF(A775="","",MAX(0,B775-D775))</f>
        <v/>
      </c>
      <c r="F775" s="5">
        <f>IF('Monthly Projection'!A775="",0,'Monthly Projection'!G775)</f>
        <v>0</v>
      </c>
    </row>
    <row r="776" spans="1:6">
      <c r="A776" t="str">
        <f>IF(AND('Mortgage Inputs'!$B$12,770&lt;=IF('Mortgage Inputs'!$B$12,'Mortgage Inputs'!$B$7,0)*12+600,ISNUMBER(E775),E775&gt;0.005),770,"")</f>
        <v/>
      </c>
      <c r="B776" s="5" t="str">
        <f t="shared" ref="B776:B839" si="25">IF(A776="","",E775)</f>
        <v/>
      </c>
      <c r="C776" s="5" t="str">
        <f>IF(A776="","",B776*'Mortgage Inputs'!$B$15)</f>
        <v/>
      </c>
      <c r="D776" s="5" t="str">
        <f>IF(A776="","",MIN(B776,MAX(0,'Mortgage Inputs'!$B$17-C776)))</f>
        <v/>
      </c>
      <c r="E776" s="5" t="str">
        <f t="shared" si="24"/>
        <v/>
      </c>
      <c r="F776" s="5">
        <f>IF('Monthly Projection'!A776="",0,'Monthly Projection'!G776)</f>
        <v>0</v>
      </c>
    </row>
    <row r="777" spans="1:6">
      <c r="A777" t="str">
        <f>IF(AND('Mortgage Inputs'!$B$12,771&lt;=IF('Mortgage Inputs'!$B$12,'Mortgage Inputs'!$B$7,0)*12+600,ISNUMBER(E776),E776&gt;0.005),771,"")</f>
        <v/>
      </c>
      <c r="B777" s="5" t="str">
        <f t="shared" si="25"/>
        <v/>
      </c>
      <c r="C777" s="5" t="str">
        <f>IF(A777="","",B777*'Mortgage Inputs'!$B$15)</f>
        <v/>
      </c>
      <c r="D777" s="5" t="str">
        <f>IF(A777="","",MIN(B777,MAX(0,'Mortgage Inputs'!$B$17-C777)))</f>
        <v/>
      </c>
      <c r="E777" s="5" t="str">
        <f t="shared" si="24"/>
        <v/>
      </c>
      <c r="F777" s="5">
        <f>IF('Monthly Projection'!A777="",0,'Monthly Projection'!G777)</f>
        <v>0</v>
      </c>
    </row>
    <row r="778" spans="1:6">
      <c r="A778" t="str">
        <f>IF(AND('Mortgage Inputs'!$B$12,772&lt;=IF('Mortgage Inputs'!$B$12,'Mortgage Inputs'!$B$7,0)*12+600,ISNUMBER(E777),E777&gt;0.005),772,"")</f>
        <v/>
      </c>
      <c r="B778" s="5" t="str">
        <f t="shared" si="25"/>
        <v/>
      </c>
      <c r="C778" s="5" t="str">
        <f>IF(A778="","",B778*'Mortgage Inputs'!$B$15)</f>
        <v/>
      </c>
      <c r="D778" s="5" t="str">
        <f>IF(A778="","",MIN(B778,MAX(0,'Mortgage Inputs'!$B$17-C778)))</f>
        <v/>
      </c>
      <c r="E778" s="5" t="str">
        <f t="shared" si="24"/>
        <v/>
      </c>
      <c r="F778" s="5">
        <f>IF('Monthly Projection'!A778="",0,'Monthly Projection'!G778)</f>
        <v>0</v>
      </c>
    </row>
    <row r="779" spans="1:6">
      <c r="A779" t="str">
        <f>IF(AND('Mortgage Inputs'!$B$12,773&lt;=IF('Mortgage Inputs'!$B$12,'Mortgage Inputs'!$B$7,0)*12+600,ISNUMBER(E778),E778&gt;0.005),773,"")</f>
        <v/>
      </c>
      <c r="B779" s="5" t="str">
        <f t="shared" si="25"/>
        <v/>
      </c>
      <c r="C779" s="5" t="str">
        <f>IF(A779="","",B779*'Mortgage Inputs'!$B$15)</f>
        <v/>
      </c>
      <c r="D779" s="5" t="str">
        <f>IF(A779="","",MIN(B779,MAX(0,'Mortgage Inputs'!$B$17-C779)))</f>
        <v/>
      </c>
      <c r="E779" s="5" t="str">
        <f t="shared" si="24"/>
        <v/>
      </c>
      <c r="F779" s="5">
        <f>IF('Monthly Projection'!A779="",0,'Monthly Projection'!G779)</f>
        <v>0</v>
      </c>
    </row>
    <row r="780" spans="1:6">
      <c r="A780" t="str">
        <f>IF(AND('Mortgage Inputs'!$B$12,774&lt;=IF('Mortgage Inputs'!$B$12,'Mortgage Inputs'!$B$7,0)*12+600,ISNUMBER(E779),E779&gt;0.005),774,"")</f>
        <v/>
      </c>
      <c r="B780" s="5" t="str">
        <f t="shared" si="25"/>
        <v/>
      </c>
      <c r="C780" s="5" t="str">
        <f>IF(A780="","",B780*'Mortgage Inputs'!$B$15)</f>
        <v/>
      </c>
      <c r="D780" s="5" t="str">
        <f>IF(A780="","",MIN(B780,MAX(0,'Mortgage Inputs'!$B$17-C780)))</f>
        <v/>
      </c>
      <c r="E780" s="5" t="str">
        <f t="shared" si="24"/>
        <v/>
      </c>
      <c r="F780" s="5">
        <f>IF('Monthly Projection'!A780="",0,'Monthly Projection'!G780)</f>
        <v>0</v>
      </c>
    </row>
    <row r="781" spans="1:6">
      <c r="A781" t="str">
        <f>IF(AND('Mortgage Inputs'!$B$12,775&lt;=IF('Mortgage Inputs'!$B$12,'Mortgage Inputs'!$B$7,0)*12+600,ISNUMBER(E780),E780&gt;0.005),775,"")</f>
        <v/>
      </c>
      <c r="B781" s="5" t="str">
        <f t="shared" si="25"/>
        <v/>
      </c>
      <c r="C781" s="5" t="str">
        <f>IF(A781="","",B781*'Mortgage Inputs'!$B$15)</f>
        <v/>
      </c>
      <c r="D781" s="5" t="str">
        <f>IF(A781="","",MIN(B781,MAX(0,'Mortgage Inputs'!$B$17-C781)))</f>
        <v/>
      </c>
      <c r="E781" s="5" t="str">
        <f t="shared" si="24"/>
        <v/>
      </c>
      <c r="F781" s="5">
        <f>IF('Monthly Projection'!A781="",0,'Monthly Projection'!G781)</f>
        <v>0</v>
      </c>
    </row>
    <row r="782" spans="1:6">
      <c r="A782" t="str">
        <f>IF(AND('Mortgage Inputs'!$B$12,776&lt;=IF('Mortgage Inputs'!$B$12,'Mortgage Inputs'!$B$7,0)*12+600,ISNUMBER(E781),E781&gt;0.005),776,"")</f>
        <v/>
      </c>
      <c r="B782" s="5" t="str">
        <f t="shared" si="25"/>
        <v/>
      </c>
      <c r="C782" s="5" t="str">
        <f>IF(A782="","",B782*'Mortgage Inputs'!$B$15)</f>
        <v/>
      </c>
      <c r="D782" s="5" t="str">
        <f>IF(A782="","",MIN(B782,MAX(0,'Mortgage Inputs'!$B$17-C782)))</f>
        <v/>
      </c>
      <c r="E782" s="5" t="str">
        <f t="shared" si="24"/>
        <v/>
      </c>
      <c r="F782" s="5">
        <f>IF('Monthly Projection'!A782="",0,'Monthly Projection'!G782)</f>
        <v>0</v>
      </c>
    </row>
    <row r="783" spans="1:6">
      <c r="A783" t="str">
        <f>IF(AND('Mortgage Inputs'!$B$12,777&lt;=IF('Mortgage Inputs'!$B$12,'Mortgage Inputs'!$B$7,0)*12+600,ISNUMBER(E782),E782&gt;0.005),777,"")</f>
        <v/>
      </c>
      <c r="B783" s="5" t="str">
        <f t="shared" si="25"/>
        <v/>
      </c>
      <c r="C783" s="5" t="str">
        <f>IF(A783="","",B783*'Mortgage Inputs'!$B$15)</f>
        <v/>
      </c>
      <c r="D783" s="5" t="str">
        <f>IF(A783="","",MIN(B783,MAX(0,'Mortgage Inputs'!$B$17-C783)))</f>
        <v/>
      </c>
      <c r="E783" s="5" t="str">
        <f t="shared" si="24"/>
        <v/>
      </c>
      <c r="F783" s="5">
        <f>IF('Monthly Projection'!A783="",0,'Monthly Projection'!G783)</f>
        <v>0</v>
      </c>
    </row>
    <row r="784" spans="1:6">
      <c r="A784" t="str">
        <f>IF(AND('Mortgage Inputs'!$B$12,778&lt;=IF('Mortgage Inputs'!$B$12,'Mortgage Inputs'!$B$7,0)*12+600,ISNUMBER(E783),E783&gt;0.005),778,"")</f>
        <v/>
      </c>
      <c r="B784" s="5" t="str">
        <f t="shared" si="25"/>
        <v/>
      </c>
      <c r="C784" s="5" t="str">
        <f>IF(A784="","",B784*'Mortgage Inputs'!$B$15)</f>
        <v/>
      </c>
      <c r="D784" s="5" t="str">
        <f>IF(A784="","",MIN(B784,MAX(0,'Mortgage Inputs'!$B$17-C784)))</f>
        <v/>
      </c>
      <c r="E784" s="5" t="str">
        <f t="shared" si="24"/>
        <v/>
      </c>
      <c r="F784" s="5">
        <f>IF('Monthly Projection'!A784="",0,'Monthly Projection'!G784)</f>
        <v>0</v>
      </c>
    </row>
    <row r="785" spans="1:6">
      <c r="A785" t="str">
        <f>IF(AND('Mortgage Inputs'!$B$12,779&lt;=IF('Mortgage Inputs'!$B$12,'Mortgage Inputs'!$B$7,0)*12+600,ISNUMBER(E784),E784&gt;0.005),779,"")</f>
        <v/>
      </c>
      <c r="B785" s="5" t="str">
        <f t="shared" si="25"/>
        <v/>
      </c>
      <c r="C785" s="5" t="str">
        <f>IF(A785="","",B785*'Mortgage Inputs'!$B$15)</f>
        <v/>
      </c>
      <c r="D785" s="5" t="str">
        <f>IF(A785="","",MIN(B785,MAX(0,'Mortgage Inputs'!$B$17-C785)))</f>
        <v/>
      </c>
      <c r="E785" s="5" t="str">
        <f t="shared" si="24"/>
        <v/>
      </c>
      <c r="F785" s="5">
        <f>IF('Monthly Projection'!A785="",0,'Monthly Projection'!G785)</f>
        <v>0</v>
      </c>
    </row>
    <row r="786" spans="1:6">
      <c r="A786" t="str">
        <f>IF(AND('Mortgage Inputs'!$B$12,780&lt;=IF('Mortgage Inputs'!$B$12,'Mortgage Inputs'!$B$7,0)*12+600,ISNUMBER(E785),E785&gt;0.005),780,"")</f>
        <v/>
      </c>
      <c r="B786" s="5" t="str">
        <f t="shared" si="25"/>
        <v/>
      </c>
      <c r="C786" s="5" t="str">
        <f>IF(A786="","",B786*'Mortgage Inputs'!$B$15)</f>
        <v/>
      </c>
      <c r="D786" s="5" t="str">
        <f>IF(A786="","",MIN(B786,MAX(0,'Mortgage Inputs'!$B$17-C786)))</f>
        <v/>
      </c>
      <c r="E786" s="5" t="str">
        <f t="shared" si="24"/>
        <v/>
      </c>
      <c r="F786" s="5">
        <f>IF('Monthly Projection'!A786="",0,'Monthly Projection'!G786)</f>
        <v>0</v>
      </c>
    </row>
    <row r="787" spans="1:6">
      <c r="A787" t="str">
        <f>IF(AND('Mortgage Inputs'!$B$12,781&lt;=IF('Mortgage Inputs'!$B$12,'Mortgage Inputs'!$B$7,0)*12+600,ISNUMBER(E786),E786&gt;0.005),781,"")</f>
        <v/>
      </c>
      <c r="B787" s="5" t="str">
        <f t="shared" si="25"/>
        <v/>
      </c>
      <c r="C787" s="5" t="str">
        <f>IF(A787="","",B787*'Mortgage Inputs'!$B$15)</f>
        <v/>
      </c>
      <c r="D787" s="5" t="str">
        <f>IF(A787="","",MIN(B787,MAX(0,'Mortgage Inputs'!$B$17-C787)))</f>
        <v/>
      </c>
      <c r="E787" s="5" t="str">
        <f t="shared" si="24"/>
        <v/>
      </c>
      <c r="F787" s="5">
        <f>IF('Monthly Projection'!A787="",0,'Monthly Projection'!G787)</f>
        <v>0</v>
      </c>
    </row>
    <row r="788" spans="1:6">
      <c r="A788" t="str">
        <f>IF(AND('Mortgage Inputs'!$B$12,782&lt;=IF('Mortgage Inputs'!$B$12,'Mortgage Inputs'!$B$7,0)*12+600,ISNUMBER(E787),E787&gt;0.005),782,"")</f>
        <v/>
      </c>
      <c r="B788" s="5" t="str">
        <f t="shared" si="25"/>
        <v/>
      </c>
      <c r="C788" s="5" t="str">
        <f>IF(A788="","",B788*'Mortgage Inputs'!$B$15)</f>
        <v/>
      </c>
      <c r="D788" s="5" t="str">
        <f>IF(A788="","",MIN(B788,MAX(0,'Mortgage Inputs'!$B$17-C788)))</f>
        <v/>
      </c>
      <c r="E788" s="5" t="str">
        <f t="shared" si="24"/>
        <v/>
      </c>
      <c r="F788" s="5">
        <f>IF('Monthly Projection'!A788="",0,'Monthly Projection'!G788)</f>
        <v>0</v>
      </c>
    </row>
    <row r="789" spans="1:6">
      <c r="A789" t="str">
        <f>IF(AND('Mortgage Inputs'!$B$12,783&lt;=IF('Mortgage Inputs'!$B$12,'Mortgage Inputs'!$B$7,0)*12+600,ISNUMBER(E788),E788&gt;0.005),783,"")</f>
        <v/>
      </c>
      <c r="B789" s="5" t="str">
        <f t="shared" si="25"/>
        <v/>
      </c>
      <c r="C789" s="5" t="str">
        <f>IF(A789="","",B789*'Mortgage Inputs'!$B$15)</f>
        <v/>
      </c>
      <c r="D789" s="5" t="str">
        <f>IF(A789="","",MIN(B789,MAX(0,'Mortgage Inputs'!$B$17-C789)))</f>
        <v/>
      </c>
      <c r="E789" s="5" t="str">
        <f t="shared" si="24"/>
        <v/>
      </c>
      <c r="F789" s="5">
        <f>IF('Monthly Projection'!A789="",0,'Monthly Projection'!G789)</f>
        <v>0</v>
      </c>
    </row>
    <row r="790" spans="1:6">
      <c r="A790" t="str">
        <f>IF(AND('Mortgage Inputs'!$B$12,784&lt;=IF('Mortgage Inputs'!$B$12,'Mortgage Inputs'!$B$7,0)*12+600,ISNUMBER(E789),E789&gt;0.005),784,"")</f>
        <v/>
      </c>
      <c r="B790" s="5" t="str">
        <f t="shared" si="25"/>
        <v/>
      </c>
      <c r="C790" s="5" t="str">
        <f>IF(A790="","",B790*'Mortgage Inputs'!$B$15)</f>
        <v/>
      </c>
      <c r="D790" s="5" t="str">
        <f>IF(A790="","",MIN(B790,MAX(0,'Mortgage Inputs'!$B$17-C790)))</f>
        <v/>
      </c>
      <c r="E790" s="5" t="str">
        <f t="shared" si="24"/>
        <v/>
      </c>
      <c r="F790" s="5">
        <f>IF('Monthly Projection'!A790="",0,'Monthly Projection'!G790)</f>
        <v>0</v>
      </c>
    </row>
    <row r="791" spans="1:6">
      <c r="A791" t="str">
        <f>IF(AND('Mortgage Inputs'!$B$12,785&lt;=IF('Mortgage Inputs'!$B$12,'Mortgage Inputs'!$B$7,0)*12+600,ISNUMBER(E790),E790&gt;0.005),785,"")</f>
        <v/>
      </c>
      <c r="B791" s="5" t="str">
        <f t="shared" si="25"/>
        <v/>
      </c>
      <c r="C791" s="5" t="str">
        <f>IF(A791="","",B791*'Mortgage Inputs'!$B$15)</f>
        <v/>
      </c>
      <c r="D791" s="5" t="str">
        <f>IF(A791="","",MIN(B791,MAX(0,'Mortgage Inputs'!$B$17-C791)))</f>
        <v/>
      </c>
      <c r="E791" s="5" t="str">
        <f t="shared" si="24"/>
        <v/>
      </c>
      <c r="F791" s="5">
        <f>IF('Monthly Projection'!A791="",0,'Monthly Projection'!G791)</f>
        <v>0</v>
      </c>
    </row>
    <row r="792" spans="1:6">
      <c r="A792" t="str">
        <f>IF(AND('Mortgage Inputs'!$B$12,786&lt;=IF('Mortgage Inputs'!$B$12,'Mortgage Inputs'!$B$7,0)*12+600,ISNUMBER(E791),E791&gt;0.005),786,"")</f>
        <v/>
      </c>
      <c r="B792" s="5" t="str">
        <f t="shared" si="25"/>
        <v/>
      </c>
      <c r="C792" s="5" t="str">
        <f>IF(A792="","",B792*'Mortgage Inputs'!$B$15)</f>
        <v/>
      </c>
      <c r="D792" s="5" t="str">
        <f>IF(A792="","",MIN(B792,MAX(0,'Mortgage Inputs'!$B$17-C792)))</f>
        <v/>
      </c>
      <c r="E792" s="5" t="str">
        <f t="shared" si="24"/>
        <v/>
      </c>
      <c r="F792" s="5">
        <f>IF('Monthly Projection'!A792="",0,'Monthly Projection'!G792)</f>
        <v>0</v>
      </c>
    </row>
    <row r="793" spans="1:6">
      <c r="A793" t="str">
        <f>IF(AND('Mortgage Inputs'!$B$12,787&lt;=IF('Mortgage Inputs'!$B$12,'Mortgage Inputs'!$B$7,0)*12+600,ISNUMBER(E792),E792&gt;0.005),787,"")</f>
        <v/>
      </c>
      <c r="B793" s="5" t="str">
        <f t="shared" si="25"/>
        <v/>
      </c>
      <c r="C793" s="5" t="str">
        <f>IF(A793="","",B793*'Mortgage Inputs'!$B$15)</f>
        <v/>
      </c>
      <c r="D793" s="5" t="str">
        <f>IF(A793="","",MIN(B793,MAX(0,'Mortgage Inputs'!$B$17-C793)))</f>
        <v/>
      </c>
      <c r="E793" s="5" t="str">
        <f t="shared" si="24"/>
        <v/>
      </c>
      <c r="F793" s="5">
        <f>IF('Monthly Projection'!A793="",0,'Monthly Projection'!G793)</f>
        <v>0</v>
      </c>
    </row>
    <row r="794" spans="1:6">
      <c r="A794" t="str">
        <f>IF(AND('Mortgage Inputs'!$B$12,788&lt;=IF('Mortgage Inputs'!$B$12,'Mortgage Inputs'!$B$7,0)*12+600,ISNUMBER(E793),E793&gt;0.005),788,"")</f>
        <v/>
      </c>
      <c r="B794" s="5" t="str">
        <f t="shared" si="25"/>
        <v/>
      </c>
      <c r="C794" s="5" t="str">
        <f>IF(A794="","",B794*'Mortgage Inputs'!$B$15)</f>
        <v/>
      </c>
      <c r="D794" s="5" t="str">
        <f>IF(A794="","",MIN(B794,MAX(0,'Mortgage Inputs'!$B$17-C794)))</f>
        <v/>
      </c>
      <c r="E794" s="5" t="str">
        <f t="shared" si="24"/>
        <v/>
      </c>
      <c r="F794" s="5">
        <f>IF('Monthly Projection'!A794="",0,'Monthly Projection'!G794)</f>
        <v>0</v>
      </c>
    </row>
    <row r="795" spans="1:6">
      <c r="A795" t="str">
        <f>IF(AND('Mortgage Inputs'!$B$12,789&lt;=IF('Mortgage Inputs'!$B$12,'Mortgage Inputs'!$B$7,0)*12+600,ISNUMBER(E794),E794&gt;0.005),789,"")</f>
        <v/>
      </c>
      <c r="B795" s="5" t="str">
        <f t="shared" si="25"/>
        <v/>
      </c>
      <c r="C795" s="5" t="str">
        <f>IF(A795="","",B795*'Mortgage Inputs'!$B$15)</f>
        <v/>
      </c>
      <c r="D795" s="5" t="str">
        <f>IF(A795="","",MIN(B795,MAX(0,'Mortgage Inputs'!$B$17-C795)))</f>
        <v/>
      </c>
      <c r="E795" s="5" t="str">
        <f t="shared" si="24"/>
        <v/>
      </c>
      <c r="F795" s="5">
        <f>IF('Monthly Projection'!A795="",0,'Monthly Projection'!G795)</f>
        <v>0</v>
      </c>
    </row>
    <row r="796" spans="1:6">
      <c r="A796" t="str">
        <f>IF(AND('Mortgage Inputs'!$B$12,790&lt;=IF('Mortgage Inputs'!$B$12,'Mortgage Inputs'!$B$7,0)*12+600,ISNUMBER(E795),E795&gt;0.005),790,"")</f>
        <v/>
      </c>
      <c r="B796" s="5" t="str">
        <f t="shared" si="25"/>
        <v/>
      </c>
      <c r="C796" s="5" t="str">
        <f>IF(A796="","",B796*'Mortgage Inputs'!$B$15)</f>
        <v/>
      </c>
      <c r="D796" s="5" t="str">
        <f>IF(A796="","",MIN(B796,MAX(0,'Mortgage Inputs'!$B$17-C796)))</f>
        <v/>
      </c>
      <c r="E796" s="5" t="str">
        <f t="shared" si="24"/>
        <v/>
      </c>
      <c r="F796" s="5">
        <f>IF('Monthly Projection'!A796="",0,'Monthly Projection'!G796)</f>
        <v>0</v>
      </c>
    </row>
    <row r="797" spans="1:6">
      <c r="A797" t="str">
        <f>IF(AND('Mortgage Inputs'!$B$12,791&lt;=IF('Mortgage Inputs'!$B$12,'Mortgage Inputs'!$B$7,0)*12+600,ISNUMBER(E796),E796&gt;0.005),791,"")</f>
        <v/>
      </c>
      <c r="B797" s="5" t="str">
        <f t="shared" si="25"/>
        <v/>
      </c>
      <c r="C797" s="5" t="str">
        <f>IF(A797="","",B797*'Mortgage Inputs'!$B$15)</f>
        <v/>
      </c>
      <c r="D797" s="5" t="str">
        <f>IF(A797="","",MIN(B797,MAX(0,'Mortgage Inputs'!$B$17-C797)))</f>
        <v/>
      </c>
      <c r="E797" s="5" t="str">
        <f t="shared" si="24"/>
        <v/>
      </c>
      <c r="F797" s="5">
        <f>IF('Monthly Projection'!A797="",0,'Monthly Projection'!G797)</f>
        <v>0</v>
      </c>
    </row>
    <row r="798" spans="1:6">
      <c r="A798" t="str">
        <f>IF(AND('Mortgage Inputs'!$B$12,792&lt;=IF('Mortgage Inputs'!$B$12,'Mortgage Inputs'!$B$7,0)*12+600,ISNUMBER(E797),E797&gt;0.005),792,"")</f>
        <v/>
      </c>
      <c r="B798" s="5" t="str">
        <f t="shared" si="25"/>
        <v/>
      </c>
      <c r="C798" s="5" t="str">
        <f>IF(A798="","",B798*'Mortgage Inputs'!$B$15)</f>
        <v/>
      </c>
      <c r="D798" s="5" t="str">
        <f>IF(A798="","",MIN(B798,MAX(0,'Mortgage Inputs'!$B$17-C798)))</f>
        <v/>
      </c>
      <c r="E798" s="5" t="str">
        <f t="shared" si="24"/>
        <v/>
      </c>
      <c r="F798" s="5">
        <f>IF('Monthly Projection'!A798="",0,'Monthly Projection'!G798)</f>
        <v>0</v>
      </c>
    </row>
    <row r="799" spans="1:6">
      <c r="A799" t="str">
        <f>IF(AND('Mortgage Inputs'!$B$12,793&lt;=IF('Mortgage Inputs'!$B$12,'Mortgage Inputs'!$B$7,0)*12+600,ISNUMBER(E798),E798&gt;0.005),793,"")</f>
        <v/>
      </c>
      <c r="B799" s="5" t="str">
        <f t="shared" si="25"/>
        <v/>
      </c>
      <c r="C799" s="5" t="str">
        <f>IF(A799="","",B799*'Mortgage Inputs'!$B$15)</f>
        <v/>
      </c>
      <c r="D799" s="5" t="str">
        <f>IF(A799="","",MIN(B799,MAX(0,'Mortgage Inputs'!$B$17-C799)))</f>
        <v/>
      </c>
      <c r="E799" s="5" t="str">
        <f t="shared" si="24"/>
        <v/>
      </c>
      <c r="F799" s="5">
        <f>IF('Monthly Projection'!A799="",0,'Monthly Projection'!G799)</f>
        <v>0</v>
      </c>
    </row>
    <row r="800" spans="1:6">
      <c r="A800" t="str">
        <f>IF(AND('Mortgage Inputs'!$B$12,794&lt;=IF('Mortgage Inputs'!$B$12,'Mortgage Inputs'!$B$7,0)*12+600,ISNUMBER(E799),E799&gt;0.005),794,"")</f>
        <v/>
      </c>
      <c r="B800" s="5" t="str">
        <f t="shared" si="25"/>
        <v/>
      </c>
      <c r="C800" s="5" t="str">
        <f>IF(A800="","",B800*'Mortgage Inputs'!$B$15)</f>
        <v/>
      </c>
      <c r="D800" s="5" t="str">
        <f>IF(A800="","",MIN(B800,MAX(0,'Mortgage Inputs'!$B$17-C800)))</f>
        <v/>
      </c>
      <c r="E800" s="5" t="str">
        <f t="shared" si="24"/>
        <v/>
      </c>
      <c r="F800" s="5">
        <f>IF('Monthly Projection'!A800="",0,'Monthly Projection'!G800)</f>
        <v>0</v>
      </c>
    </row>
    <row r="801" spans="1:6">
      <c r="A801" t="str">
        <f>IF(AND('Mortgage Inputs'!$B$12,795&lt;=IF('Mortgage Inputs'!$B$12,'Mortgage Inputs'!$B$7,0)*12+600,ISNUMBER(E800),E800&gt;0.005),795,"")</f>
        <v/>
      </c>
      <c r="B801" s="5" t="str">
        <f t="shared" si="25"/>
        <v/>
      </c>
      <c r="C801" s="5" t="str">
        <f>IF(A801="","",B801*'Mortgage Inputs'!$B$15)</f>
        <v/>
      </c>
      <c r="D801" s="5" t="str">
        <f>IF(A801="","",MIN(B801,MAX(0,'Mortgage Inputs'!$B$17-C801)))</f>
        <v/>
      </c>
      <c r="E801" s="5" t="str">
        <f t="shared" si="24"/>
        <v/>
      </c>
      <c r="F801" s="5">
        <f>IF('Monthly Projection'!A801="",0,'Monthly Projection'!G801)</f>
        <v>0</v>
      </c>
    </row>
    <row r="802" spans="1:6">
      <c r="A802" t="str">
        <f>IF(AND('Mortgage Inputs'!$B$12,796&lt;=IF('Mortgage Inputs'!$B$12,'Mortgage Inputs'!$B$7,0)*12+600,ISNUMBER(E801),E801&gt;0.005),796,"")</f>
        <v/>
      </c>
      <c r="B802" s="5" t="str">
        <f t="shared" si="25"/>
        <v/>
      </c>
      <c r="C802" s="5" t="str">
        <f>IF(A802="","",B802*'Mortgage Inputs'!$B$15)</f>
        <v/>
      </c>
      <c r="D802" s="5" t="str">
        <f>IF(A802="","",MIN(B802,MAX(0,'Mortgage Inputs'!$B$17-C802)))</f>
        <v/>
      </c>
      <c r="E802" s="5" t="str">
        <f t="shared" si="24"/>
        <v/>
      </c>
      <c r="F802" s="5">
        <f>IF('Monthly Projection'!A802="",0,'Monthly Projection'!G802)</f>
        <v>0</v>
      </c>
    </row>
    <row r="803" spans="1:6">
      <c r="A803" t="str">
        <f>IF(AND('Mortgage Inputs'!$B$12,797&lt;=IF('Mortgage Inputs'!$B$12,'Mortgage Inputs'!$B$7,0)*12+600,ISNUMBER(E802),E802&gt;0.005),797,"")</f>
        <v/>
      </c>
      <c r="B803" s="5" t="str">
        <f t="shared" si="25"/>
        <v/>
      </c>
      <c r="C803" s="5" t="str">
        <f>IF(A803="","",B803*'Mortgage Inputs'!$B$15)</f>
        <v/>
      </c>
      <c r="D803" s="5" t="str">
        <f>IF(A803="","",MIN(B803,MAX(0,'Mortgage Inputs'!$B$17-C803)))</f>
        <v/>
      </c>
      <c r="E803" s="5" t="str">
        <f t="shared" si="24"/>
        <v/>
      </c>
      <c r="F803" s="5">
        <f>IF('Monthly Projection'!A803="",0,'Monthly Projection'!G803)</f>
        <v>0</v>
      </c>
    </row>
    <row r="804" spans="1:6">
      <c r="A804" t="str">
        <f>IF(AND('Mortgage Inputs'!$B$12,798&lt;=IF('Mortgage Inputs'!$B$12,'Mortgage Inputs'!$B$7,0)*12+600,ISNUMBER(E803),E803&gt;0.005),798,"")</f>
        <v/>
      </c>
      <c r="B804" s="5" t="str">
        <f t="shared" si="25"/>
        <v/>
      </c>
      <c r="C804" s="5" t="str">
        <f>IF(A804="","",B804*'Mortgage Inputs'!$B$15)</f>
        <v/>
      </c>
      <c r="D804" s="5" t="str">
        <f>IF(A804="","",MIN(B804,MAX(0,'Mortgage Inputs'!$B$17-C804)))</f>
        <v/>
      </c>
      <c r="E804" s="5" t="str">
        <f t="shared" si="24"/>
        <v/>
      </c>
      <c r="F804" s="5">
        <f>IF('Monthly Projection'!A804="",0,'Monthly Projection'!G804)</f>
        <v>0</v>
      </c>
    </row>
    <row r="805" spans="1:6">
      <c r="A805" t="str">
        <f>IF(AND('Mortgage Inputs'!$B$12,799&lt;=IF('Mortgage Inputs'!$B$12,'Mortgage Inputs'!$B$7,0)*12+600,ISNUMBER(E804),E804&gt;0.005),799,"")</f>
        <v/>
      </c>
      <c r="B805" s="5" t="str">
        <f t="shared" si="25"/>
        <v/>
      </c>
      <c r="C805" s="5" t="str">
        <f>IF(A805="","",B805*'Mortgage Inputs'!$B$15)</f>
        <v/>
      </c>
      <c r="D805" s="5" t="str">
        <f>IF(A805="","",MIN(B805,MAX(0,'Mortgage Inputs'!$B$17-C805)))</f>
        <v/>
      </c>
      <c r="E805" s="5" t="str">
        <f t="shared" si="24"/>
        <v/>
      </c>
      <c r="F805" s="5">
        <f>IF('Monthly Projection'!A805="",0,'Monthly Projection'!G805)</f>
        <v>0</v>
      </c>
    </row>
    <row r="806" spans="1:6">
      <c r="A806" t="str">
        <f>IF(AND('Mortgage Inputs'!$B$12,800&lt;=IF('Mortgage Inputs'!$B$12,'Mortgage Inputs'!$B$7,0)*12+600,ISNUMBER(E805),E805&gt;0.005),800,"")</f>
        <v/>
      </c>
      <c r="B806" s="5" t="str">
        <f t="shared" si="25"/>
        <v/>
      </c>
      <c r="C806" s="5" t="str">
        <f>IF(A806="","",B806*'Mortgage Inputs'!$B$15)</f>
        <v/>
      </c>
      <c r="D806" s="5" t="str">
        <f>IF(A806="","",MIN(B806,MAX(0,'Mortgage Inputs'!$B$17-C806)))</f>
        <v/>
      </c>
      <c r="E806" s="5" t="str">
        <f t="shared" si="24"/>
        <v/>
      </c>
      <c r="F806" s="5">
        <f>IF('Monthly Projection'!A806="",0,'Monthly Projection'!G806)</f>
        <v>0</v>
      </c>
    </row>
    <row r="807" spans="1:6">
      <c r="A807" t="str">
        <f>IF(AND('Mortgage Inputs'!$B$12,801&lt;=IF('Mortgage Inputs'!$B$12,'Mortgage Inputs'!$B$7,0)*12+600,ISNUMBER(E806),E806&gt;0.005),801,"")</f>
        <v/>
      </c>
      <c r="B807" s="5" t="str">
        <f t="shared" si="25"/>
        <v/>
      </c>
      <c r="C807" s="5" t="str">
        <f>IF(A807="","",B807*'Mortgage Inputs'!$B$15)</f>
        <v/>
      </c>
      <c r="D807" s="5" t="str">
        <f>IF(A807="","",MIN(B807,MAX(0,'Mortgage Inputs'!$B$17-C807)))</f>
        <v/>
      </c>
      <c r="E807" s="5" t="str">
        <f t="shared" si="24"/>
        <v/>
      </c>
      <c r="F807" s="5">
        <f>IF('Monthly Projection'!A807="",0,'Monthly Projection'!G807)</f>
        <v>0</v>
      </c>
    </row>
    <row r="808" spans="1:6">
      <c r="A808" t="str">
        <f>IF(AND('Mortgage Inputs'!$B$12,802&lt;=IF('Mortgage Inputs'!$B$12,'Mortgage Inputs'!$B$7,0)*12+600,ISNUMBER(E807),E807&gt;0.005),802,"")</f>
        <v/>
      </c>
      <c r="B808" s="5" t="str">
        <f t="shared" si="25"/>
        <v/>
      </c>
      <c r="C808" s="5" t="str">
        <f>IF(A808="","",B808*'Mortgage Inputs'!$B$15)</f>
        <v/>
      </c>
      <c r="D808" s="5" t="str">
        <f>IF(A808="","",MIN(B808,MAX(0,'Mortgage Inputs'!$B$17-C808)))</f>
        <v/>
      </c>
      <c r="E808" s="5" t="str">
        <f t="shared" si="24"/>
        <v/>
      </c>
      <c r="F808" s="5">
        <f>IF('Monthly Projection'!A808="",0,'Monthly Projection'!G808)</f>
        <v>0</v>
      </c>
    </row>
    <row r="809" spans="1:6">
      <c r="A809" t="str">
        <f>IF(AND('Mortgage Inputs'!$B$12,803&lt;=IF('Mortgage Inputs'!$B$12,'Mortgage Inputs'!$B$7,0)*12+600,ISNUMBER(E808),E808&gt;0.005),803,"")</f>
        <v/>
      </c>
      <c r="B809" s="5" t="str">
        <f t="shared" si="25"/>
        <v/>
      </c>
      <c r="C809" s="5" t="str">
        <f>IF(A809="","",B809*'Mortgage Inputs'!$B$15)</f>
        <v/>
      </c>
      <c r="D809" s="5" t="str">
        <f>IF(A809="","",MIN(B809,MAX(0,'Mortgage Inputs'!$B$17-C809)))</f>
        <v/>
      </c>
      <c r="E809" s="5" t="str">
        <f t="shared" si="24"/>
        <v/>
      </c>
      <c r="F809" s="5">
        <f>IF('Monthly Projection'!A809="",0,'Monthly Projection'!G809)</f>
        <v>0</v>
      </c>
    </row>
    <row r="810" spans="1:6">
      <c r="A810" t="str">
        <f>IF(AND('Mortgage Inputs'!$B$12,804&lt;=IF('Mortgage Inputs'!$B$12,'Mortgage Inputs'!$B$7,0)*12+600,ISNUMBER(E809),E809&gt;0.005),804,"")</f>
        <v/>
      </c>
      <c r="B810" s="5" t="str">
        <f t="shared" si="25"/>
        <v/>
      </c>
      <c r="C810" s="5" t="str">
        <f>IF(A810="","",B810*'Mortgage Inputs'!$B$15)</f>
        <v/>
      </c>
      <c r="D810" s="5" t="str">
        <f>IF(A810="","",MIN(B810,MAX(0,'Mortgage Inputs'!$B$17-C810)))</f>
        <v/>
      </c>
      <c r="E810" s="5" t="str">
        <f t="shared" si="24"/>
        <v/>
      </c>
      <c r="F810" s="5">
        <f>IF('Monthly Projection'!A810="",0,'Monthly Projection'!G810)</f>
        <v>0</v>
      </c>
    </row>
    <row r="811" spans="1:6">
      <c r="A811" t="str">
        <f>IF(AND('Mortgage Inputs'!$B$12,805&lt;=IF('Mortgage Inputs'!$B$12,'Mortgage Inputs'!$B$7,0)*12+600,ISNUMBER(E810),E810&gt;0.005),805,"")</f>
        <v/>
      </c>
      <c r="B811" s="5" t="str">
        <f t="shared" si="25"/>
        <v/>
      </c>
      <c r="C811" s="5" t="str">
        <f>IF(A811="","",B811*'Mortgage Inputs'!$B$15)</f>
        <v/>
      </c>
      <c r="D811" s="5" t="str">
        <f>IF(A811="","",MIN(B811,MAX(0,'Mortgage Inputs'!$B$17-C811)))</f>
        <v/>
      </c>
      <c r="E811" s="5" t="str">
        <f t="shared" si="24"/>
        <v/>
      </c>
      <c r="F811" s="5">
        <f>IF('Monthly Projection'!A811="",0,'Monthly Projection'!G811)</f>
        <v>0</v>
      </c>
    </row>
    <row r="812" spans="1:6">
      <c r="A812" t="str">
        <f>IF(AND('Mortgage Inputs'!$B$12,806&lt;=IF('Mortgage Inputs'!$B$12,'Mortgage Inputs'!$B$7,0)*12+600,ISNUMBER(E811),E811&gt;0.005),806,"")</f>
        <v/>
      </c>
      <c r="B812" s="5" t="str">
        <f t="shared" si="25"/>
        <v/>
      </c>
      <c r="C812" s="5" t="str">
        <f>IF(A812="","",B812*'Mortgage Inputs'!$B$15)</f>
        <v/>
      </c>
      <c r="D812" s="5" t="str">
        <f>IF(A812="","",MIN(B812,MAX(0,'Mortgage Inputs'!$B$17-C812)))</f>
        <v/>
      </c>
      <c r="E812" s="5" t="str">
        <f t="shared" si="24"/>
        <v/>
      </c>
      <c r="F812" s="5">
        <f>IF('Monthly Projection'!A812="",0,'Monthly Projection'!G812)</f>
        <v>0</v>
      </c>
    </row>
    <row r="813" spans="1:6">
      <c r="A813" t="str">
        <f>IF(AND('Mortgage Inputs'!$B$12,807&lt;=IF('Mortgage Inputs'!$B$12,'Mortgage Inputs'!$B$7,0)*12+600,ISNUMBER(E812),E812&gt;0.005),807,"")</f>
        <v/>
      </c>
      <c r="B813" s="5" t="str">
        <f t="shared" si="25"/>
        <v/>
      </c>
      <c r="C813" s="5" t="str">
        <f>IF(A813="","",B813*'Mortgage Inputs'!$B$15)</f>
        <v/>
      </c>
      <c r="D813" s="5" t="str">
        <f>IF(A813="","",MIN(B813,MAX(0,'Mortgage Inputs'!$B$17-C813)))</f>
        <v/>
      </c>
      <c r="E813" s="5" t="str">
        <f t="shared" si="24"/>
        <v/>
      </c>
      <c r="F813" s="5">
        <f>IF('Monthly Projection'!A813="",0,'Monthly Projection'!G813)</f>
        <v>0</v>
      </c>
    </row>
    <row r="814" spans="1:6">
      <c r="A814" t="str">
        <f>IF(AND('Mortgage Inputs'!$B$12,808&lt;=IF('Mortgage Inputs'!$B$12,'Mortgage Inputs'!$B$7,0)*12+600,ISNUMBER(E813),E813&gt;0.005),808,"")</f>
        <v/>
      </c>
      <c r="B814" s="5" t="str">
        <f t="shared" si="25"/>
        <v/>
      </c>
      <c r="C814" s="5" t="str">
        <f>IF(A814="","",B814*'Mortgage Inputs'!$B$15)</f>
        <v/>
      </c>
      <c r="D814" s="5" t="str">
        <f>IF(A814="","",MIN(B814,MAX(0,'Mortgage Inputs'!$B$17-C814)))</f>
        <v/>
      </c>
      <c r="E814" s="5" t="str">
        <f t="shared" si="24"/>
        <v/>
      </c>
      <c r="F814" s="5">
        <f>IF('Monthly Projection'!A814="",0,'Monthly Projection'!G814)</f>
        <v>0</v>
      </c>
    </row>
    <row r="815" spans="1:6">
      <c r="A815" t="str">
        <f>IF(AND('Mortgage Inputs'!$B$12,809&lt;=IF('Mortgage Inputs'!$B$12,'Mortgage Inputs'!$B$7,0)*12+600,ISNUMBER(E814),E814&gt;0.005),809,"")</f>
        <v/>
      </c>
      <c r="B815" s="5" t="str">
        <f t="shared" si="25"/>
        <v/>
      </c>
      <c r="C815" s="5" t="str">
        <f>IF(A815="","",B815*'Mortgage Inputs'!$B$15)</f>
        <v/>
      </c>
      <c r="D815" s="5" t="str">
        <f>IF(A815="","",MIN(B815,MAX(0,'Mortgage Inputs'!$B$17-C815)))</f>
        <v/>
      </c>
      <c r="E815" s="5" t="str">
        <f t="shared" si="24"/>
        <v/>
      </c>
      <c r="F815" s="5">
        <f>IF('Monthly Projection'!A815="",0,'Monthly Projection'!G815)</f>
        <v>0</v>
      </c>
    </row>
    <row r="816" spans="1:6">
      <c r="A816" t="str">
        <f>IF(AND('Mortgage Inputs'!$B$12,810&lt;=IF('Mortgage Inputs'!$B$12,'Mortgage Inputs'!$B$7,0)*12+600,ISNUMBER(E815),E815&gt;0.005),810,"")</f>
        <v/>
      </c>
      <c r="B816" s="5" t="str">
        <f t="shared" si="25"/>
        <v/>
      </c>
      <c r="C816" s="5" t="str">
        <f>IF(A816="","",B816*'Mortgage Inputs'!$B$15)</f>
        <v/>
      </c>
      <c r="D816" s="5" t="str">
        <f>IF(A816="","",MIN(B816,MAX(0,'Mortgage Inputs'!$B$17-C816)))</f>
        <v/>
      </c>
      <c r="E816" s="5" t="str">
        <f t="shared" si="24"/>
        <v/>
      </c>
      <c r="F816" s="5">
        <f>IF('Monthly Projection'!A816="",0,'Monthly Projection'!G816)</f>
        <v>0</v>
      </c>
    </row>
    <row r="817" spans="1:6">
      <c r="A817" t="str">
        <f>IF(AND('Mortgage Inputs'!$B$12,811&lt;=IF('Mortgage Inputs'!$B$12,'Mortgage Inputs'!$B$7,0)*12+600,ISNUMBER(E816),E816&gt;0.005),811,"")</f>
        <v/>
      </c>
      <c r="B817" s="5" t="str">
        <f t="shared" si="25"/>
        <v/>
      </c>
      <c r="C817" s="5" t="str">
        <f>IF(A817="","",B817*'Mortgage Inputs'!$B$15)</f>
        <v/>
      </c>
      <c r="D817" s="5" t="str">
        <f>IF(A817="","",MIN(B817,MAX(0,'Mortgage Inputs'!$B$17-C817)))</f>
        <v/>
      </c>
      <c r="E817" s="5" t="str">
        <f t="shared" si="24"/>
        <v/>
      </c>
      <c r="F817" s="5">
        <f>IF('Monthly Projection'!A817="",0,'Monthly Projection'!G817)</f>
        <v>0</v>
      </c>
    </row>
    <row r="818" spans="1:6">
      <c r="A818" t="str">
        <f>IF(AND('Mortgage Inputs'!$B$12,812&lt;=IF('Mortgage Inputs'!$B$12,'Mortgage Inputs'!$B$7,0)*12+600,ISNUMBER(E817),E817&gt;0.005),812,"")</f>
        <v/>
      </c>
      <c r="B818" s="5" t="str">
        <f t="shared" si="25"/>
        <v/>
      </c>
      <c r="C818" s="5" t="str">
        <f>IF(A818="","",B818*'Mortgage Inputs'!$B$15)</f>
        <v/>
      </c>
      <c r="D818" s="5" t="str">
        <f>IF(A818="","",MIN(B818,MAX(0,'Mortgage Inputs'!$B$17-C818)))</f>
        <v/>
      </c>
      <c r="E818" s="5" t="str">
        <f t="shared" si="24"/>
        <v/>
      </c>
      <c r="F818" s="5">
        <f>IF('Monthly Projection'!A818="",0,'Monthly Projection'!G818)</f>
        <v>0</v>
      </c>
    </row>
    <row r="819" spans="1:6">
      <c r="A819" t="str">
        <f>IF(AND('Mortgage Inputs'!$B$12,813&lt;=IF('Mortgage Inputs'!$B$12,'Mortgage Inputs'!$B$7,0)*12+600,ISNUMBER(E818),E818&gt;0.005),813,"")</f>
        <v/>
      </c>
      <c r="B819" s="5" t="str">
        <f t="shared" si="25"/>
        <v/>
      </c>
      <c r="C819" s="5" t="str">
        <f>IF(A819="","",B819*'Mortgage Inputs'!$B$15)</f>
        <v/>
      </c>
      <c r="D819" s="5" t="str">
        <f>IF(A819="","",MIN(B819,MAX(0,'Mortgage Inputs'!$B$17-C819)))</f>
        <v/>
      </c>
      <c r="E819" s="5" t="str">
        <f t="shared" si="24"/>
        <v/>
      </c>
      <c r="F819" s="5">
        <f>IF('Monthly Projection'!A819="",0,'Monthly Projection'!G819)</f>
        <v>0</v>
      </c>
    </row>
    <row r="820" spans="1:6">
      <c r="A820" t="str">
        <f>IF(AND('Mortgage Inputs'!$B$12,814&lt;=IF('Mortgage Inputs'!$B$12,'Mortgage Inputs'!$B$7,0)*12+600,ISNUMBER(E819),E819&gt;0.005),814,"")</f>
        <v/>
      </c>
      <c r="B820" s="5" t="str">
        <f t="shared" si="25"/>
        <v/>
      </c>
      <c r="C820" s="5" t="str">
        <f>IF(A820="","",B820*'Mortgage Inputs'!$B$15)</f>
        <v/>
      </c>
      <c r="D820" s="5" t="str">
        <f>IF(A820="","",MIN(B820,MAX(0,'Mortgage Inputs'!$B$17-C820)))</f>
        <v/>
      </c>
      <c r="E820" s="5" t="str">
        <f t="shared" si="24"/>
        <v/>
      </c>
      <c r="F820" s="5">
        <f>IF('Monthly Projection'!A820="",0,'Monthly Projection'!G820)</f>
        <v>0</v>
      </c>
    </row>
    <row r="821" spans="1:6">
      <c r="A821" t="str">
        <f>IF(AND('Mortgage Inputs'!$B$12,815&lt;=IF('Mortgage Inputs'!$B$12,'Mortgage Inputs'!$B$7,0)*12+600,ISNUMBER(E820),E820&gt;0.005),815,"")</f>
        <v/>
      </c>
      <c r="B821" s="5" t="str">
        <f t="shared" si="25"/>
        <v/>
      </c>
      <c r="C821" s="5" t="str">
        <f>IF(A821="","",B821*'Mortgage Inputs'!$B$15)</f>
        <v/>
      </c>
      <c r="D821" s="5" t="str">
        <f>IF(A821="","",MIN(B821,MAX(0,'Mortgage Inputs'!$B$17-C821)))</f>
        <v/>
      </c>
      <c r="E821" s="5" t="str">
        <f t="shared" si="24"/>
        <v/>
      </c>
      <c r="F821" s="5">
        <f>IF('Monthly Projection'!A821="",0,'Monthly Projection'!G821)</f>
        <v>0</v>
      </c>
    </row>
    <row r="822" spans="1:6">
      <c r="A822" t="str">
        <f>IF(AND('Mortgage Inputs'!$B$12,816&lt;=IF('Mortgage Inputs'!$B$12,'Mortgage Inputs'!$B$7,0)*12+600,ISNUMBER(E821),E821&gt;0.005),816,"")</f>
        <v/>
      </c>
      <c r="B822" s="5" t="str">
        <f t="shared" si="25"/>
        <v/>
      </c>
      <c r="C822" s="5" t="str">
        <f>IF(A822="","",B822*'Mortgage Inputs'!$B$15)</f>
        <v/>
      </c>
      <c r="D822" s="5" t="str">
        <f>IF(A822="","",MIN(B822,MAX(0,'Mortgage Inputs'!$B$17-C822)))</f>
        <v/>
      </c>
      <c r="E822" s="5" t="str">
        <f t="shared" si="24"/>
        <v/>
      </c>
      <c r="F822" s="5">
        <f>IF('Monthly Projection'!A822="",0,'Monthly Projection'!G822)</f>
        <v>0</v>
      </c>
    </row>
    <row r="823" spans="1:6">
      <c r="A823" t="str">
        <f>IF(AND('Mortgage Inputs'!$B$12,817&lt;=IF('Mortgage Inputs'!$B$12,'Mortgage Inputs'!$B$7,0)*12+600,ISNUMBER(E822),E822&gt;0.005),817,"")</f>
        <v/>
      </c>
      <c r="B823" s="5" t="str">
        <f t="shared" si="25"/>
        <v/>
      </c>
      <c r="C823" s="5" t="str">
        <f>IF(A823="","",B823*'Mortgage Inputs'!$B$15)</f>
        <v/>
      </c>
      <c r="D823" s="5" t="str">
        <f>IF(A823="","",MIN(B823,MAX(0,'Mortgage Inputs'!$B$17-C823)))</f>
        <v/>
      </c>
      <c r="E823" s="5" t="str">
        <f t="shared" si="24"/>
        <v/>
      </c>
      <c r="F823" s="5">
        <f>IF('Monthly Projection'!A823="",0,'Monthly Projection'!G823)</f>
        <v>0</v>
      </c>
    </row>
    <row r="824" spans="1:6">
      <c r="A824" t="str">
        <f>IF(AND('Mortgage Inputs'!$B$12,818&lt;=IF('Mortgage Inputs'!$B$12,'Mortgage Inputs'!$B$7,0)*12+600,ISNUMBER(E823),E823&gt;0.005),818,"")</f>
        <v/>
      </c>
      <c r="B824" s="5" t="str">
        <f t="shared" si="25"/>
        <v/>
      </c>
      <c r="C824" s="5" t="str">
        <f>IF(A824="","",B824*'Mortgage Inputs'!$B$15)</f>
        <v/>
      </c>
      <c r="D824" s="5" t="str">
        <f>IF(A824="","",MIN(B824,MAX(0,'Mortgage Inputs'!$B$17-C824)))</f>
        <v/>
      </c>
      <c r="E824" s="5" t="str">
        <f t="shared" si="24"/>
        <v/>
      </c>
      <c r="F824" s="5">
        <f>IF('Monthly Projection'!A824="",0,'Monthly Projection'!G824)</f>
        <v>0</v>
      </c>
    </row>
    <row r="825" spans="1:6">
      <c r="A825" t="str">
        <f>IF(AND('Mortgage Inputs'!$B$12,819&lt;=IF('Mortgage Inputs'!$B$12,'Mortgage Inputs'!$B$7,0)*12+600,ISNUMBER(E824),E824&gt;0.005),819,"")</f>
        <v/>
      </c>
      <c r="B825" s="5" t="str">
        <f t="shared" si="25"/>
        <v/>
      </c>
      <c r="C825" s="5" t="str">
        <f>IF(A825="","",B825*'Mortgage Inputs'!$B$15)</f>
        <v/>
      </c>
      <c r="D825" s="5" t="str">
        <f>IF(A825="","",MIN(B825,MAX(0,'Mortgage Inputs'!$B$17-C825)))</f>
        <v/>
      </c>
      <c r="E825" s="5" t="str">
        <f t="shared" si="24"/>
        <v/>
      </c>
      <c r="F825" s="5">
        <f>IF('Monthly Projection'!A825="",0,'Monthly Projection'!G825)</f>
        <v>0</v>
      </c>
    </row>
    <row r="826" spans="1:6">
      <c r="A826" t="str">
        <f>IF(AND('Mortgage Inputs'!$B$12,820&lt;=IF('Mortgage Inputs'!$B$12,'Mortgage Inputs'!$B$7,0)*12+600,ISNUMBER(E825),E825&gt;0.005),820,"")</f>
        <v/>
      </c>
      <c r="B826" s="5" t="str">
        <f t="shared" si="25"/>
        <v/>
      </c>
      <c r="C826" s="5" t="str">
        <f>IF(A826="","",B826*'Mortgage Inputs'!$B$15)</f>
        <v/>
      </c>
      <c r="D826" s="5" t="str">
        <f>IF(A826="","",MIN(B826,MAX(0,'Mortgage Inputs'!$B$17-C826)))</f>
        <v/>
      </c>
      <c r="E826" s="5" t="str">
        <f t="shared" si="24"/>
        <v/>
      </c>
      <c r="F826" s="5">
        <f>IF('Monthly Projection'!A826="",0,'Monthly Projection'!G826)</f>
        <v>0</v>
      </c>
    </row>
    <row r="827" spans="1:6">
      <c r="A827" t="str">
        <f>IF(AND('Mortgage Inputs'!$B$12,821&lt;=IF('Mortgage Inputs'!$B$12,'Mortgage Inputs'!$B$7,0)*12+600,ISNUMBER(E826),E826&gt;0.005),821,"")</f>
        <v/>
      </c>
      <c r="B827" s="5" t="str">
        <f t="shared" si="25"/>
        <v/>
      </c>
      <c r="C827" s="5" t="str">
        <f>IF(A827="","",B827*'Mortgage Inputs'!$B$15)</f>
        <v/>
      </c>
      <c r="D827" s="5" t="str">
        <f>IF(A827="","",MIN(B827,MAX(0,'Mortgage Inputs'!$B$17-C827)))</f>
        <v/>
      </c>
      <c r="E827" s="5" t="str">
        <f t="shared" si="24"/>
        <v/>
      </c>
      <c r="F827" s="5">
        <f>IF('Monthly Projection'!A827="",0,'Monthly Projection'!G827)</f>
        <v>0</v>
      </c>
    </row>
    <row r="828" spans="1:6">
      <c r="A828" t="str">
        <f>IF(AND('Mortgage Inputs'!$B$12,822&lt;=IF('Mortgage Inputs'!$B$12,'Mortgage Inputs'!$B$7,0)*12+600,ISNUMBER(E827),E827&gt;0.005),822,"")</f>
        <v/>
      </c>
      <c r="B828" s="5" t="str">
        <f t="shared" si="25"/>
        <v/>
      </c>
      <c r="C828" s="5" t="str">
        <f>IF(A828="","",B828*'Mortgage Inputs'!$B$15)</f>
        <v/>
      </c>
      <c r="D828" s="5" t="str">
        <f>IF(A828="","",MIN(B828,MAX(0,'Mortgage Inputs'!$B$17-C828)))</f>
        <v/>
      </c>
      <c r="E828" s="5" t="str">
        <f t="shared" si="24"/>
        <v/>
      </c>
      <c r="F828" s="5">
        <f>IF('Monthly Projection'!A828="",0,'Monthly Projection'!G828)</f>
        <v>0</v>
      </c>
    </row>
    <row r="829" spans="1:6">
      <c r="A829" t="str">
        <f>IF(AND('Mortgage Inputs'!$B$12,823&lt;=IF('Mortgage Inputs'!$B$12,'Mortgage Inputs'!$B$7,0)*12+600,ISNUMBER(E828),E828&gt;0.005),823,"")</f>
        <v/>
      </c>
      <c r="B829" s="5" t="str">
        <f t="shared" si="25"/>
        <v/>
      </c>
      <c r="C829" s="5" t="str">
        <f>IF(A829="","",B829*'Mortgage Inputs'!$B$15)</f>
        <v/>
      </c>
      <c r="D829" s="5" t="str">
        <f>IF(A829="","",MIN(B829,MAX(0,'Mortgage Inputs'!$B$17-C829)))</f>
        <v/>
      </c>
      <c r="E829" s="5" t="str">
        <f t="shared" si="24"/>
        <v/>
      </c>
      <c r="F829" s="5">
        <f>IF('Monthly Projection'!A829="",0,'Monthly Projection'!G829)</f>
        <v>0</v>
      </c>
    </row>
    <row r="830" spans="1:6">
      <c r="A830" t="str">
        <f>IF(AND('Mortgage Inputs'!$B$12,824&lt;=IF('Mortgage Inputs'!$B$12,'Mortgage Inputs'!$B$7,0)*12+600,ISNUMBER(E829),E829&gt;0.005),824,"")</f>
        <v/>
      </c>
      <c r="B830" s="5" t="str">
        <f t="shared" si="25"/>
        <v/>
      </c>
      <c r="C830" s="5" t="str">
        <f>IF(A830="","",B830*'Mortgage Inputs'!$B$15)</f>
        <v/>
      </c>
      <c r="D830" s="5" t="str">
        <f>IF(A830="","",MIN(B830,MAX(0,'Mortgage Inputs'!$B$17-C830)))</f>
        <v/>
      </c>
      <c r="E830" s="5" t="str">
        <f t="shared" si="24"/>
        <v/>
      </c>
      <c r="F830" s="5">
        <f>IF('Monthly Projection'!A830="",0,'Monthly Projection'!G830)</f>
        <v>0</v>
      </c>
    </row>
    <row r="831" spans="1:6">
      <c r="A831" t="str">
        <f>IF(AND('Mortgage Inputs'!$B$12,825&lt;=IF('Mortgage Inputs'!$B$12,'Mortgage Inputs'!$B$7,0)*12+600,ISNUMBER(E830),E830&gt;0.005),825,"")</f>
        <v/>
      </c>
      <c r="B831" s="5" t="str">
        <f t="shared" si="25"/>
        <v/>
      </c>
      <c r="C831" s="5" t="str">
        <f>IF(A831="","",B831*'Mortgage Inputs'!$B$15)</f>
        <v/>
      </c>
      <c r="D831" s="5" t="str">
        <f>IF(A831="","",MIN(B831,MAX(0,'Mortgage Inputs'!$B$17-C831)))</f>
        <v/>
      </c>
      <c r="E831" s="5" t="str">
        <f t="shared" si="24"/>
        <v/>
      </c>
      <c r="F831" s="5">
        <f>IF('Monthly Projection'!A831="",0,'Monthly Projection'!G831)</f>
        <v>0</v>
      </c>
    </row>
    <row r="832" spans="1:6">
      <c r="A832" t="str">
        <f>IF(AND('Mortgage Inputs'!$B$12,826&lt;=IF('Mortgage Inputs'!$B$12,'Mortgage Inputs'!$B$7,0)*12+600,ISNUMBER(E831),E831&gt;0.005),826,"")</f>
        <v/>
      </c>
      <c r="B832" s="5" t="str">
        <f t="shared" si="25"/>
        <v/>
      </c>
      <c r="C832" s="5" t="str">
        <f>IF(A832="","",B832*'Mortgage Inputs'!$B$15)</f>
        <v/>
      </c>
      <c r="D832" s="5" t="str">
        <f>IF(A832="","",MIN(B832,MAX(0,'Mortgage Inputs'!$B$17-C832)))</f>
        <v/>
      </c>
      <c r="E832" s="5" t="str">
        <f t="shared" si="24"/>
        <v/>
      </c>
      <c r="F832" s="5">
        <f>IF('Monthly Projection'!A832="",0,'Monthly Projection'!G832)</f>
        <v>0</v>
      </c>
    </row>
    <row r="833" spans="1:6">
      <c r="A833" t="str">
        <f>IF(AND('Mortgage Inputs'!$B$12,827&lt;=IF('Mortgage Inputs'!$B$12,'Mortgage Inputs'!$B$7,0)*12+600,ISNUMBER(E832),E832&gt;0.005),827,"")</f>
        <v/>
      </c>
      <c r="B833" s="5" t="str">
        <f t="shared" si="25"/>
        <v/>
      </c>
      <c r="C833" s="5" t="str">
        <f>IF(A833="","",B833*'Mortgage Inputs'!$B$15)</f>
        <v/>
      </c>
      <c r="D833" s="5" t="str">
        <f>IF(A833="","",MIN(B833,MAX(0,'Mortgage Inputs'!$B$17-C833)))</f>
        <v/>
      </c>
      <c r="E833" s="5" t="str">
        <f t="shared" si="24"/>
        <v/>
      </c>
      <c r="F833" s="5">
        <f>IF('Monthly Projection'!A833="",0,'Monthly Projection'!G833)</f>
        <v>0</v>
      </c>
    </row>
    <row r="834" spans="1:6">
      <c r="A834" t="str">
        <f>IF(AND('Mortgage Inputs'!$B$12,828&lt;=IF('Mortgage Inputs'!$B$12,'Mortgage Inputs'!$B$7,0)*12+600,ISNUMBER(E833),E833&gt;0.005),828,"")</f>
        <v/>
      </c>
      <c r="B834" s="5" t="str">
        <f t="shared" si="25"/>
        <v/>
      </c>
      <c r="C834" s="5" t="str">
        <f>IF(A834="","",B834*'Mortgage Inputs'!$B$15)</f>
        <v/>
      </c>
      <c r="D834" s="5" t="str">
        <f>IF(A834="","",MIN(B834,MAX(0,'Mortgage Inputs'!$B$17-C834)))</f>
        <v/>
      </c>
      <c r="E834" s="5" t="str">
        <f t="shared" si="24"/>
        <v/>
      </c>
      <c r="F834" s="5">
        <f>IF('Monthly Projection'!A834="",0,'Monthly Projection'!G834)</f>
        <v>0</v>
      </c>
    </row>
    <row r="835" spans="1:6">
      <c r="A835" t="str">
        <f>IF(AND('Mortgage Inputs'!$B$12,829&lt;=IF('Mortgage Inputs'!$B$12,'Mortgage Inputs'!$B$7,0)*12+600,ISNUMBER(E834),E834&gt;0.005),829,"")</f>
        <v/>
      </c>
      <c r="B835" s="5" t="str">
        <f t="shared" si="25"/>
        <v/>
      </c>
      <c r="C835" s="5" t="str">
        <f>IF(A835="","",B835*'Mortgage Inputs'!$B$15)</f>
        <v/>
      </c>
      <c r="D835" s="5" t="str">
        <f>IF(A835="","",MIN(B835,MAX(0,'Mortgage Inputs'!$B$17-C835)))</f>
        <v/>
      </c>
      <c r="E835" s="5" t="str">
        <f t="shared" si="24"/>
        <v/>
      </c>
      <c r="F835" s="5">
        <f>IF('Monthly Projection'!A835="",0,'Monthly Projection'!G835)</f>
        <v>0</v>
      </c>
    </row>
    <row r="836" spans="1:6">
      <c r="A836" t="str">
        <f>IF(AND('Mortgage Inputs'!$B$12,830&lt;=IF('Mortgage Inputs'!$B$12,'Mortgage Inputs'!$B$7,0)*12+600,ISNUMBER(E835),E835&gt;0.005),830,"")</f>
        <v/>
      </c>
      <c r="B836" s="5" t="str">
        <f t="shared" si="25"/>
        <v/>
      </c>
      <c r="C836" s="5" t="str">
        <f>IF(A836="","",B836*'Mortgage Inputs'!$B$15)</f>
        <v/>
      </c>
      <c r="D836" s="5" t="str">
        <f>IF(A836="","",MIN(B836,MAX(0,'Mortgage Inputs'!$B$17-C836)))</f>
        <v/>
      </c>
      <c r="E836" s="5" t="str">
        <f t="shared" si="24"/>
        <v/>
      </c>
      <c r="F836" s="5">
        <f>IF('Monthly Projection'!A836="",0,'Monthly Projection'!G836)</f>
        <v>0</v>
      </c>
    </row>
    <row r="837" spans="1:6">
      <c r="A837" t="str">
        <f>IF(AND('Mortgage Inputs'!$B$12,831&lt;=IF('Mortgage Inputs'!$B$12,'Mortgage Inputs'!$B$7,0)*12+600,ISNUMBER(E836),E836&gt;0.005),831,"")</f>
        <v/>
      </c>
      <c r="B837" s="5" t="str">
        <f t="shared" si="25"/>
        <v/>
      </c>
      <c r="C837" s="5" t="str">
        <f>IF(A837="","",B837*'Mortgage Inputs'!$B$15)</f>
        <v/>
      </c>
      <c r="D837" s="5" t="str">
        <f>IF(A837="","",MIN(B837,MAX(0,'Mortgage Inputs'!$B$17-C837)))</f>
        <v/>
      </c>
      <c r="E837" s="5" t="str">
        <f t="shared" si="24"/>
        <v/>
      </c>
      <c r="F837" s="5">
        <f>IF('Monthly Projection'!A837="",0,'Monthly Projection'!G837)</f>
        <v>0</v>
      </c>
    </row>
    <row r="838" spans="1:6">
      <c r="A838" t="str">
        <f>IF(AND('Mortgage Inputs'!$B$12,832&lt;=IF('Mortgage Inputs'!$B$12,'Mortgage Inputs'!$B$7,0)*12+600,ISNUMBER(E837),E837&gt;0.005),832,"")</f>
        <v/>
      </c>
      <c r="B838" s="5" t="str">
        <f t="shared" si="25"/>
        <v/>
      </c>
      <c r="C838" s="5" t="str">
        <f>IF(A838="","",B838*'Mortgage Inputs'!$B$15)</f>
        <v/>
      </c>
      <c r="D838" s="5" t="str">
        <f>IF(A838="","",MIN(B838,MAX(0,'Mortgage Inputs'!$B$17-C838)))</f>
        <v/>
      </c>
      <c r="E838" s="5" t="str">
        <f t="shared" si="24"/>
        <v/>
      </c>
      <c r="F838" s="5">
        <f>IF('Monthly Projection'!A838="",0,'Monthly Projection'!G838)</f>
        <v>0</v>
      </c>
    </row>
    <row r="839" spans="1:6">
      <c r="A839" t="str">
        <f>IF(AND('Mortgage Inputs'!$B$12,833&lt;=IF('Mortgage Inputs'!$B$12,'Mortgage Inputs'!$B$7,0)*12+600,ISNUMBER(E838),E838&gt;0.005),833,"")</f>
        <v/>
      </c>
      <c r="B839" s="5" t="str">
        <f t="shared" si="25"/>
        <v/>
      </c>
      <c r="C839" s="5" t="str">
        <f>IF(A839="","",B839*'Mortgage Inputs'!$B$15)</f>
        <v/>
      </c>
      <c r="D839" s="5" t="str">
        <f>IF(A839="","",MIN(B839,MAX(0,'Mortgage Inputs'!$B$17-C839)))</f>
        <v/>
      </c>
      <c r="E839" s="5" t="str">
        <f t="shared" ref="E839:E902" si="26">IF(A839="","",MAX(0,B839-D839))</f>
        <v/>
      </c>
      <c r="F839" s="5">
        <f>IF('Monthly Projection'!A839="",0,'Monthly Projection'!G839)</f>
        <v>0</v>
      </c>
    </row>
    <row r="840" spans="1:6">
      <c r="A840" t="str">
        <f>IF(AND('Mortgage Inputs'!$B$12,834&lt;=IF('Mortgage Inputs'!$B$12,'Mortgage Inputs'!$B$7,0)*12+600,ISNUMBER(E839),E839&gt;0.005),834,"")</f>
        <v/>
      </c>
      <c r="B840" s="5" t="str">
        <f t="shared" ref="B840:B903" si="27">IF(A840="","",E839)</f>
        <v/>
      </c>
      <c r="C840" s="5" t="str">
        <f>IF(A840="","",B840*'Mortgage Inputs'!$B$15)</f>
        <v/>
      </c>
      <c r="D840" s="5" t="str">
        <f>IF(A840="","",MIN(B840,MAX(0,'Mortgage Inputs'!$B$17-C840)))</f>
        <v/>
      </c>
      <c r="E840" s="5" t="str">
        <f t="shared" si="26"/>
        <v/>
      </c>
      <c r="F840" s="5">
        <f>IF('Monthly Projection'!A840="",0,'Monthly Projection'!G840)</f>
        <v>0</v>
      </c>
    </row>
    <row r="841" spans="1:6">
      <c r="A841" t="str">
        <f>IF(AND('Mortgage Inputs'!$B$12,835&lt;=IF('Mortgage Inputs'!$B$12,'Mortgage Inputs'!$B$7,0)*12+600,ISNUMBER(E840),E840&gt;0.005),835,"")</f>
        <v/>
      </c>
      <c r="B841" s="5" t="str">
        <f t="shared" si="27"/>
        <v/>
      </c>
      <c r="C841" s="5" t="str">
        <f>IF(A841="","",B841*'Mortgage Inputs'!$B$15)</f>
        <v/>
      </c>
      <c r="D841" s="5" t="str">
        <f>IF(A841="","",MIN(B841,MAX(0,'Mortgage Inputs'!$B$17-C841)))</f>
        <v/>
      </c>
      <c r="E841" s="5" t="str">
        <f t="shared" si="26"/>
        <v/>
      </c>
      <c r="F841" s="5">
        <f>IF('Monthly Projection'!A841="",0,'Monthly Projection'!G841)</f>
        <v>0</v>
      </c>
    </row>
    <row r="842" spans="1:6">
      <c r="A842" t="str">
        <f>IF(AND('Mortgage Inputs'!$B$12,836&lt;=IF('Mortgage Inputs'!$B$12,'Mortgage Inputs'!$B$7,0)*12+600,ISNUMBER(E841),E841&gt;0.005),836,"")</f>
        <v/>
      </c>
      <c r="B842" s="5" t="str">
        <f t="shared" si="27"/>
        <v/>
      </c>
      <c r="C842" s="5" t="str">
        <f>IF(A842="","",B842*'Mortgage Inputs'!$B$15)</f>
        <v/>
      </c>
      <c r="D842" s="5" t="str">
        <f>IF(A842="","",MIN(B842,MAX(0,'Mortgage Inputs'!$B$17-C842)))</f>
        <v/>
      </c>
      <c r="E842" s="5" t="str">
        <f t="shared" si="26"/>
        <v/>
      </c>
      <c r="F842" s="5">
        <f>IF('Monthly Projection'!A842="",0,'Monthly Projection'!G842)</f>
        <v>0</v>
      </c>
    </row>
    <row r="843" spans="1:6">
      <c r="A843" t="str">
        <f>IF(AND('Mortgage Inputs'!$B$12,837&lt;=IF('Mortgage Inputs'!$B$12,'Mortgage Inputs'!$B$7,0)*12+600,ISNUMBER(E842),E842&gt;0.005),837,"")</f>
        <v/>
      </c>
      <c r="B843" s="5" t="str">
        <f t="shared" si="27"/>
        <v/>
      </c>
      <c r="C843" s="5" t="str">
        <f>IF(A843="","",B843*'Mortgage Inputs'!$B$15)</f>
        <v/>
      </c>
      <c r="D843" s="5" t="str">
        <f>IF(A843="","",MIN(B843,MAX(0,'Mortgage Inputs'!$B$17-C843)))</f>
        <v/>
      </c>
      <c r="E843" s="5" t="str">
        <f t="shared" si="26"/>
        <v/>
      </c>
      <c r="F843" s="5">
        <f>IF('Monthly Projection'!A843="",0,'Monthly Projection'!G843)</f>
        <v>0</v>
      </c>
    </row>
    <row r="844" spans="1:6">
      <c r="A844" t="str">
        <f>IF(AND('Mortgage Inputs'!$B$12,838&lt;=IF('Mortgage Inputs'!$B$12,'Mortgage Inputs'!$B$7,0)*12+600,ISNUMBER(E843),E843&gt;0.005),838,"")</f>
        <v/>
      </c>
      <c r="B844" s="5" t="str">
        <f t="shared" si="27"/>
        <v/>
      </c>
      <c r="C844" s="5" t="str">
        <f>IF(A844="","",B844*'Mortgage Inputs'!$B$15)</f>
        <v/>
      </c>
      <c r="D844" s="5" t="str">
        <f>IF(A844="","",MIN(B844,MAX(0,'Mortgage Inputs'!$B$17-C844)))</f>
        <v/>
      </c>
      <c r="E844" s="5" t="str">
        <f t="shared" si="26"/>
        <v/>
      </c>
      <c r="F844" s="5">
        <f>IF('Monthly Projection'!A844="",0,'Monthly Projection'!G844)</f>
        <v>0</v>
      </c>
    </row>
    <row r="845" spans="1:6">
      <c r="A845" t="str">
        <f>IF(AND('Mortgage Inputs'!$B$12,839&lt;=IF('Mortgage Inputs'!$B$12,'Mortgage Inputs'!$B$7,0)*12+600,ISNUMBER(E844),E844&gt;0.005),839,"")</f>
        <v/>
      </c>
      <c r="B845" s="5" t="str">
        <f t="shared" si="27"/>
        <v/>
      </c>
      <c r="C845" s="5" t="str">
        <f>IF(A845="","",B845*'Mortgage Inputs'!$B$15)</f>
        <v/>
      </c>
      <c r="D845" s="5" t="str">
        <f>IF(A845="","",MIN(B845,MAX(0,'Mortgage Inputs'!$B$17-C845)))</f>
        <v/>
      </c>
      <c r="E845" s="5" t="str">
        <f t="shared" si="26"/>
        <v/>
      </c>
      <c r="F845" s="5">
        <f>IF('Monthly Projection'!A845="",0,'Monthly Projection'!G845)</f>
        <v>0</v>
      </c>
    </row>
    <row r="846" spans="1:6">
      <c r="A846" t="str">
        <f>IF(AND('Mortgage Inputs'!$B$12,840&lt;=IF('Mortgage Inputs'!$B$12,'Mortgage Inputs'!$B$7,0)*12+600,ISNUMBER(E845),E845&gt;0.005),840,"")</f>
        <v/>
      </c>
      <c r="B846" s="5" t="str">
        <f t="shared" si="27"/>
        <v/>
      </c>
      <c r="C846" s="5" t="str">
        <f>IF(A846="","",B846*'Mortgage Inputs'!$B$15)</f>
        <v/>
      </c>
      <c r="D846" s="5" t="str">
        <f>IF(A846="","",MIN(B846,MAX(0,'Mortgage Inputs'!$B$17-C846)))</f>
        <v/>
      </c>
      <c r="E846" s="5" t="str">
        <f t="shared" si="26"/>
        <v/>
      </c>
      <c r="F846" s="5">
        <f>IF('Monthly Projection'!A846="",0,'Monthly Projection'!G846)</f>
        <v>0</v>
      </c>
    </row>
    <row r="847" spans="1:6">
      <c r="A847" t="str">
        <f>IF(AND('Mortgage Inputs'!$B$12,841&lt;=IF('Mortgage Inputs'!$B$12,'Mortgage Inputs'!$B$7,0)*12+600,ISNUMBER(E846),E846&gt;0.005),841,"")</f>
        <v/>
      </c>
      <c r="B847" s="5" t="str">
        <f t="shared" si="27"/>
        <v/>
      </c>
      <c r="C847" s="5" t="str">
        <f>IF(A847="","",B847*'Mortgage Inputs'!$B$15)</f>
        <v/>
      </c>
      <c r="D847" s="5" t="str">
        <f>IF(A847="","",MIN(B847,MAX(0,'Mortgage Inputs'!$B$17-C847)))</f>
        <v/>
      </c>
      <c r="E847" s="5" t="str">
        <f t="shared" si="26"/>
        <v/>
      </c>
      <c r="F847" s="5">
        <f>IF('Monthly Projection'!A847="",0,'Monthly Projection'!G847)</f>
        <v>0</v>
      </c>
    </row>
    <row r="848" spans="1:6">
      <c r="A848" t="str">
        <f>IF(AND('Mortgage Inputs'!$B$12,842&lt;=IF('Mortgage Inputs'!$B$12,'Mortgage Inputs'!$B$7,0)*12+600,ISNUMBER(E847),E847&gt;0.005),842,"")</f>
        <v/>
      </c>
      <c r="B848" s="5" t="str">
        <f t="shared" si="27"/>
        <v/>
      </c>
      <c r="C848" s="5" t="str">
        <f>IF(A848="","",B848*'Mortgage Inputs'!$B$15)</f>
        <v/>
      </c>
      <c r="D848" s="5" t="str">
        <f>IF(A848="","",MIN(B848,MAX(0,'Mortgage Inputs'!$B$17-C848)))</f>
        <v/>
      </c>
      <c r="E848" s="5" t="str">
        <f t="shared" si="26"/>
        <v/>
      </c>
      <c r="F848" s="5">
        <f>IF('Monthly Projection'!A848="",0,'Monthly Projection'!G848)</f>
        <v>0</v>
      </c>
    </row>
    <row r="849" spans="1:6">
      <c r="A849" t="str">
        <f>IF(AND('Mortgage Inputs'!$B$12,843&lt;=IF('Mortgage Inputs'!$B$12,'Mortgage Inputs'!$B$7,0)*12+600,ISNUMBER(E848),E848&gt;0.005),843,"")</f>
        <v/>
      </c>
      <c r="B849" s="5" t="str">
        <f t="shared" si="27"/>
        <v/>
      </c>
      <c r="C849" s="5" t="str">
        <f>IF(A849="","",B849*'Mortgage Inputs'!$B$15)</f>
        <v/>
      </c>
      <c r="D849" s="5" t="str">
        <f>IF(A849="","",MIN(B849,MAX(0,'Mortgage Inputs'!$B$17-C849)))</f>
        <v/>
      </c>
      <c r="E849" s="5" t="str">
        <f t="shared" si="26"/>
        <v/>
      </c>
      <c r="F849" s="5">
        <f>IF('Monthly Projection'!A849="",0,'Monthly Projection'!G849)</f>
        <v>0</v>
      </c>
    </row>
    <row r="850" spans="1:6">
      <c r="A850" t="str">
        <f>IF(AND('Mortgage Inputs'!$B$12,844&lt;=IF('Mortgage Inputs'!$B$12,'Mortgage Inputs'!$B$7,0)*12+600,ISNUMBER(E849),E849&gt;0.005),844,"")</f>
        <v/>
      </c>
      <c r="B850" s="5" t="str">
        <f t="shared" si="27"/>
        <v/>
      </c>
      <c r="C850" s="5" t="str">
        <f>IF(A850="","",B850*'Mortgage Inputs'!$B$15)</f>
        <v/>
      </c>
      <c r="D850" s="5" t="str">
        <f>IF(A850="","",MIN(B850,MAX(0,'Mortgage Inputs'!$B$17-C850)))</f>
        <v/>
      </c>
      <c r="E850" s="5" t="str">
        <f t="shared" si="26"/>
        <v/>
      </c>
      <c r="F850" s="5">
        <f>IF('Monthly Projection'!A850="",0,'Monthly Projection'!G850)</f>
        <v>0</v>
      </c>
    </row>
    <row r="851" spans="1:6">
      <c r="A851" t="str">
        <f>IF(AND('Mortgage Inputs'!$B$12,845&lt;=IF('Mortgage Inputs'!$B$12,'Mortgage Inputs'!$B$7,0)*12+600,ISNUMBER(E850),E850&gt;0.005),845,"")</f>
        <v/>
      </c>
      <c r="B851" s="5" t="str">
        <f t="shared" si="27"/>
        <v/>
      </c>
      <c r="C851" s="5" t="str">
        <f>IF(A851="","",B851*'Mortgage Inputs'!$B$15)</f>
        <v/>
      </c>
      <c r="D851" s="5" t="str">
        <f>IF(A851="","",MIN(B851,MAX(0,'Mortgage Inputs'!$B$17-C851)))</f>
        <v/>
      </c>
      <c r="E851" s="5" t="str">
        <f t="shared" si="26"/>
        <v/>
      </c>
      <c r="F851" s="5">
        <f>IF('Monthly Projection'!A851="",0,'Monthly Projection'!G851)</f>
        <v>0</v>
      </c>
    </row>
    <row r="852" spans="1:6">
      <c r="A852" t="str">
        <f>IF(AND('Mortgage Inputs'!$B$12,846&lt;=IF('Mortgage Inputs'!$B$12,'Mortgage Inputs'!$B$7,0)*12+600,ISNUMBER(E851),E851&gt;0.005),846,"")</f>
        <v/>
      </c>
      <c r="B852" s="5" t="str">
        <f t="shared" si="27"/>
        <v/>
      </c>
      <c r="C852" s="5" t="str">
        <f>IF(A852="","",B852*'Mortgage Inputs'!$B$15)</f>
        <v/>
      </c>
      <c r="D852" s="5" t="str">
        <f>IF(A852="","",MIN(B852,MAX(0,'Mortgage Inputs'!$B$17-C852)))</f>
        <v/>
      </c>
      <c r="E852" s="5" t="str">
        <f t="shared" si="26"/>
        <v/>
      </c>
      <c r="F852" s="5">
        <f>IF('Monthly Projection'!A852="",0,'Monthly Projection'!G852)</f>
        <v>0</v>
      </c>
    </row>
    <row r="853" spans="1:6">
      <c r="A853" t="str">
        <f>IF(AND('Mortgage Inputs'!$B$12,847&lt;=IF('Mortgage Inputs'!$B$12,'Mortgage Inputs'!$B$7,0)*12+600,ISNUMBER(E852),E852&gt;0.005),847,"")</f>
        <v/>
      </c>
      <c r="B853" s="5" t="str">
        <f t="shared" si="27"/>
        <v/>
      </c>
      <c r="C853" s="5" t="str">
        <f>IF(A853="","",B853*'Mortgage Inputs'!$B$15)</f>
        <v/>
      </c>
      <c r="D853" s="5" t="str">
        <f>IF(A853="","",MIN(B853,MAX(0,'Mortgage Inputs'!$B$17-C853)))</f>
        <v/>
      </c>
      <c r="E853" s="5" t="str">
        <f t="shared" si="26"/>
        <v/>
      </c>
      <c r="F853" s="5">
        <f>IF('Monthly Projection'!A853="",0,'Monthly Projection'!G853)</f>
        <v>0</v>
      </c>
    </row>
    <row r="854" spans="1:6">
      <c r="A854" t="str">
        <f>IF(AND('Mortgage Inputs'!$B$12,848&lt;=IF('Mortgage Inputs'!$B$12,'Mortgage Inputs'!$B$7,0)*12+600,ISNUMBER(E853),E853&gt;0.005),848,"")</f>
        <v/>
      </c>
      <c r="B854" s="5" t="str">
        <f t="shared" si="27"/>
        <v/>
      </c>
      <c r="C854" s="5" t="str">
        <f>IF(A854="","",B854*'Mortgage Inputs'!$B$15)</f>
        <v/>
      </c>
      <c r="D854" s="5" t="str">
        <f>IF(A854="","",MIN(B854,MAX(0,'Mortgage Inputs'!$B$17-C854)))</f>
        <v/>
      </c>
      <c r="E854" s="5" t="str">
        <f t="shared" si="26"/>
        <v/>
      </c>
      <c r="F854" s="5">
        <f>IF('Monthly Projection'!A854="",0,'Monthly Projection'!G854)</f>
        <v>0</v>
      </c>
    </row>
    <row r="855" spans="1:6">
      <c r="A855" t="str">
        <f>IF(AND('Mortgage Inputs'!$B$12,849&lt;=IF('Mortgage Inputs'!$B$12,'Mortgage Inputs'!$B$7,0)*12+600,ISNUMBER(E854),E854&gt;0.005),849,"")</f>
        <v/>
      </c>
      <c r="B855" s="5" t="str">
        <f t="shared" si="27"/>
        <v/>
      </c>
      <c r="C855" s="5" t="str">
        <f>IF(A855="","",B855*'Mortgage Inputs'!$B$15)</f>
        <v/>
      </c>
      <c r="D855" s="5" t="str">
        <f>IF(A855="","",MIN(B855,MAX(0,'Mortgage Inputs'!$B$17-C855)))</f>
        <v/>
      </c>
      <c r="E855" s="5" t="str">
        <f t="shared" si="26"/>
        <v/>
      </c>
      <c r="F855" s="5">
        <f>IF('Monthly Projection'!A855="",0,'Monthly Projection'!G855)</f>
        <v>0</v>
      </c>
    </row>
    <row r="856" spans="1:6">
      <c r="A856" t="str">
        <f>IF(AND('Mortgage Inputs'!$B$12,850&lt;=IF('Mortgage Inputs'!$B$12,'Mortgage Inputs'!$B$7,0)*12+600,ISNUMBER(E855),E855&gt;0.005),850,"")</f>
        <v/>
      </c>
      <c r="B856" s="5" t="str">
        <f t="shared" si="27"/>
        <v/>
      </c>
      <c r="C856" s="5" t="str">
        <f>IF(A856="","",B856*'Mortgage Inputs'!$B$15)</f>
        <v/>
      </c>
      <c r="D856" s="5" t="str">
        <f>IF(A856="","",MIN(B856,MAX(0,'Mortgage Inputs'!$B$17-C856)))</f>
        <v/>
      </c>
      <c r="E856" s="5" t="str">
        <f t="shared" si="26"/>
        <v/>
      </c>
      <c r="F856" s="5">
        <f>IF('Monthly Projection'!A856="",0,'Monthly Projection'!G856)</f>
        <v>0</v>
      </c>
    </row>
    <row r="857" spans="1:6">
      <c r="A857" t="str">
        <f>IF(AND('Mortgage Inputs'!$B$12,851&lt;=IF('Mortgage Inputs'!$B$12,'Mortgage Inputs'!$B$7,0)*12+600,ISNUMBER(E856),E856&gt;0.005),851,"")</f>
        <v/>
      </c>
      <c r="B857" s="5" t="str">
        <f t="shared" si="27"/>
        <v/>
      </c>
      <c r="C857" s="5" t="str">
        <f>IF(A857="","",B857*'Mortgage Inputs'!$B$15)</f>
        <v/>
      </c>
      <c r="D857" s="5" t="str">
        <f>IF(A857="","",MIN(B857,MAX(0,'Mortgage Inputs'!$B$17-C857)))</f>
        <v/>
      </c>
      <c r="E857" s="5" t="str">
        <f t="shared" si="26"/>
        <v/>
      </c>
      <c r="F857" s="5">
        <f>IF('Monthly Projection'!A857="",0,'Monthly Projection'!G857)</f>
        <v>0</v>
      </c>
    </row>
    <row r="858" spans="1:6">
      <c r="A858" t="str">
        <f>IF(AND('Mortgage Inputs'!$B$12,852&lt;=IF('Mortgage Inputs'!$B$12,'Mortgage Inputs'!$B$7,0)*12+600,ISNUMBER(E857),E857&gt;0.005),852,"")</f>
        <v/>
      </c>
      <c r="B858" s="5" t="str">
        <f t="shared" si="27"/>
        <v/>
      </c>
      <c r="C858" s="5" t="str">
        <f>IF(A858="","",B858*'Mortgage Inputs'!$B$15)</f>
        <v/>
      </c>
      <c r="D858" s="5" t="str">
        <f>IF(A858="","",MIN(B858,MAX(0,'Mortgage Inputs'!$B$17-C858)))</f>
        <v/>
      </c>
      <c r="E858" s="5" t="str">
        <f t="shared" si="26"/>
        <v/>
      </c>
      <c r="F858" s="5">
        <f>IF('Monthly Projection'!A858="",0,'Monthly Projection'!G858)</f>
        <v>0</v>
      </c>
    </row>
    <row r="859" spans="1:6">
      <c r="A859" t="str">
        <f>IF(AND('Mortgage Inputs'!$B$12,853&lt;=IF('Mortgage Inputs'!$B$12,'Mortgage Inputs'!$B$7,0)*12+600,ISNUMBER(E858),E858&gt;0.005),853,"")</f>
        <v/>
      </c>
      <c r="B859" s="5" t="str">
        <f t="shared" si="27"/>
        <v/>
      </c>
      <c r="C859" s="5" t="str">
        <f>IF(A859="","",B859*'Mortgage Inputs'!$B$15)</f>
        <v/>
      </c>
      <c r="D859" s="5" t="str">
        <f>IF(A859="","",MIN(B859,MAX(0,'Mortgage Inputs'!$B$17-C859)))</f>
        <v/>
      </c>
      <c r="E859" s="5" t="str">
        <f t="shared" si="26"/>
        <v/>
      </c>
      <c r="F859" s="5">
        <f>IF('Monthly Projection'!A859="",0,'Monthly Projection'!G859)</f>
        <v>0</v>
      </c>
    </row>
    <row r="860" spans="1:6">
      <c r="A860" t="str">
        <f>IF(AND('Mortgage Inputs'!$B$12,854&lt;=IF('Mortgage Inputs'!$B$12,'Mortgage Inputs'!$B$7,0)*12+600,ISNUMBER(E859),E859&gt;0.005),854,"")</f>
        <v/>
      </c>
      <c r="B860" s="5" t="str">
        <f t="shared" si="27"/>
        <v/>
      </c>
      <c r="C860" s="5" t="str">
        <f>IF(A860="","",B860*'Mortgage Inputs'!$B$15)</f>
        <v/>
      </c>
      <c r="D860" s="5" t="str">
        <f>IF(A860="","",MIN(B860,MAX(0,'Mortgage Inputs'!$B$17-C860)))</f>
        <v/>
      </c>
      <c r="E860" s="5" t="str">
        <f t="shared" si="26"/>
        <v/>
      </c>
      <c r="F860" s="5">
        <f>IF('Monthly Projection'!A860="",0,'Monthly Projection'!G860)</f>
        <v>0</v>
      </c>
    </row>
    <row r="861" spans="1:6">
      <c r="A861" t="str">
        <f>IF(AND('Mortgage Inputs'!$B$12,855&lt;=IF('Mortgage Inputs'!$B$12,'Mortgage Inputs'!$B$7,0)*12+600,ISNUMBER(E860),E860&gt;0.005),855,"")</f>
        <v/>
      </c>
      <c r="B861" s="5" t="str">
        <f t="shared" si="27"/>
        <v/>
      </c>
      <c r="C861" s="5" t="str">
        <f>IF(A861="","",B861*'Mortgage Inputs'!$B$15)</f>
        <v/>
      </c>
      <c r="D861" s="5" t="str">
        <f>IF(A861="","",MIN(B861,MAX(0,'Mortgage Inputs'!$B$17-C861)))</f>
        <v/>
      </c>
      <c r="E861" s="5" t="str">
        <f t="shared" si="26"/>
        <v/>
      </c>
      <c r="F861" s="5">
        <f>IF('Monthly Projection'!A861="",0,'Monthly Projection'!G861)</f>
        <v>0</v>
      </c>
    </row>
    <row r="862" spans="1:6">
      <c r="A862" t="str">
        <f>IF(AND('Mortgage Inputs'!$B$12,856&lt;=IF('Mortgage Inputs'!$B$12,'Mortgage Inputs'!$B$7,0)*12+600,ISNUMBER(E861),E861&gt;0.005),856,"")</f>
        <v/>
      </c>
      <c r="B862" s="5" t="str">
        <f t="shared" si="27"/>
        <v/>
      </c>
      <c r="C862" s="5" t="str">
        <f>IF(A862="","",B862*'Mortgage Inputs'!$B$15)</f>
        <v/>
      </c>
      <c r="D862" s="5" t="str">
        <f>IF(A862="","",MIN(B862,MAX(0,'Mortgage Inputs'!$B$17-C862)))</f>
        <v/>
      </c>
      <c r="E862" s="5" t="str">
        <f t="shared" si="26"/>
        <v/>
      </c>
      <c r="F862" s="5">
        <f>IF('Monthly Projection'!A862="",0,'Monthly Projection'!G862)</f>
        <v>0</v>
      </c>
    </row>
    <row r="863" spans="1:6">
      <c r="A863" t="str">
        <f>IF(AND('Mortgage Inputs'!$B$12,857&lt;=IF('Mortgage Inputs'!$B$12,'Mortgage Inputs'!$B$7,0)*12+600,ISNUMBER(E862),E862&gt;0.005),857,"")</f>
        <v/>
      </c>
      <c r="B863" s="5" t="str">
        <f t="shared" si="27"/>
        <v/>
      </c>
      <c r="C863" s="5" t="str">
        <f>IF(A863="","",B863*'Mortgage Inputs'!$B$15)</f>
        <v/>
      </c>
      <c r="D863" s="5" t="str">
        <f>IF(A863="","",MIN(B863,MAX(0,'Mortgage Inputs'!$B$17-C863)))</f>
        <v/>
      </c>
      <c r="E863" s="5" t="str">
        <f t="shared" si="26"/>
        <v/>
      </c>
      <c r="F863" s="5">
        <f>IF('Monthly Projection'!A863="",0,'Monthly Projection'!G863)</f>
        <v>0</v>
      </c>
    </row>
    <row r="864" spans="1:6">
      <c r="A864" t="str">
        <f>IF(AND('Mortgage Inputs'!$B$12,858&lt;=IF('Mortgage Inputs'!$B$12,'Mortgage Inputs'!$B$7,0)*12+600,ISNUMBER(E863),E863&gt;0.005),858,"")</f>
        <v/>
      </c>
      <c r="B864" s="5" t="str">
        <f t="shared" si="27"/>
        <v/>
      </c>
      <c r="C864" s="5" t="str">
        <f>IF(A864="","",B864*'Mortgage Inputs'!$B$15)</f>
        <v/>
      </c>
      <c r="D864" s="5" t="str">
        <f>IF(A864="","",MIN(B864,MAX(0,'Mortgage Inputs'!$B$17-C864)))</f>
        <v/>
      </c>
      <c r="E864" s="5" t="str">
        <f t="shared" si="26"/>
        <v/>
      </c>
      <c r="F864" s="5">
        <f>IF('Monthly Projection'!A864="",0,'Monthly Projection'!G864)</f>
        <v>0</v>
      </c>
    </row>
    <row r="865" spans="1:6">
      <c r="A865" t="str">
        <f>IF(AND('Mortgage Inputs'!$B$12,859&lt;=IF('Mortgage Inputs'!$B$12,'Mortgage Inputs'!$B$7,0)*12+600,ISNUMBER(E864),E864&gt;0.005),859,"")</f>
        <v/>
      </c>
      <c r="B865" s="5" t="str">
        <f t="shared" si="27"/>
        <v/>
      </c>
      <c r="C865" s="5" t="str">
        <f>IF(A865="","",B865*'Mortgage Inputs'!$B$15)</f>
        <v/>
      </c>
      <c r="D865" s="5" t="str">
        <f>IF(A865="","",MIN(B865,MAX(0,'Mortgage Inputs'!$B$17-C865)))</f>
        <v/>
      </c>
      <c r="E865" s="5" t="str">
        <f t="shared" si="26"/>
        <v/>
      </c>
      <c r="F865" s="5">
        <f>IF('Monthly Projection'!A865="",0,'Monthly Projection'!G865)</f>
        <v>0</v>
      </c>
    </row>
    <row r="866" spans="1:6">
      <c r="A866" t="str">
        <f>IF(AND('Mortgage Inputs'!$B$12,860&lt;=IF('Mortgage Inputs'!$B$12,'Mortgage Inputs'!$B$7,0)*12+600,ISNUMBER(E865),E865&gt;0.005),860,"")</f>
        <v/>
      </c>
      <c r="B866" s="5" t="str">
        <f t="shared" si="27"/>
        <v/>
      </c>
      <c r="C866" s="5" t="str">
        <f>IF(A866="","",B866*'Mortgage Inputs'!$B$15)</f>
        <v/>
      </c>
      <c r="D866" s="5" t="str">
        <f>IF(A866="","",MIN(B866,MAX(0,'Mortgage Inputs'!$B$17-C866)))</f>
        <v/>
      </c>
      <c r="E866" s="5" t="str">
        <f t="shared" si="26"/>
        <v/>
      </c>
      <c r="F866" s="5">
        <f>IF('Monthly Projection'!A866="",0,'Monthly Projection'!G866)</f>
        <v>0</v>
      </c>
    </row>
    <row r="867" spans="1:6">
      <c r="A867" t="str">
        <f>IF(AND('Mortgage Inputs'!$B$12,861&lt;=IF('Mortgage Inputs'!$B$12,'Mortgage Inputs'!$B$7,0)*12+600,ISNUMBER(E866),E866&gt;0.005),861,"")</f>
        <v/>
      </c>
      <c r="B867" s="5" t="str">
        <f t="shared" si="27"/>
        <v/>
      </c>
      <c r="C867" s="5" t="str">
        <f>IF(A867="","",B867*'Mortgage Inputs'!$B$15)</f>
        <v/>
      </c>
      <c r="D867" s="5" t="str">
        <f>IF(A867="","",MIN(B867,MAX(0,'Mortgage Inputs'!$B$17-C867)))</f>
        <v/>
      </c>
      <c r="E867" s="5" t="str">
        <f t="shared" si="26"/>
        <v/>
      </c>
      <c r="F867" s="5">
        <f>IF('Monthly Projection'!A867="",0,'Monthly Projection'!G867)</f>
        <v>0</v>
      </c>
    </row>
    <row r="868" spans="1:6">
      <c r="A868" t="str">
        <f>IF(AND('Mortgage Inputs'!$B$12,862&lt;=IF('Mortgage Inputs'!$B$12,'Mortgage Inputs'!$B$7,0)*12+600,ISNUMBER(E867),E867&gt;0.005),862,"")</f>
        <v/>
      </c>
      <c r="B868" s="5" t="str">
        <f t="shared" si="27"/>
        <v/>
      </c>
      <c r="C868" s="5" t="str">
        <f>IF(A868="","",B868*'Mortgage Inputs'!$B$15)</f>
        <v/>
      </c>
      <c r="D868" s="5" t="str">
        <f>IF(A868="","",MIN(B868,MAX(0,'Mortgage Inputs'!$B$17-C868)))</f>
        <v/>
      </c>
      <c r="E868" s="5" t="str">
        <f t="shared" si="26"/>
        <v/>
      </c>
      <c r="F868" s="5">
        <f>IF('Monthly Projection'!A868="",0,'Monthly Projection'!G868)</f>
        <v>0</v>
      </c>
    </row>
    <row r="869" spans="1:6">
      <c r="A869" t="str">
        <f>IF(AND('Mortgage Inputs'!$B$12,863&lt;=IF('Mortgage Inputs'!$B$12,'Mortgage Inputs'!$B$7,0)*12+600,ISNUMBER(E868),E868&gt;0.005),863,"")</f>
        <v/>
      </c>
      <c r="B869" s="5" t="str">
        <f t="shared" si="27"/>
        <v/>
      </c>
      <c r="C869" s="5" t="str">
        <f>IF(A869="","",B869*'Mortgage Inputs'!$B$15)</f>
        <v/>
      </c>
      <c r="D869" s="5" t="str">
        <f>IF(A869="","",MIN(B869,MAX(0,'Mortgage Inputs'!$B$17-C869)))</f>
        <v/>
      </c>
      <c r="E869" s="5" t="str">
        <f t="shared" si="26"/>
        <v/>
      </c>
      <c r="F869" s="5">
        <f>IF('Monthly Projection'!A869="",0,'Monthly Projection'!G869)</f>
        <v>0</v>
      </c>
    </row>
    <row r="870" spans="1:6">
      <c r="A870" t="str">
        <f>IF(AND('Mortgage Inputs'!$B$12,864&lt;=IF('Mortgage Inputs'!$B$12,'Mortgage Inputs'!$B$7,0)*12+600,ISNUMBER(E869),E869&gt;0.005),864,"")</f>
        <v/>
      </c>
      <c r="B870" s="5" t="str">
        <f t="shared" si="27"/>
        <v/>
      </c>
      <c r="C870" s="5" t="str">
        <f>IF(A870="","",B870*'Mortgage Inputs'!$B$15)</f>
        <v/>
      </c>
      <c r="D870" s="5" t="str">
        <f>IF(A870="","",MIN(B870,MAX(0,'Mortgage Inputs'!$B$17-C870)))</f>
        <v/>
      </c>
      <c r="E870" s="5" t="str">
        <f t="shared" si="26"/>
        <v/>
      </c>
      <c r="F870" s="5">
        <f>IF('Monthly Projection'!A870="",0,'Monthly Projection'!G870)</f>
        <v>0</v>
      </c>
    </row>
    <row r="871" spans="1:6">
      <c r="A871" t="str">
        <f>IF(AND('Mortgage Inputs'!$B$12,865&lt;=IF('Mortgage Inputs'!$B$12,'Mortgage Inputs'!$B$7,0)*12+600,ISNUMBER(E870),E870&gt;0.005),865,"")</f>
        <v/>
      </c>
      <c r="B871" s="5" t="str">
        <f t="shared" si="27"/>
        <v/>
      </c>
      <c r="C871" s="5" t="str">
        <f>IF(A871="","",B871*'Mortgage Inputs'!$B$15)</f>
        <v/>
      </c>
      <c r="D871" s="5" t="str">
        <f>IF(A871="","",MIN(B871,MAX(0,'Mortgage Inputs'!$B$17-C871)))</f>
        <v/>
      </c>
      <c r="E871" s="5" t="str">
        <f t="shared" si="26"/>
        <v/>
      </c>
      <c r="F871" s="5">
        <f>IF('Monthly Projection'!A871="",0,'Monthly Projection'!G871)</f>
        <v>0</v>
      </c>
    </row>
    <row r="872" spans="1:6">
      <c r="A872" t="str">
        <f>IF(AND('Mortgage Inputs'!$B$12,866&lt;=IF('Mortgage Inputs'!$B$12,'Mortgage Inputs'!$B$7,0)*12+600,ISNUMBER(E871),E871&gt;0.005),866,"")</f>
        <v/>
      </c>
      <c r="B872" s="5" t="str">
        <f t="shared" si="27"/>
        <v/>
      </c>
      <c r="C872" s="5" t="str">
        <f>IF(A872="","",B872*'Mortgage Inputs'!$B$15)</f>
        <v/>
      </c>
      <c r="D872" s="5" t="str">
        <f>IF(A872="","",MIN(B872,MAX(0,'Mortgage Inputs'!$B$17-C872)))</f>
        <v/>
      </c>
      <c r="E872" s="5" t="str">
        <f t="shared" si="26"/>
        <v/>
      </c>
      <c r="F872" s="5">
        <f>IF('Monthly Projection'!A872="",0,'Monthly Projection'!G872)</f>
        <v>0</v>
      </c>
    </row>
    <row r="873" spans="1:6">
      <c r="A873" t="str">
        <f>IF(AND('Mortgage Inputs'!$B$12,867&lt;=IF('Mortgage Inputs'!$B$12,'Mortgage Inputs'!$B$7,0)*12+600,ISNUMBER(E872),E872&gt;0.005),867,"")</f>
        <v/>
      </c>
      <c r="B873" s="5" t="str">
        <f t="shared" si="27"/>
        <v/>
      </c>
      <c r="C873" s="5" t="str">
        <f>IF(A873="","",B873*'Mortgage Inputs'!$B$15)</f>
        <v/>
      </c>
      <c r="D873" s="5" t="str">
        <f>IF(A873="","",MIN(B873,MAX(0,'Mortgage Inputs'!$B$17-C873)))</f>
        <v/>
      </c>
      <c r="E873" s="5" t="str">
        <f t="shared" si="26"/>
        <v/>
      </c>
      <c r="F873" s="5">
        <f>IF('Monthly Projection'!A873="",0,'Monthly Projection'!G873)</f>
        <v>0</v>
      </c>
    </row>
    <row r="874" spans="1:6">
      <c r="A874" t="str">
        <f>IF(AND('Mortgage Inputs'!$B$12,868&lt;=IF('Mortgage Inputs'!$B$12,'Mortgage Inputs'!$B$7,0)*12+600,ISNUMBER(E873),E873&gt;0.005),868,"")</f>
        <v/>
      </c>
      <c r="B874" s="5" t="str">
        <f t="shared" si="27"/>
        <v/>
      </c>
      <c r="C874" s="5" t="str">
        <f>IF(A874="","",B874*'Mortgage Inputs'!$B$15)</f>
        <v/>
      </c>
      <c r="D874" s="5" t="str">
        <f>IF(A874="","",MIN(B874,MAX(0,'Mortgage Inputs'!$B$17-C874)))</f>
        <v/>
      </c>
      <c r="E874" s="5" t="str">
        <f t="shared" si="26"/>
        <v/>
      </c>
      <c r="F874" s="5">
        <f>IF('Monthly Projection'!A874="",0,'Monthly Projection'!G874)</f>
        <v>0</v>
      </c>
    </row>
    <row r="875" spans="1:6">
      <c r="A875" t="str">
        <f>IF(AND('Mortgage Inputs'!$B$12,869&lt;=IF('Mortgage Inputs'!$B$12,'Mortgage Inputs'!$B$7,0)*12+600,ISNUMBER(E874),E874&gt;0.005),869,"")</f>
        <v/>
      </c>
      <c r="B875" s="5" t="str">
        <f t="shared" si="27"/>
        <v/>
      </c>
      <c r="C875" s="5" t="str">
        <f>IF(A875="","",B875*'Mortgage Inputs'!$B$15)</f>
        <v/>
      </c>
      <c r="D875" s="5" t="str">
        <f>IF(A875="","",MIN(B875,MAX(0,'Mortgage Inputs'!$B$17-C875)))</f>
        <v/>
      </c>
      <c r="E875" s="5" t="str">
        <f t="shared" si="26"/>
        <v/>
      </c>
      <c r="F875" s="5">
        <f>IF('Monthly Projection'!A875="",0,'Monthly Projection'!G875)</f>
        <v>0</v>
      </c>
    </row>
    <row r="876" spans="1:6">
      <c r="A876" t="str">
        <f>IF(AND('Mortgage Inputs'!$B$12,870&lt;=IF('Mortgage Inputs'!$B$12,'Mortgage Inputs'!$B$7,0)*12+600,ISNUMBER(E875),E875&gt;0.005),870,"")</f>
        <v/>
      </c>
      <c r="B876" s="5" t="str">
        <f t="shared" si="27"/>
        <v/>
      </c>
      <c r="C876" s="5" t="str">
        <f>IF(A876="","",B876*'Mortgage Inputs'!$B$15)</f>
        <v/>
      </c>
      <c r="D876" s="5" t="str">
        <f>IF(A876="","",MIN(B876,MAX(0,'Mortgage Inputs'!$B$17-C876)))</f>
        <v/>
      </c>
      <c r="E876" s="5" t="str">
        <f t="shared" si="26"/>
        <v/>
      </c>
      <c r="F876" s="5">
        <f>IF('Monthly Projection'!A876="",0,'Monthly Projection'!G876)</f>
        <v>0</v>
      </c>
    </row>
    <row r="877" spans="1:6">
      <c r="A877" t="str">
        <f>IF(AND('Mortgage Inputs'!$B$12,871&lt;=IF('Mortgage Inputs'!$B$12,'Mortgage Inputs'!$B$7,0)*12+600,ISNUMBER(E876),E876&gt;0.005),871,"")</f>
        <v/>
      </c>
      <c r="B877" s="5" t="str">
        <f t="shared" si="27"/>
        <v/>
      </c>
      <c r="C877" s="5" t="str">
        <f>IF(A877="","",B877*'Mortgage Inputs'!$B$15)</f>
        <v/>
      </c>
      <c r="D877" s="5" t="str">
        <f>IF(A877="","",MIN(B877,MAX(0,'Mortgage Inputs'!$B$17-C877)))</f>
        <v/>
      </c>
      <c r="E877" s="5" t="str">
        <f t="shared" si="26"/>
        <v/>
      </c>
      <c r="F877" s="5">
        <f>IF('Monthly Projection'!A877="",0,'Monthly Projection'!G877)</f>
        <v>0</v>
      </c>
    </row>
    <row r="878" spans="1:6">
      <c r="A878" t="str">
        <f>IF(AND('Mortgage Inputs'!$B$12,872&lt;=IF('Mortgage Inputs'!$B$12,'Mortgage Inputs'!$B$7,0)*12+600,ISNUMBER(E877),E877&gt;0.005),872,"")</f>
        <v/>
      </c>
      <c r="B878" s="5" t="str">
        <f t="shared" si="27"/>
        <v/>
      </c>
      <c r="C878" s="5" t="str">
        <f>IF(A878="","",B878*'Mortgage Inputs'!$B$15)</f>
        <v/>
      </c>
      <c r="D878" s="5" t="str">
        <f>IF(A878="","",MIN(B878,MAX(0,'Mortgage Inputs'!$B$17-C878)))</f>
        <v/>
      </c>
      <c r="E878" s="5" t="str">
        <f t="shared" si="26"/>
        <v/>
      </c>
      <c r="F878" s="5">
        <f>IF('Monthly Projection'!A878="",0,'Monthly Projection'!G878)</f>
        <v>0</v>
      </c>
    </row>
    <row r="879" spans="1:6">
      <c r="A879" t="str">
        <f>IF(AND('Mortgage Inputs'!$B$12,873&lt;=IF('Mortgage Inputs'!$B$12,'Mortgage Inputs'!$B$7,0)*12+600,ISNUMBER(E878),E878&gt;0.005),873,"")</f>
        <v/>
      </c>
      <c r="B879" s="5" t="str">
        <f t="shared" si="27"/>
        <v/>
      </c>
      <c r="C879" s="5" t="str">
        <f>IF(A879="","",B879*'Mortgage Inputs'!$B$15)</f>
        <v/>
      </c>
      <c r="D879" s="5" t="str">
        <f>IF(A879="","",MIN(B879,MAX(0,'Mortgage Inputs'!$B$17-C879)))</f>
        <v/>
      </c>
      <c r="E879" s="5" t="str">
        <f t="shared" si="26"/>
        <v/>
      </c>
      <c r="F879" s="5">
        <f>IF('Monthly Projection'!A879="",0,'Monthly Projection'!G879)</f>
        <v>0</v>
      </c>
    </row>
    <row r="880" spans="1:6">
      <c r="A880" t="str">
        <f>IF(AND('Mortgage Inputs'!$B$12,874&lt;=IF('Mortgage Inputs'!$B$12,'Mortgage Inputs'!$B$7,0)*12+600,ISNUMBER(E879),E879&gt;0.005),874,"")</f>
        <v/>
      </c>
      <c r="B880" s="5" t="str">
        <f t="shared" si="27"/>
        <v/>
      </c>
      <c r="C880" s="5" t="str">
        <f>IF(A880="","",B880*'Mortgage Inputs'!$B$15)</f>
        <v/>
      </c>
      <c r="D880" s="5" t="str">
        <f>IF(A880="","",MIN(B880,MAX(0,'Mortgage Inputs'!$B$17-C880)))</f>
        <v/>
      </c>
      <c r="E880" s="5" t="str">
        <f t="shared" si="26"/>
        <v/>
      </c>
      <c r="F880" s="5">
        <f>IF('Monthly Projection'!A880="",0,'Monthly Projection'!G880)</f>
        <v>0</v>
      </c>
    </row>
    <row r="881" spans="1:6">
      <c r="A881" t="str">
        <f>IF(AND('Mortgage Inputs'!$B$12,875&lt;=IF('Mortgage Inputs'!$B$12,'Mortgage Inputs'!$B$7,0)*12+600,ISNUMBER(E880),E880&gt;0.005),875,"")</f>
        <v/>
      </c>
      <c r="B881" s="5" t="str">
        <f t="shared" si="27"/>
        <v/>
      </c>
      <c r="C881" s="5" t="str">
        <f>IF(A881="","",B881*'Mortgage Inputs'!$B$15)</f>
        <v/>
      </c>
      <c r="D881" s="5" t="str">
        <f>IF(A881="","",MIN(B881,MAX(0,'Mortgage Inputs'!$B$17-C881)))</f>
        <v/>
      </c>
      <c r="E881" s="5" t="str">
        <f t="shared" si="26"/>
        <v/>
      </c>
      <c r="F881" s="5">
        <f>IF('Monthly Projection'!A881="",0,'Monthly Projection'!G881)</f>
        <v>0</v>
      </c>
    </row>
    <row r="882" spans="1:6">
      <c r="A882" t="str">
        <f>IF(AND('Mortgage Inputs'!$B$12,876&lt;=IF('Mortgage Inputs'!$B$12,'Mortgage Inputs'!$B$7,0)*12+600,ISNUMBER(E881),E881&gt;0.005),876,"")</f>
        <v/>
      </c>
      <c r="B882" s="5" t="str">
        <f t="shared" si="27"/>
        <v/>
      </c>
      <c r="C882" s="5" t="str">
        <f>IF(A882="","",B882*'Mortgage Inputs'!$B$15)</f>
        <v/>
      </c>
      <c r="D882" s="5" t="str">
        <f>IF(A882="","",MIN(B882,MAX(0,'Mortgage Inputs'!$B$17-C882)))</f>
        <v/>
      </c>
      <c r="E882" s="5" t="str">
        <f t="shared" si="26"/>
        <v/>
      </c>
      <c r="F882" s="5">
        <f>IF('Monthly Projection'!A882="",0,'Monthly Projection'!G882)</f>
        <v>0</v>
      </c>
    </row>
    <row r="883" spans="1:6">
      <c r="A883" t="str">
        <f>IF(AND('Mortgage Inputs'!$B$12,877&lt;=IF('Mortgage Inputs'!$B$12,'Mortgage Inputs'!$B$7,0)*12+600,ISNUMBER(E882),E882&gt;0.005),877,"")</f>
        <v/>
      </c>
      <c r="B883" s="5" t="str">
        <f t="shared" si="27"/>
        <v/>
      </c>
      <c r="C883" s="5" t="str">
        <f>IF(A883="","",B883*'Mortgage Inputs'!$B$15)</f>
        <v/>
      </c>
      <c r="D883" s="5" t="str">
        <f>IF(A883="","",MIN(B883,MAX(0,'Mortgage Inputs'!$B$17-C883)))</f>
        <v/>
      </c>
      <c r="E883" s="5" t="str">
        <f t="shared" si="26"/>
        <v/>
      </c>
      <c r="F883" s="5">
        <f>IF('Monthly Projection'!A883="",0,'Monthly Projection'!G883)</f>
        <v>0</v>
      </c>
    </row>
    <row r="884" spans="1:6">
      <c r="A884" t="str">
        <f>IF(AND('Mortgage Inputs'!$B$12,878&lt;=IF('Mortgage Inputs'!$B$12,'Mortgage Inputs'!$B$7,0)*12+600,ISNUMBER(E883),E883&gt;0.005),878,"")</f>
        <v/>
      </c>
      <c r="B884" s="5" t="str">
        <f t="shared" si="27"/>
        <v/>
      </c>
      <c r="C884" s="5" t="str">
        <f>IF(A884="","",B884*'Mortgage Inputs'!$B$15)</f>
        <v/>
      </c>
      <c r="D884" s="5" t="str">
        <f>IF(A884="","",MIN(B884,MAX(0,'Mortgage Inputs'!$B$17-C884)))</f>
        <v/>
      </c>
      <c r="E884" s="5" t="str">
        <f t="shared" si="26"/>
        <v/>
      </c>
      <c r="F884" s="5">
        <f>IF('Monthly Projection'!A884="",0,'Monthly Projection'!G884)</f>
        <v>0</v>
      </c>
    </row>
    <row r="885" spans="1:6">
      <c r="A885" t="str">
        <f>IF(AND('Mortgage Inputs'!$B$12,879&lt;=IF('Mortgage Inputs'!$B$12,'Mortgage Inputs'!$B$7,0)*12+600,ISNUMBER(E884),E884&gt;0.005),879,"")</f>
        <v/>
      </c>
      <c r="B885" s="5" t="str">
        <f t="shared" si="27"/>
        <v/>
      </c>
      <c r="C885" s="5" t="str">
        <f>IF(A885="","",B885*'Mortgage Inputs'!$B$15)</f>
        <v/>
      </c>
      <c r="D885" s="5" t="str">
        <f>IF(A885="","",MIN(B885,MAX(0,'Mortgage Inputs'!$B$17-C885)))</f>
        <v/>
      </c>
      <c r="E885" s="5" t="str">
        <f t="shared" si="26"/>
        <v/>
      </c>
      <c r="F885" s="5">
        <f>IF('Monthly Projection'!A885="",0,'Monthly Projection'!G885)</f>
        <v>0</v>
      </c>
    </row>
    <row r="886" spans="1:6">
      <c r="A886" t="str">
        <f>IF(AND('Mortgage Inputs'!$B$12,880&lt;=IF('Mortgage Inputs'!$B$12,'Mortgage Inputs'!$B$7,0)*12+600,ISNUMBER(E885),E885&gt;0.005),880,"")</f>
        <v/>
      </c>
      <c r="B886" s="5" t="str">
        <f t="shared" si="27"/>
        <v/>
      </c>
      <c r="C886" s="5" t="str">
        <f>IF(A886="","",B886*'Mortgage Inputs'!$B$15)</f>
        <v/>
      </c>
      <c r="D886" s="5" t="str">
        <f>IF(A886="","",MIN(B886,MAX(0,'Mortgage Inputs'!$B$17-C886)))</f>
        <v/>
      </c>
      <c r="E886" s="5" t="str">
        <f t="shared" si="26"/>
        <v/>
      </c>
      <c r="F886" s="5">
        <f>IF('Monthly Projection'!A886="",0,'Monthly Projection'!G886)</f>
        <v>0</v>
      </c>
    </row>
    <row r="887" spans="1:6">
      <c r="A887" t="str">
        <f>IF(AND('Mortgage Inputs'!$B$12,881&lt;=IF('Mortgage Inputs'!$B$12,'Mortgage Inputs'!$B$7,0)*12+600,ISNUMBER(E886),E886&gt;0.005),881,"")</f>
        <v/>
      </c>
      <c r="B887" s="5" t="str">
        <f t="shared" si="27"/>
        <v/>
      </c>
      <c r="C887" s="5" t="str">
        <f>IF(A887="","",B887*'Mortgage Inputs'!$B$15)</f>
        <v/>
      </c>
      <c r="D887" s="5" t="str">
        <f>IF(A887="","",MIN(B887,MAX(0,'Mortgage Inputs'!$B$17-C887)))</f>
        <v/>
      </c>
      <c r="E887" s="5" t="str">
        <f t="shared" si="26"/>
        <v/>
      </c>
      <c r="F887" s="5">
        <f>IF('Monthly Projection'!A887="",0,'Monthly Projection'!G887)</f>
        <v>0</v>
      </c>
    </row>
    <row r="888" spans="1:6">
      <c r="A888" t="str">
        <f>IF(AND('Mortgage Inputs'!$B$12,882&lt;=IF('Mortgage Inputs'!$B$12,'Mortgage Inputs'!$B$7,0)*12+600,ISNUMBER(E887),E887&gt;0.005),882,"")</f>
        <v/>
      </c>
      <c r="B888" s="5" t="str">
        <f t="shared" si="27"/>
        <v/>
      </c>
      <c r="C888" s="5" t="str">
        <f>IF(A888="","",B888*'Mortgage Inputs'!$B$15)</f>
        <v/>
      </c>
      <c r="D888" s="5" t="str">
        <f>IF(A888="","",MIN(B888,MAX(0,'Mortgage Inputs'!$B$17-C888)))</f>
        <v/>
      </c>
      <c r="E888" s="5" t="str">
        <f t="shared" si="26"/>
        <v/>
      </c>
      <c r="F888" s="5">
        <f>IF('Monthly Projection'!A888="",0,'Monthly Projection'!G888)</f>
        <v>0</v>
      </c>
    </row>
    <row r="889" spans="1:6">
      <c r="A889" t="str">
        <f>IF(AND('Mortgage Inputs'!$B$12,883&lt;=IF('Mortgage Inputs'!$B$12,'Mortgage Inputs'!$B$7,0)*12+600,ISNUMBER(E888),E888&gt;0.005),883,"")</f>
        <v/>
      </c>
      <c r="B889" s="5" t="str">
        <f t="shared" si="27"/>
        <v/>
      </c>
      <c r="C889" s="5" t="str">
        <f>IF(A889="","",B889*'Mortgage Inputs'!$B$15)</f>
        <v/>
      </c>
      <c r="D889" s="5" t="str">
        <f>IF(A889="","",MIN(B889,MAX(0,'Mortgage Inputs'!$B$17-C889)))</f>
        <v/>
      </c>
      <c r="E889" s="5" t="str">
        <f t="shared" si="26"/>
        <v/>
      </c>
      <c r="F889" s="5">
        <f>IF('Monthly Projection'!A889="",0,'Monthly Projection'!G889)</f>
        <v>0</v>
      </c>
    </row>
    <row r="890" spans="1:6">
      <c r="A890" t="str">
        <f>IF(AND('Mortgage Inputs'!$B$12,884&lt;=IF('Mortgage Inputs'!$B$12,'Mortgage Inputs'!$B$7,0)*12+600,ISNUMBER(E889),E889&gt;0.005),884,"")</f>
        <v/>
      </c>
      <c r="B890" s="5" t="str">
        <f t="shared" si="27"/>
        <v/>
      </c>
      <c r="C890" s="5" t="str">
        <f>IF(A890="","",B890*'Mortgage Inputs'!$B$15)</f>
        <v/>
      </c>
      <c r="D890" s="5" t="str">
        <f>IF(A890="","",MIN(B890,MAX(0,'Mortgage Inputs'!$B$17-C890)))</f>
        <v/>
      </c>
      <c r="E890" s="5" t="str">
        <f t="shared" si="26"/>
        <v/>
      </c>
      <c r="F890" s="5">
        <f>IF('Monthly Projection'!A890="",0,'Monthly Projection'!G890)</f>
        <v>0</v>
      </c>
    </row>
    <row r="891" spans="1:6">
      <c r="A891" t="str">
        <f>IF(AND('Mortgage Inputs'!$B$12,885&lt;=IF('Mortgage Inputs'!$B$12,'Mortgage Inputs'!$B$7,0)*12+600,ISNUMBER(E890),E890&gt;0.005),885,"")</f>
        <v/>
      </c>
      <c r="B891" s="5" t="str">
        <f t="shared" si="27"/>
        <v/>
      </c>
      <c r="C891" s="5" t="str">
        <f>IF(A891="","",B891*'Mortgage Inputs'!$B$15)</f>
        <v/>
      </c>
      <c r="D891" s="5" t="str">
        <f>IF(A891="","",MIN(B891,MAX(0,'Mortgage Inputs'!$B$17-C891)))</f>
        <v/>
      </c>
      <c r="E891" s="5" t="str">
        <f t="shared" si="26"/>
        <v/>
      </c>
      <c r="F891" s="5">
        <f>IF('Monthly Projection'!A891="",0,'Monthly Projection'!G891)</f>
        <v>0</v>
      </c>
    </row>
    <row r="892" spans="1:6">
      <c r="A892" t="str">
        <f>IF(AND('Mortgage Inputs'!$B$12,886&lt;=IF('Mortgage Inputs'!$B$12,'Mortgage Inputs'!$B$7,0)*12+600,ISNUMBER(E891),E891&gt;0.005),886,"")</f>
        <v/>
      </c>
      <c r="B892" s="5" t="str">
        <f t="shared" si="27"/>
        <v/>
      </c>
      <c r="C892" s="5" t="str">
        <f>IF(A892="","",B892*'Mortgage Inputs'!$B$15)</f>
        <v/>
      </c>
      <c r="D892" s="5" t="str">
        <f>IF(A892="","",MIN(B892,MAX(0,'Mortgage Inputs'!$B$17-C892)))</f>
        <v/>
      </c>
      <c r="E892" s="5" t="str">
        <f t="shared" si="26"/>
        <v/>
      </c>
      <c r="F892" s="5">
        <f>IF('Monthly Projection'!A892="",0,'Monthly Projection'!G892)</f>
        <v>0</v>
      </c>
    </row>
    <row r="893" spans="1:6">
      <c r="A893" t="str">
        <f>IF(AND('Mortgage Inputs'!$B$12,887&lt;=IF('Mortgage Inputs'!$B$12,'Mortgage Inputs'!$B$7,0)*12+600,ISNUMBER(E892),E892&gt;0.005),887,"")</f>
        <v/>
      </c>
      <c r="B893" s="5" t="str">
        <f t="shared" si="27"/>
        <v/>
      </c>
      <c r="C893" s="5" t="str">
        <f>IF(A893="","",B893*'Mortgage Inputs'!$B$15)</f>
        <v/>
      </c>
      <c r="D893" s="5" t="str">
        <f>IF(A893="","",MIN(B893,MAX(0,'Mortgage Inputs'!$B$17-C893)))</f>
        <v/>
      </c>
      <c r="E893" s="5" t="str">
        <f t="shared" si="26"/>
        <v/>
      </c>
      <c r="F893" s="5">
        <f>IF('Monthly Projection'!A893="",0,'Monthly Projection'!G893)</f>
        <v>0</v>
      </c>
    </row>
    <row r="894" spans="1:6">
      <c r="A894" t="str">
        <f>IF(AND('Mortgage Inputs'!$B$12,888&lt;=IF('Mortgage Inputs'!$B$12,'Mortgage Inputs'!$B$7,0)*12+600,ISNUMBER(E893),E893&gt;0.005),888,"")</f>
        <v/>
      </c>
      <c r="B894" s="5" t="str">
        <f t="shared" si="27"/>
        <v/>
      </c>
      <c r="C894" s="5" t="str">
        <f>IF(A894="","",B894*'Mortgage Inputs'!$B$15)</f>
        <v/>
      </c>
      <c r="D894" s="5" t="str">
        <f>IF(A894="","",MIN(B894,MAX(0,'Mortgage Inputs'!$B$17-C894)))</f>
        <v/>
      </c>
      <c r="E894" s="5" t="str">
        <f t="shared" si="26"/>
        <v/>
      </c>
      <c r="F894" s="5">
        <f>IF('Monthly Projection'!A894="",0,'Monthly Projection'!G894)</f>
        <v>0</v>
      </c>
    </row>
    <row r="895" spans="1:6">
      <c r="A895" t="str">
        <f>IF(AND('Mortgage Inputs'!$B$12,889&lt;=IF('Mortgage Inputs'!$B$12,'Mortgage Inputs'!$B$7,0)*12+600,ISNUMBER(E894),E894&gt;0.005),889,"")</f>
        <v/>
      </c>
      <c r="B895" s="5" t="str">
        <f t="shared" si="27"/>
        <v/>
      </c>
      <c r="C895" s="5" t="str">
        <f>IF(A895="","",B895*'Mortgage Inputs'!$B$15)</f>
        <v/>
      </c>
      <c r="D895" s="5" t="str">
        <f>IF(A895="","",MIN(B895,MAX(0,'Mortgage Inputs'!$B$17-C895)))</f>
        <v/>
      </c>
      <c r="E895" s="5" t="str">
        <f t="shared" si="26"/>
        <v/>
      </c>
      <c r="F895" s="5">
        <f>IF('Monthly Projection'!A895="",0,'Monthly Projection'!G895)</f>
        <v>0</v>
      </c>
    </row>
    <row r="896" spans="1:6">
      <c r="A896" t="str">
        <f>IF(AND('Mortgage Inputs'!$B$12,890&lt;=IF('Mortgage Inputs'!$B$12,'Mortgage Inputs'!$B$7,0)*12+600,ISNUMBER(E895),E895&gt;0.005),890,"")</f>
        <v/>
      </c>
      <c r="B896" s="5" t="str">
        <f t="shared" si="27"/>
        <v/>
      </c>
      <c r="C896" s="5" t="str">
        <f>IF(A896="","",B896*'Mortgage Inputs'!$B$15)</f>
        <v/>
      </c>
      <c r="D896" s="5" t="str">
        <f>IF(A896="","",MIN(B896,MAX(0,'Mortgage Inputs'!$B$17-C896)))</f>
        <v/>
      </c>
      <c r="E896" s="5" t="str">
        <f t="shared" si="26"/>
        <v/>
      </c>
      <c r="F896" s="5">
        <f>IF('Monthly Projection'!A896="",0,'Monthly Projection'!G896)</f>
        <v>0</v>
      </c>
    </row>
    <row r="897" spans="1:6">
      <c r="A897" t="str">
        <f>IF(AND('Mortgage Inputs'!$B$12,891&lt;=IF('Mortgage Inputs'!$B$12,'Mortgage Inputs'!$B$7,0)*12+600,ISNUMBER(E896),E896&gt;0.005),891,"")</f>
        <v/>
      </c>
      <c r="B897" s="5" t="str">
        <f t="shared" si="27"/>
        <v/>
      </c>
      <c r="C897" s="5" t="str">
        <f>IF(A897="","",B897*'Mortgage Inputs'!$B$15)</f>
        <v/>
      </c>
      <c r="D897" s="5" t="str">
        <f>IF(A897="","",MIN(B897,MAX(0,'Mortgage Inputs'!$B$17-C897)))</f>
        <v/>
      </c>
      <c r="E897" s="5" t="str">
        <f t="shared" si="26"/>
        <v/>
      </c>
      <c r="F897" s="5">
        <f>IF('Monthly Projection'!A897="",0,'Monthly Projection'!G897)</f>
        <v>0</v>
      </c>
    </row>
    <row r="898" spans="1:6">
      <c r="A898" t="str">
        <f>IF(AND('Mortgage Inputs'!$B$12,892&lt;=IF('Mortgage Inputs'!$B$12,'Mortgage Inputs'!$B$7,0)*12+600,ISNUMBER(E897),E897&gt;0.005),892,"")</f>
        <v/>
      </c>
      <c r="B898" s="5" t="str">
        <f t="shared" si="27"/>
        <v/>
      </c>
      <c r="C898" s="5" t="str">
        <f>IF(A898="","",B898*'Mortgage Inputs'!$B$15)</f>
        <v/>
      </c>
      <c r="D898" s="5" t="str">
        <f>IF(A898="","",MIN(B898,MAX(0,'Mortgage Inputs'!$B$17-C898)))</f>
        <v/>
      </c>
      <c r="E898" s="5" t="str">
        <f t="shared" si="26"/>
        <v/>
      </c>
      <c r="F898" s="5">
        <f>IF('Monthly Projection'!A898="",0,'Monthly Projection'!G898)</f>
        <v>0</v>
      </c>
    </row>
    <row r="899" spans="1:6">
      <c r="A899" t="str">
        <f>IF(AND('Mortgage Inputs'!$B$12,893&lt;=IF('Mortgage Inputs'!$B$12,'Mortgage Inputs'!$B$7,0)*12+600,ISNUMBER(E898),E898&gt;0.005),893,"")</f>
        <v/>
      </c>
      <c r="B899" s="5" t="str">
        <f t="shared" si="27"/>
        <v/>
      </c>
      <c r="C899" s="5" t="str">
        <f>IF(A899="","",B899*'Mortgage Inputs'!$B$15)</f>
        <v/>
      </c>
      <c r="D899" s="5" t="str">
        <f>IF(A899="","",MIN(B899,MAX(0,'Mortgage Inputs'!$B$17-C899)))</f>
        <v/>
      </c>
      <c r="E899" s="5" t="str">
        <f t="shared" si="26"/>
        <v/>
      </c>
      <c r="F899" s="5">
        <f>IF('Monthly Projection'!A899="",0,'Monthly Projection'!G899)</f>
        <v>0</v>
      </c>
    </row>
    <row r="900" spans="1:6">
      <c r="A900" t="str">
        <f>IF(AND('Mortgage Inputs'!$B$12,894&lt;=IF('Mortgage Inputs'!$B$12,'Mortgage Inputs'!$B$7,0)*12+600,ISNUMBER(E899),E899&gt;0.005),894,"")</f>
        <v/>
      </c>
      <c r="B900" s="5" t="str">
        <f t="shared" si="27"/>
        <v/>
      </c>
      <c r="C900" s="5" t="str">
        <f>IF(A900="","",B900*'Mortgage Inputs'!$B$15)</f>
        <v/>
      </c>
      <c r="D900" s="5" t="str">
        <f>IF(A900="","",MIN(B900,MAX(0,'Mortgage Inputs'!$B$17-C900)))</f>
        <v/>
      </c>
      <c r="E900" s="5" t="str">
        <f t="shared" si="26"/>
        <v/>
      </c>
      <c r="F900" s="5">
        <f>IF('Monthly Projection'!A900="",0,'Monthly Projection'!G900)</f>
        <v>0</v>
      </c>
    </row>
    <row r="901" spans="1:6">
      <c r="A901" t="str">
        <f>IF(AND('Mortgage Inputs'!$B$12,895&lt;=IF('Mortgage Inputs'!$B$12,'Mortgage Inputs'!$B$7,0)*12+600,ISNUMBER(E900),E900&gt;0.005),895,"")</f>
        <v/>
      </c>
      <c r="B901" s="5" t="str">
        <f t="shared" si="27"/>
        <v/>
      </c>
      <c r="C901" s="5" t="str">
        <f>IF(A901="","",B901*'Mortgage Inputs'!$B$15)</f>
        <v/>
      </c>
      <c r="D901" s="5" t="str">
        <f>IF(A901="","",MIN(B901,MAX(0,'Mortgage Inputs'!$B$17-C901)))</f>
        <v/>
      </c>
      <c r="E901" s="5" t="str">
        <f t="shared" si="26"/>
        <v/>
      </c>
      <c r="F901" s="5">
        <f>IF('Monthly Projection'!A901="",0,'Monthly Projection'!G901)</f>
        <v>0</v>
      </c>
    </row>
    <row r="902" spans="1:6">
      <c r="A902" t="str">
        <f>IF(AND('Mortgage Inputs'!$B$12,896&lt;=IF('Mortgage Inputs'!$B$12,'Mortgage Inputs'!$B$7,0)*12+600,ISNUMBER(E901),E901&gt;0.005),896,"")</f>
        <v/>
      </c>
      <c r="B902" s="5" t="str">
        <f t="shared" si="27"/>
        <v/>
      </c>
      <c r="C902" s="5" t="str">
        <f>IF(A902="","",B902*'Mortgage Inputs'!$B$15)</f>
        <v/>
      </c>
      <c r="D902" s="5" t="str">
        <f>IF(A902="","",MIN(B902,MAX(0,'Mortgage Inputs'!$B$17-C902)))</f>
        <v/>
      </c>
      <c r="E902" s="5" t="str">
        <f t="shared" si="26"/>
        <v/>
      </c>
      <c r="F902" s="5">
        <f>IF('Monthly Projection'!A902="",0,'Monthly Projection'!G902)</f>
        <v>0</v>
      </c>
    </row>
    <row r="903" spans="1:6">
      <c r="A903" t="str">
        <f>IF(AND('Mortgage Inputs'!$B$12,897&lt;=IF('Mortgage Inputs'!$B$12,'Mortgage Inputs'!$B$7,0)*12+600,ISNUMBER(E902),E902&gt;0.005),897,"")</f>
        <v/>
      </c>
      <c r="B903" s="5" t="str">
        <f t="shared" si="27"/>
        <v/>
      </c>
      <c r="C903" s="5" t="str">
        <f>IF(A903="","",B903*'Mortgage Inputs'!$B$15)</f>
        <v/>
      </c>
      <c r="D903" s="5" t="str">
        <f>IF(A903="","",MIN(B903,MAX(0,'Mortgage Inputs'!$B$17-C903)))</f>
        <v/>
      </c>
      <c r="E903" s="5" t="str">
        <f t="shared" ref="E903:E966" si="28">IF(A903="","",MAX(0,B903-D903))</f>
        <v/>
      </c>
      <c r="F903" s="5">
        <f>IF('Monthly Projection'!A903="",0,'Monthly Projection'!G903)</f>
        <v>0</v>
      </c>
    </row>
    <row r="904" spans="1:6">
      <c r="A904" t="str">
        <f>IF(AND('Mortgage Inputs'!$B$12,898&lt;=IF('Mortgage Inputs'!$B$12,'Mortgage Inputs'!$B$7,0)*12+600,ISNUMBER(E903),E903&gt;0.005),898,"")</f>
        <v/>
      </c>
      <c r="B904" s="5" t="str">
        <f t="shared" ref="B904:B967" si="29">IF(A904="","",E903)</f>
        <v/>
      </c>
      <c r="C904" s="5" t="str">
        <f>IF(A904="","",B904*'Mortgage Inputs'!$B$15)</f>
        <v/>
      </c>
      <c r="D904" s="5" t="str">
        <f>IF(A904="","",MIN(B904,MAX(0,'Mortgage Inputs'!$B$17-C904)))</f>
        <v/>
      </c>
      <c r="E904" s="5" t="str">
        <f t="shared" si="28"/>
        <v/>
      </c>
      <c r="F904" s="5">
        <f>IF('Monthly Projection'!A904="",0,'Monthly Projection'!G904)</f>
        <v>0</v>
      </c>
    </row>
    <row r="905" spans="1:6">
      <c r="A905" t="str">
        <f>IF(AND('Mortgage Inputs'!$B$12,899&lt;=IF('Mortgage Inputs'!$B$12,'Mortgage Inputs'!$B$7,0)*12+600,ISNUMBER(E904),E904&gt;0.005),899,"")</f>
        <v/>
      </c>
      <c r="B905" s="5" t="str">
        <f t="shared" si="29"/>
        <v/>
      </c>
      <c r="C905" s="5" t="str">
        <f>IF(A905="","",B905*'Mortgage Inputs'!$B$15)</f>
        <v/>
      </c>
      <c r="D905" s="5" t="str">
        <f>IF(A905="","",MIN(B905,MAX(0,'Mortgage Inputs'!$B$17-C905)))</f>
        <v/>
      </c>
      <c r="E905" s="5" t="str">
        <f t="shared" si="28"/>
        <v/>
      </c>
      <c r="F905" s="5">
        <f>IF('Monthly Projection'!A905="",0,'Monthly Projection'!G905)</f>
        <v>0</v>
      </c>
    </row>
    <row r="906" spans="1:6">
      <c r="A906" t="str">
        <f>IF(AND('Mortgage Inputs'!$B$12,900&lt;=IF('Mortgage Inputs'!$B$12,'Mortgage Inputs'!$B$7,0)*12+600,ISNUMBER(E905),E905&gt;0.005),900,"")</f>
        <v/>
      </c>
      <c r="B906" s="5" t="str">
        <f t="shared" si="29"/>
        <v/>
      </c>
      <c r="C906" s="5" t="str">
        <f>IF(A906="","",B906*'Mortgage Inputs'!$B$15)</f>
        <v/>
      </c>
      <c r="D906" s="5" t="str">
        <f>IF(A906="","",MIN(B906,MAX(0,'Mortgage Inputs'!$B$17-C906)))</f>
        <v/>
      </c>
      <c r="E906" s="5" t="str">
        <f t="shared" si="28"/>
        <v/>
      </c>
      <c r="F906" s="5">
        <f>IF('Monthly Projection'!A906="",0,'Monthly Projection'!G906)</f>
        <v>0</v>
      </c>
    </row>
    <row r="907" spans="1:6">
      <c r="A907" t="str">
        <f>IF(AND('Mortgage Inputs'!$B$12,901&lt;=IF('Mortgage Inputs'!$B$12,'Mortgage Inputs'!$B$7,0)*12+600,ISNUMBER(E906),E906&gt;0.005),901,"")</f>
        <v/>
      </c>
      <c r="B907" s="5" t="str">
        <f t="shared" si="29"/>
        <v/>
      </c>
      <c r="C907" s="5" t="str">
        <f>IF(A907="","",B907*'Mortgage Inputs'!$B$15)</f>
        <v/>
      </c>
      <c r="D907" s="5" t="str">
        <f>IF(A907="","",MIN(B907,MAX(0,'Mortgage Inputs'!$B$17-C907)))</f>
        <v/>
      </c>
      <c r="E907" s="5" t="str">
        <f t="shared" si="28"/>
        <v/>
      </c>
      <c r="F907" s="5">
        <f>IF('Monthly Projection'!A907="",0,'Monthly Projection'!G907)</f>
        <v>0</v>
      </c>
    </row>
    <row r="908" spans="1:6">
      <c r="A908" t="str">
        <f>IF(AND('Mortgage Inputs'!$B$12,902&lt;=IF('Mortgage Inputs'!$B$12,'Mortgage Inputs'!$B$7,0)*12+600,ISNUMBER(E907),E907&gt;0.005),902,"")</f>
        <v/>
      </c>
      <c r="B908" s="5" t="str">
        <f t="shared" si="29"/>
        <v/>
      </c>
      <c r="C908" s="5" t="str">
        <f>IF(A908="","",B908*'Mortgage Inputs'!$B$15)</f>
        <v/>
      </c>
      <c r="D908" s="5" t="str">
        <f>IF(A908="","",MIN(B908,MAX(0,'Mortgage Inputs'!$B$17-C908)))</f>
        <v/>
      </c>
      <c r="E908" s="5" t="str">
        <f t="shared" si="28"/>
        <v/>
      </c>
      <c r="F908" s="5">
        <f>IF('Monthly Projection'!A908="",0,'Monthly Projection'!G908)</f>
        <v>0</v>
      </c>
    </row>
    <row r="909" spans="1:6">
      <c r="A909" t="str">
        <f>IF(AND('Mortgage Inputs'!$B$12,903&lt;=IF('Mortgage Inputs'!$B$12,'Mortgage Inputs'!$B$7,0)*12+600,ISNUMBER(E908),E908&gt;0.005),903,"")</f>
        <v/>
      </c>
      <c r="B909" s="5" t="str">
        <f t="shared" si="29"/>
        <v/>
      </c>
      <c r="C909" s="5" t="str">
        <f>IF(A909="","",B909*'Mortgage Inputs'!$B$15)</f>
        <v/>
      </c>
      <c r="D909" s="5" t="str">
        <f>IF(A909="","",MIN(B909,MAX(0,'Mortgage Inputs'!$B$17-C909)))</f>
        <v/>
      </c>
      <c r="E909" s="5" t="str">
        <f t="shared" si="28"/>
        <v/>
      </c>
      <c r="F909" s="5">
        <f>IF('Monthly Projection'!A909="",0,'Monthly Projection'!G909)</f>
        <v>0</v>
      </c>
    </row>
    <row r="910" spans="1:6">
      <c r="A910" t="str">
        <f>IF(AND('Mortgage Inputs'!$B$12,904&lt;=IF('Mortgage Inputs'!$B$12,'Mortgage Inputs'!$B$7,0)*12+600,ISNUMBER(E909),E909&gt;0.005),904,"")</f>
        <v/>
      </c>
      <c r="B910" s="5" t="str">
        <f t="shared" si="29"/>
        <v/>
      </c>
      <c r="C910" s="5" t="str">
        <f>IF(A910="","",B910*'Mortgage Inputs'!$B$15)</f>
        <v/>
      </c>
      <c r="D910" s="5" t="str">
        <f>IF(A910="","",MIN(B910,MAX(0,'Mortgage Inputs'!$B$17-C910)))</f>
        <v/>
      </c>
      <c r="E910" s="5" t="str">
        <f t="shared" si="28"/>
        <v/>
      </c>
      <c r="F910" s="5">
        <f>IF('Monthly Projection'!A910="",0,'Monthly Projection'!G910)</f>
        <v>0</v>
      </c>
    </row>
    <row r="911" spans="1:6">
      <c r="A911" t="str">
        <f>IF(AND('Mortgage Inputs'!$B$12,905&lt;=IF('Mortgage Inputs'!$B$12,'Mortgage Inputs'!$B$7,0)*12+600,ISNUMBER(E910),E910&gt;0.005),905,"")</f>
        <v/>
      </c>
      <c r="B911" s="5" t="str">
        <f t="shared" si="29"/>
        <v/>
      </c>
      <c r="C911" s="5" t="str">
        <f>IF(A911="","",B911*'Mortgage Inputs'!$B$15)</f>
        <v/>
      </c>
      <c r="D911" s="5" t="str">
        <f>IF(A911="","",MIN(B911,MAX(0,'Mortgage Inputs'!$B$17-C911)))</f>
        <v/>
      </c>
      <c r="E911" s="5" t="str">
        <f t="shared" si="28"/>
        <v/>
      </c>
      <c r="F911" s="5">
        <f>IF('Monthly Projection'!A911="",0,'Monthly Projection'!G911)</f>
        <v>0</v>
      </c>
    </row>
    <row r="912" spans="1:6">
      <c r="A912" t="str">
        <f>IF(AND('Mortgage Inputs'!$B$12,906&lt;=IF('Mortgage Inputs'!$B$12,'Mortgage Inputs'!$B$7,0)*12+600,ISNUMBER(E911),E911&gt;0.005),906,"")</f>
        <v/>
      </c>
      <c r="B912" s="5" t="str">
        <f t="shared" si="29"/>
        <v/>
      </c>
      <c r="C912" s="5" t="str">
        <f>IF(A912="","",B912*'Mortgage Inputs'!$B$15)</f>
        <v/>
      </c>
      <c r="D912" s="5" t="str">
        <f>IF(A912="","",MIN(B912,MAX(0,'Mortgage Inputs'!$B$17-C912)))</f>
        <v/>
      </c>
      <c r="E912" s="5" t="str">
        <f t="shared" si="28"/>
        <v/>
      </c>
      <c r="F912" s="5">
        <f>IF('Monthly Projection'!A912="",0,'Monthly Projection'!G912)</f>
        <v>0</v>
      </c>
    </row>
    <row r="913" spans="1:6">
      <c r="A913" t="str">
        <f>IF(AND('Mortgage Inputs'!$B$12,907&lt;=IF('Mortgage Inputs'!$B$12,'Mortgage Inputs'!$B$7,0)*12+600,ISNUMBER(E912),E912&gt;0.005),907,"")</f>
        <v/>
      </c>
      <c r="B913" s="5" t="str">
        <f t="shared" si="29"/>
        <v/>
      </c>
      <c r="C913" s="5" t="str">
        <f>IF(A913="","",B913*'Mortgage Inputs'!$B$15)</f>
        <v/>
      </c>
      <c r="D913" s="5" t="str">
        <f>IF(A913="","",MIN(B913,MAX(0,'Mortgage Inputs'!$B$17-C913)))</f>
        <v/>
      </c>
      <c r="E913" s="5" t="str">
        <f t="shared" si="28"/>
        <v/>
      </c>
      <c r="F913" s="5">
        <f>IF('Monthly Projection'!A913="",0,'Monthly Projection'!G913)</f>
        <v>0</v>
      </c>
    </row>
    <row r="914" spans="1:6">
      <c r="A914" t="str">
        <f>IF(AND('Mortgage Inputs'!$B$12,908&lt;=IF('Mortgage Inputs'!$B$12,'Mortgage Inputs'!$B$7,0)*12+600,ISNUMBER(E913),E913&gt;0.005),908,"")</f>
        <v/>
      </c>
      <c r="B914" s="5" t="str">
        <f t="shared" si="29"/>
        <v/>
      </c>
      <c r="C914" s="5" t="str">
        <f>IF(A914="","",B914*'Mortgage Inputs'!$B$15)</f>
        <v/>
      </c>
      <c r="D914" s="5" t="str">
        <f>IF(A914="","",MIN(B914,MAX(0,'Mortgage Inputs'!$B$17-C914)))</f>
        <v/>
      </c>
      <c r="E914" s="5" t="str">
        <f t="shared" si="28"/>
        <v/>
      </c>
      <c r="F914" s="5">
        <f>IF('Monthly Projection'!A914="",0,'Monthly Projection'!G914)</f>
        <v>0</v>
      </c>
    </row>
    <row r="915" spans="1:6">
      <c r="A915" t="str">
        <f>IF(AND('Mortgage Inputs'!$B$12,909&lt;=IF('Mortgage Inputs'!$B$12,'Mortgage Inputs'!$B$7,0)*12+600,ISNUMBER(E914),E914&gt;0.005),909,"")</f>
        <v/>
      </c>
      <c r="B915" s="5" t="str">
        <f t="shared" si="29"/>
        <v/>
      </c>
      <c r="C915" s="5" t="str">
        <f>IF(A915="","",B915*'Mortgage Inputs'!$B$15)</f>
        <v/>
      </c>
      <c r="D915" s="5" t="str">
        <f>IF(A915="","",MIN(B915,MAX(0,'Mortgage Inputs'!$B$17-C915)))</f>
        <v/>
      </c>
      <c r="E915" s="5" t="str">
        <f t="shared" si="28"/>
        <v/>
      </c>
      <c r="F915" s="5">
        <f>IF('Monthly Projection'!A915="",0,'Monthly Projection'!G915)</f>
        <v>0</v>
      </c>
    </row>
    <row r="916" spans="1:6">
      <c r="A916" t="str">
        <f>IF(AND('Mortgage Inputs'!$B$12,910&lt;=IF('Mortgage Inputs'!$B$12,'Mortgage Inputs'!$B$7,0)*12+600,ISNUMBER(E915),E915&gt;0.005),910,"")</f>
        <v/>
      </c>
      <c r="B916" s="5" t="str">
        <f t="shared" si="29"/>
        <v/>
      </c>
      <c r="C916" s="5" t="str">
        <f>IF(A916="","",B916*'Mortgage Inputs'!$B$15)</f>
        <v/>
      </c>
      <c r="D916" s="5" t="str">
        <f>IF(A916="","",MIN(B916,MAX(0,'Mortgage Inputs'!$B$17-C916)))</f>
        <v/>
      </c>
      <c r="E916" s="5" t="str">
        <f t="shared" si="28"/>
        <v/>
      </c>
      <c r="F916" s="5">
        <f>IF('Monthly Projection'!A916="",0,'Monthly Projection'!G916)</f>
        <v>0</v>
      </c>
    </row>
    <row r="917" spans="1:6">
      <c r="A917" t="str">
        <f>IF(AND('Mortgage Inputs'!$B$12,911&lt;=IF('Mortgage Inputs'!$B$12,'Mortgage Inputs'!$B$7,0)*12+600,ISNUMBER(E916),E916&gt;0.005),911,"")</f>
        <v/>
      </c>
      <c r="B917" s="5" t="str">
        <f t="shared" si="29"/>
        <v/>
      </c>
      <c r="C917" s="5" t="str">
        <f>IF(A917="","",B917*'Mortgage Inputs'!$B$15)</f>
        <v/>
      </c>
      <c r="D917" s="5" t="str">
        <f>IF(A917="","",MIN(B917,MAX(0,'Mortgage Inputs'!$B$17-C917)))</f>
        <v/>
      </c>
      <c r="E917" s="5" t="str">
        <f t="shared" si="28"/>
        <v/>
      </c>
      <c r="F917" s="5">
        <f>IF('Monthly Projection'!A917="",0,'Monthly Projection'!G917)</f>
        <v>0</v>
      </c>
    </row>
    <row r="918" spans="1:6">
      <c r="A918" t="str">
        <f>IF(AND('Mortgage Inputs'!$B$12,912&lt;=IF('Mortgage Inputs'!$B$12,'Mortgage Inputs'!$B$7,0)*12+600,ISNUMBER(E917),E917&gt;0.005),912,"")</f>
        <v/>
      </c>
      <c r="B918" s="5" t="str">
        <f t="shared" si="29"/>
        <v/>
      </c>
      <c r="C918" s="5" t="str">
        <f>IF(A918="","",B918*'Mortgage Inputs'!$B$15)</f>
        <v/>
      </c>
      <c r="D918" s="5" t="str">
        <f>IF(A918="","",MIN(B918,MAX(0,'Mortgage Inputs'!$B$17-C918)))</f>
        <v/>
      </c>
      <c r="E918" s="5" t="str">
        <f t="shared" si="28"/>
        <v/>
      </c>
      <c r="F918" s="5">
        <f>IF('Monthly Projection'!A918="",0,'Monthly Projection'!G918)</f>
        <v>0</v>
      </c>
    </row>
    <row r="919" spans="1:6">
      <c r="A919" t="str">
        <f>IF(AND('Mortgage Inputs'!$B$12,913&lt;=IF('Mortgage Inputs'!$B$12,'Mortgage Inputs'!$B$7,0)*12+600,ISNUMBER(E918),E918&gt;0.005),913,"")</f>
        <v/>
      </c>
      <c r="B919" s="5" t="str">
        <f t="shared" si="29"/>
        <v/>
      </c>
      <c r="C919" s="5" t="str">
        <f>IF(A919="","",B919*'Mortgage Inputs'!$B$15)</f>
        <v/>
      </c>
      <c r="D919" s="5" t="str">
        <f>IF(A919="","",MIN(B919,MAX(0,'Mortgage Inputs'!$B$17-C919)))</f>
        <v/>
      </c>
      <c r="E919" s="5" t="str">
        <f t="shared" si="28"/>
        <v/>
      </c>
      <c r="F919" s="5">
        <f>IF('Monthly Projection'!A919="",0,'Monthly Projection'!G919)</f>
        <v>0</v>
      </c>
    </row>
    <row r="920" spans="1:6">
      <c r="A920" t="str">
        <f>IF(AND('Mortgage Inputs'!$B$12,914&lt;=IF('Mortgage Inputs'!$B$12,'Mortgage Inputs'!$B$7,0)*12+600,ISNUMBER(E919),E919&gt;0.005),914,"")</f>
        <v/>
      </c>
      <c r="B920" s="5" t="str">
        <f t="shared" si="29"/>
        <v/>
      </c>
      <c r="C920" s="5" t="str">
        <f>IF(A920="","",B920*'Mortgage Inputs'!$B$15)</f>
        <v/>
      </c>
      <c r="D920" s="5" t="str">
        <f>IF(A920="","",MIN(B920,MAX(0,'Mortgage Inputs'!$B$17-C920)))</f>
        <v/>
      </c>
      <c r="E920" s="5" t="str">
        <f t="shared" si="28"/>
        <v/>
      </c>
      <c r="F920" s="5">
        <f>IF('Monthly Projection'!A920="",0,'Monthly Projection'!G920)</f>
        <v>0</v>
      </c>
    </row>
    <row r="921" spans="1:6">
      <c r="A921" t="str">
        <f>IF(AND('Mortgage Inputs'!$B$12,915&lt;=IF('Mortgage Inputs'!$B$12,'Mortgage Inputs'!$B$7,0)*12+600,ISNUMBER(E920),E920&gt;0.005),915,"")</f>
        <v/>
      </c>
      <c r="B921" s="5" t="str">
        <f t="shared" si="29"/>
        <v/>
      </c>
      <c r="C921" s="5" t="str">
        <f>IF(A921="","",B921*'Mortgage Inputs'!$B$15)</f>
        <v/>
      </c>
      <c r="D921" s="5" t="str">
        <f>IF(A921="","",MIN(B921,MAX(0,'Mortgage Inputs'!$B$17-C921)))</f>
        <v/>
      </c>
      <c r="E921" s="5" t="str">
        <f t="shared" si="28"/>
        <v/>
      </c>
      <c r="F921" s="5">
        <f>IF('Monthly Projection'!A921="",0,'Monthly Projection'!G921)</f>
        <v>0</v>
      </c>
    </row>
    <row r="922" spans="1:6">
      <c r="A922" t="str">
        <f>IF(AND('Mortgage Inputs'!$B$12,916&lt;=IF('Mortgage Inputs'!$B$12,'Mortgage Inputs'!$B$7,0)*12+600,ISNUMBER(E921),E921&gt;0.005),916,"")</f>
        <v/>
      </c>
      <c r="B922" s="5" t="str">
        <f t="shared" si="29"/>
        <v/>
      </c>
      <c r="C922" s="5" t="str">
        <f>IF(A922="","",B922*'Mortgage Inputs'!$B$15)</f>
        <v/>
      </c>
      <c r="D922" s="5" t="str">
        <f>IF(A922="","",MIN(B922,MAX(0,'Mortgage Inputs'!$B$17-C922)))</f>
        <v/>
      </c>
      <c r="E922" s="5" t="str">
        <f t="shared" si="28"/>
        <v/>
      </c>
      <c r="F922" s="5">
        <f>IF('Monthly Projection'!A922="",0,'Monthly Projection'!G922)</f>
        <v>0</v>
      </c>
    </row>
    <row r="923" spans="1:6">
      <c r="A923" t="str">
        <f>IF(AND('Mortgage Inputs'!$B$12,917&lt;=IF('Mortgage Inputs'!$B$12,'Mortgage Inputs'!$B$7,0)*12+600,ISNUMBER(E922),E922&gt;0.005),917,"")</f>
        <v/>
      </c>
      <c r="B923" s="5" t="str">
        <f t="shared" si="29"/>
        <v/>
      </c>
      <c r="C923" s="5" t="str">
        <f>IF(A923="","",B923*'Mortgage Inputs'!$B$15)</f>
        <v/>
      </c>
      <c r="D923" s="5" t="str">
        <f>IF(A923="","",MIN(B923,MAX(0,'Mortgage Inputs'!$B$17-C923)))</f>
        <v/>
      </c>
      <c r="E923" s="5" t="str">
        <f t="shared" si="28"/>
        <v/>
      </c>
      <c r="F923" s="5">
        <f>IF('Monthly Projection'!A923="",0,'Monthly Projection'!G923)</f>
        <v>0</v>
      </c>
    </row>
    <row r="924" spans="1:6">
      <c r="A924" t="str">
        <f>IF(AND('Mortgage Inputs'!$B$12,918&lt;=IF('Mortgage Inputs'!$B$12,'Mortgage Inputs'!$B$7,0)*12+600,ISNUMBER(E923),E923&gt;0.005),918,"")</f>
        <v/>
      </c>
      <c r="B924" s="5" t="str">
        <f t="shared" si="29"/>
        <v/>
      </c>
      <c r="C924" s="5" t="str">
        <f>IF(A924="","",B924*'Mortgage Inputs'!$B$15)</f>
        <v/>
      </c>
      <c r="D924" s="5" t="str">
        <f>IF(A924="","",MIN(B924,MAX(0,'Mortgage Inputs'!$B$17-C924)))</f>
        <v/>
      </c>
      <c r="E924" s="5" t="str">
        <f t="shared" si="28"/>
        <v/>
      </c>
      <c r="F924" s="5">
        <f>IF('Monthly Projection'!A924="",0,'Monthly Projection'!G924)</f>
        <v>0</v>
      </c>
    </row>
    <row r="925" spans="1:6">
      <c r="A925" t="str">
        <f>IF(AND('Mortgage Inputs'!$B$12,919&lt;=IF('Mortgage Inputs'!$B$12,'Mortgage Inputs'!$B$7,0)*12+600,ISNUMBER(E924),E924&gt;0.005),919,"")</f>
        <v/>
      </c>
      <c r="B925" s="5" t="str">
        <f t="shared" si="29"/>
        <v/>
      </c>
      <c r="C925" s="5" t="str">
        <f>IF(A925="","",B925*'Mortgage Inputs'!$B$15)</f>
        <v/>
      </c>
      <c r="D925" s="5" t="str">
        <f>IF(A925="","",MIN(B925,MAX(0,'Mortgage Inputs'!$B$17-C925)))</f>
        <v/>
      </c>
      <c r="E925" s="5" t="str">
        <f t="shared" si="28"/>
        <v/>
      </c>
      <c r="F925" s="5">
        <f>IF('Monthly Projection'!A925="",0,'Monthly Projection'!G925)</f>
        <v>0</v>
      </c>
    </row>
    <row r="926" spans="1:6">
      <c r="A926" t="str">
        <f>IF(AND('Mortgage Inputs'!$B$12,920&lt;=IF('Mortgage Inputs'!$B$12,'Mortgage Inputs'!$B$7,0)*12+600,ISNUMBER(E925),E925&gt;0.005),920,"")</f>
        <v/>
      </c>
      <c r="B926" s="5" t="str">
        <f t="shared" si="29"/>
        <v/>
      </c>
      <c r="C926" s="5" t="str">
        <f>IF(A926="","",B926*'Mortgage Inputs'!$B$15)</f>
        <v/>
      </c>
      <c r="D926" s="5" t="str">
        <f>IF(A926="","",MIN(B926,MAX(0,'Mortgage Inputs'!$B$17-C926)))</f>
        <v/>
      </c>
      <c r="E926" s="5" t="str">
        <f t="shared" si="28"/>
        <v/>
      </c>
      <c r="F926" s="5">
        <f>IF('Monthly Projection'!A926="",0,'Monthly Projection'!G926)</f>
        <v>0</v>
      </c>
    </row>
    <row r="927" spans="1:6">
      <c r="A927" t="str">
        <f>IF(AND('Mortgage Inputs'!$B$12,921&lt;=IF('Mortgage Inputs'!$B$12,'Mortgage Inputs'!$B$7,0)*12+600,ISNUMBER(E926),E926&gt;0.005),921,"")</f>
        <v/>
      </c>
      <c r="B927" s="5" t="str">
        <f t="shared" si="29"/>
        <v/>
      </c>
      <c r="C927" s="5" t="str">
        <f>IF(A927="","",B927*'Mortgage Inputs'!$B$15)</f>
        <v/>
      </c>
      <c r="D927" s="5" t="str">
        <f>IF(A927="","",MIN(B927,MAX(0,'Mortgage Inputs'!$B$17-C927)))</f>
        <v/>
      </c>
      <c r="E927" s="5" t="str">
        <f t="shared" si="28"/>
        <v/>
      </c>
      <c r="F927" s="5">
        <f>IF('Monthly Projection'!A927="",0,'Monthly Projection'!G927)</f>
        <v>0</v>
      </c>
    </row>
    <row r="928" spans="1:6">
      <c r="A928" t="str">
        <f>IF(AND('Mortgage Inputs'!$B$12,922&lt;=IF('Mortgage Inputs'!$B$12,'Mortgage Inputs'!$B$7,0)*12+600,ISNUMBER(E927),E927&gt;0.005),922,"")</f>
        <v/>
      </c>
      <c r="B928" s="5" t="str">
        <f t="shared" si="29"/>
        <v/>
      </c>
      <c r="C928" s="5" t="str">
        <f>IF(A928="","",B928*'Mortgage Inputs'!$B$15)</f>
        <v/>
      </c>
      <c r="D928" s="5" t="str">
        <f>IF(A928="","",MIN(B928,MAX(0,'Mortgage Inputs'!$B$17-C928)))</f>
        <v/>
      </c>
      <c r="E928" s="5" t="str">
        <f t="shared" si="28"/>
        <v/>
      </c>
      <c r="F928" s="5">
        <f>IF('Monthly Projection'!A928="",0,'Monthly Projection'!G928)</f>
        <v>0</v>
      </c>
    </row>
    <row r="929" spans="1:6">
      <c r="A929" t="str">
        <f>IF(AND('Mortgage Inputs'!$B$12,923&lt;=IF('Mortgage Inputs'!$B$12,'Mortgage Inputs'!$B$7,0)*12+600,ISNUMBER(E928),E928&gt;0.005),923,"")</f>
        <v/>
      </c>
      <c r="B929" s="5" t="str">
        <f t="shared" si="29"/>
        <v/>
      </c>
      <c r="C929" s="5" t="str">
        <f>IF(A929="","",B929*'Mortgage Inputs'!$B$15)</f>
        <v/>
      </c>
      <c r="D929" s="5" t="str">
        <f>IF(A929="","",MIN(B929,MAX(0,'Mortgage Inputs'!$B$17-C929)))</f>
        <v/>
      </c>
      <c r="E929" s="5" t="str">
        <f t="shared" si="28"/>
        <v/>
      </c>
      <c r="F929" s="5">
        <f>IF('Monthly Projection'!A929="",0,'Monthly Projection'!G929)</f>
        <v>0</v>
      </c>
    </row>
    <row r="930" spans="1:6">
      <c r="A930" t="str">
        <f>IF(AND('Mortgage Inputs'!$B$12,924&lt;=IF('Mortgage Inputs'!$B$12,'Mortgage Inputs'!$B$7,0)*12+600,ISNUMBER(E929),E929&gt;0.005),924,"")</f>
        <v/>
      </c>
      <c r="B930" s="5" t="str">
        <f t="shared" si="29"/>
        <v/>
      </c>
      <c r="C930" s="5" t="str">
        <f>IF(A930="","",B930*'Mortgage Inputs'!$B$15)</f>
        <v/>
      </c>
      <c r="D930" s="5" t="str">
        <f>IF(A930="","",MIN(B930,MAX(0,'Mortgage Inputs'!$B$17-C930)))</f>
        <v/>
      </c>
      <c r="E930" s="5" t="str">
        <f t="shared" si="28"/>
        <v/>
      </c>
      <c r="F930" s="5">
        <f>IF('Monthly Projection'!A930="",0,'Monthly Projection'!G930)</f>
        <v>0</v>
      </c>
    </row>
    <row r="931" spans="1:6">
      <c r="A931" t="str">
        <f>IF(AND('Mortgage Inputs'!$B$12,925&lt;=IF('Mortgage Inputs'!$B$12,'Mortgage Inputs'!$B$7,0)*12+600,ISNUMBER(E930),E930&gt;0.005),925,"")</f>
        <v/>
      </c>
      <c r="B931" s="5" t="str">
        <f t="shared" si="29"/>
        <v/>
      </c>
      <c r="C931" s="5" t="str">
        <f>IF(A931="","",B931*'Mortgage Inputs'!$B$15)</f>
        <v/>
      </c>
      <c r="D931" s="5" t="str">
        <f>IF(A931="","",MIN(B931,MAX(0,'Mortgage Inputs'!$B$17-C931)))</f>
        <v/>
      </c>
      <c r="E931" s="5" t="str">
        <f t="shared" si="28"/>
        <v/>
      </c>
      <c r="F931" s="5">
        <f>IF('Monthly Projection'!A931="",0,'Monthly Projection'!G931)</f>
        <v>0</v>
      </c>
    </row>
    <row r="932" spans="1:6">
      <c r="A932" t="str">
        <f>IF(AND('Mortgage Inputs'!$B$12,926&lt;=IF('Mortgage Inputs'!$B$12,'Mortgage Inputs'!$B$7,0)*12+600,ISNUMBER(E931),E931&gt;0.005),926,"")</f>
        <v/>
      </c>
      <c r="B932" s="5" t="str">
        <f t="shared" si="29"/>
        <v/>
      </c>
      <c r="C932" s="5" t="str">
        <f>IF(A932="","",B932*'Mortgage Inputs'!$B$15)</f>
        <v/>
      </c>
      <c r="D932" s="5" t="str">
        <f>IF(A932="","",MIN(B932,MAX(0,'Mortgage Inputs'!$B$17-C932)))</f>
        <v/>
      </c>
      <c r="E932" s="5" t="str">
        <f t="shared" si="28"/>
        <v/>
      </c>
      <c r="F932" s="5">
        <f>IF('Monthly Projection'!A932="",0,'Monthly Projection'!G932)</f>
        <v>0</v>
      </c>
    </row>
    <row r="933" spans="1:6">
      <c r="A933" t="str">
        <f>IF(AND('Mortgage Inputs'!$B$12,927&lt;=IF('Mortgage Inputs'!$B$12,'Mortgage Inputs'!$B$7,0)*12+600,ISNUMBER(E932),E932&gt;0.005),927,"")</f>
        <v/>
      </c>
      <c r="B933" s="5" t="str">
        <f t="shared" si="29"/>
        <v/>
      </c>
      <c r="C933" s="5" t="str">
        <f>IF(A933="","",B933*'Mortgage Inputs'!$B$15)</f>
        <v/>
      </c>
      <c r="D933" s="5" t="str">
        <f>IF(A933="","",MIN(B933,MAX(0,'Mortgage Inputs'!$B$17-C933)))</f>
        <v/>
      </c>
      <c r="E933" s="5" t="str">
        <f t="shared" si="28"/>
        <v/>
      </c>
      <c r="F933" s="5">
        <f>IF('Monthly Projection'!A933="",0,'Monthly Projection'!G933)</f>
        <v>0</v>
      </c>
    </row>
    <row r="934" spans="1:6">
      <c r="A934" t="str">
        <f>IF(AND('Mortgage Inputs'!$B$12,928&lt;=IF('Mortgage Inputs'!$B$12,'Mortgage Inputs'!$B$7,0)*12+600,ISNUMBER(E933),E933&gt;0.005),928,"")</f>
        <v/>
      </c>
      <c r="B934" s="5" t="str">
        <f t="shared" si="29"/>
        <v/>
      </c>
      <c r="C934" s="5" t="str">
        <f>IF(A934="","",B934*'Mortgage Inputs'!$B$15)</f>
        <v/>
      </c>
      <c r="D934" s="5" t="str">
        <f>IF(A934="","",MIN(B934,MAX(0,'Mortgage Inputs'!$B$17-C934)))</f>
        <v/>
      </c>
      <c r="E934" s="5" t="str">
        <f t="shared" si="28"/>
        <v/>
      </c>
      <c r="F934" s="5">
        <f>IF('Monthly Projection'!A934="",0,'Monthly Projection'!G934)</f>
        <v>0</v>
      </c>
    </row>
    <row r="935" spans="1:6">
      <c r="A935" t="str">
        <f>IF(AND('Mortgage Inputs'!$B$12,929&lt;=IF('Mortgage Inputs'!$B$12,'Mortgage Inputs'!$B$7,0)*12+600,ISNUMBER(E934),E934&gt;0.005),929,"")</f>
        <v/>
      </c>
      <c r="B935" s="5" t="str">
        <f t="shared" si="29"/>
        <v/>
      </c>
      <c r="C935" s="5" t="str">
        <f>IF(A935="","",B935*'Mortgage Inputs'!$B$15)</f>
        <v/>
      </c>
      <c r="D935" s="5" t="str">
        <f>IF(A935="","",MIN(B935,MAX(0,'Mortgage Inputs'!$B$17-C935)))</f>
        <v/>
      </c>
      <c r="E935" s="5" t="str">
        <f t="shared" si="28"/>
        <v/>
      </c>
      <c r="F935" s="5">
        <f>IF('Monthly Projection'!A935="",0,'Monthly Projection'!G935)</f>
        <v>0</v>
      </c>
    </row>
    <row r="936" spans="1:6">
      <c r="A936" t="str">
        <f>IF(AND('Mortgage Inputs'!$B$12,930&lt;=IF('Mortgage Inputs'!$B$12,'Mortgage Inputs'!$B$7,0)*12+600,ISNUMBER(E935),E935&gt;0.005),930,"")</f>
        <v/>
      </c>
      <c r="B936" s="5" t="str">
        <f t="shared" si="29"/>
        <v/>
      </c>
      <c r="C936" s="5" t="str">
        <f>IF(A936="","",B936*'Mortgage Inputs'!$B$15)</f>
        <v/>
      </c>
      <c r="D936" s="5" t="str">
        <f>IF(A936="","",MIN(B936,MAX(0,'Mortgage Inputs'!$B$17-C936)))</f>
        <v/>
      </c>
      <c r="E936" s="5" t="str">
        <f t="shared" si="28"/>
        <v/>
      </c>
      <c r="F936" s="5">
        <f>IF('Monthly Projection'!A936="",0,'Monthly Projection'!G936)</f>
        <v>0</v>
      </c>
    </row>
    <row r="937" spans="1:6">
      <c r="A937" t="str">
        <f>IF(AND('Mortgage Inputs'!$B$12,931&lt;=IF('Mortgage Inputs'!$B$12,'Mortgage Inputs'!$B$7,0)*12+600,ISNUMBER(E936),E936&gt;0.005),931,"")</f>
        <v/>
      </c>
      <c r="B937" s="5" t="str">
        <f t="shared" si="29"/>
        <v/>
      </c>
      <c r="C937" s="5" t="str">
        <f>IF(A937="","",B937*'Mortgage Inputs'!$B$15)</f>
        <v/>
      </c>
      <c r="D937" s="5" t="str">
        <f>IF(A937="","",MIN(B937,MAX(0,'Mortgage Inputs'!$B$17-C937)))</f>
        <v/>
      </c>
      <c r="E937" s="5" t="str">
        <f t="shared" si="28"/>
        <v/>
      </c>
      <c r="F937" s="5">
        <f>IF('Monthly Projection'!A937="",0,'Monthly Projection'!G937)</f>
        <v>0</v>
      </c>
    </row>
    <row r="938" spans="1:6">
      <c r="A938" t="str">
        <f>IF(AND('Mortgage Inputs'!$B$12,932&lt;=IF('Mortgage Inputs'!$B$12,'Mortgage Inputs'!$B$7,0)*12+600,ISNUMBER(E937),E937&gt;0.005),932,"")</f>
        <v/>
      </c>
      <c r="B938" s="5" t="str">
        <f t="shared" si="29"/>
        <v/>
      </c>
      <c r="C938" s="5" t="str">
        <f>IF(A938="","",B938*'Mortgage Inputs'!$B$15)</f>
        <v/>
      </c>
      <c r="D938" s="5" t="str">
        <f>IF(A938="","",MIN(B938,MAX(0,'Mortgage Inputs'!$B$17-C938)))</f>
        <v/>
      </c>
      <c r="E938" s="5" t="str">
        <f t="shared" si="28"/>
        <v/>
      </c>
      <c r="F938" s="5">
        <f>IF('Monthly Projection'!A938="",0,'Monthly Projection'!G938)</f>
        <v>0</v>
      </c>
    </row>
    <row r="939" spans="1:6">
      <c r="A939" t="str">
        <f>IF(AND('Mortgage Inputs'!$B$12,933&lt;=IF('Mortgage Inputs'!$B$12,'Mortgage Inputs'!$B$7,0)*12+600,ISNUMBER(E938),E938&gt;0.005),933,"")</f>
        <v/>
      </c>
      <c r="B939" s="5" t="str">
        <f t="shared" si="29"/>
        <v/>
      </c>
      <c r="C939" s="5" t="str">
        <f>IF(A939="","",B939*'Mortgage Inputs'!$B$15)</f>
        <v/>
      </c>
      <c r="D939" s="5" t="str">
        <f>IF(A939="","",MIN(B939,MAX(0,'Mortgage Inputs'!$B$17-C939)))</f>
        <v/>
      </c>
      <c r="E939" s="5" t="str">
        <f t="shared" si="28"/>
        <v/>
      </c>
      <c r="F939" s="5">
        <f>IF('Monthly Projection'!A939="",0,'Monthly Projection'!G939)</f>
        <v>0</v>
      </c>
    </row>
    <row r="940" spans="1:6">
      <c r="A940" t="str">
        <f>IF(AND('Mortgage Inputs'!$B$12,934&lt;=IF('Mortgage Inputs'!$B$12,'Mortgage Inputs'!$B$7,0)*12+600,ISNUMBER(E939),E939&gt;0.005),934,"")</f>
        <v/>
      </c>
      <c r="B940" s="5" t="str">
        <f t="shared" si="29"/>
        <v/>
      </c>
      <c r="C940" s="5" t="str">
        <f>IF(A940="","",B940*'Mortgage Inputs'!$B$15)</f>
        <v/>
      </c>
      <c r="D940" s="5" t="str">
        <f>IF(A940="","",MIN(B940,MAX(0,'Mortgage Inputs'!$B$17-C940)))</f>
        <v/>
      </c>
      <c r="E940" s="5" t="str">
        <f t="shared" si="28"/>
        <v/>
      </c>
      <c r="F940" s="5">
        <f>IF('Monthly Projection'!A940="",0,'Monthly Projection'!G940)</f>
        <v>0</v>
      </c>
    </row>
    <row r="941" spans="1:6">
      <c r="A941" t="str">
        <f>IF(AND('Mortgage Inputs'!$B$12,935&lt;=IF('Mortgage Inputs'!$B$12,'Mortgage Inputs'!$B$7,0)*12+600,ISNUMBER(E940),E940&gt;0.005),935,"")</f>
        <v/>
      </c>
      <c r="B941" s="5" t="str">
        <f t="shared" si="29"/>
        <v/>
      </c>
      <c r="C941" s="5" t="str">
        <f>IF(A941="","",B941*'Mortgage Inputs'!$B$15)</f>
        <v/>
      </c>
      <c r="D941" s="5" t="str">
        <f>IF(A941="","",MIN(B941,MAX(0,'Mortgage Inputs'!$B$17-C941)))</f>
        <v/>
      </c>
      <c r="E941" s="5" t="str">
        <f t="shared" si="28"/>
        <v/>
      </c>
      <c r="F941" s="5">
        <f>IF('Monthly Projection'!A941="",0,'Monthly Projection'!G941)</f>
        <v>0</v>
      </c>
    </row>
    <row r="942" spans="1:6">
      <c r="A942" t="str">
        <f>IF(AND('Mortgage Inputs'!$B$12,936&lt;=IF('Mortgage Inputs'!$B$12,'Mortgage Inputs'!$B$7,0)*12+600,ISNUMBER(E941),E941&gt;0.005),936,"")</f>
        <v/>
      </c>
      <c r="B942" s="5" t="str">
        <f t="shared" si="29"/>
        <v/>
      </c>
      <c r="C942" s="5" t="str">
        <f>IF(A942="","",B942*'Mortgage Inputs'!$B$15)</f>
        <v/>
      </c>
      <c r="D942" s="5" t="str">
        <f>IF(A942="","",MIN(B942,MAX(0,'Mortgage Inputs'!$B$17-C942)))</f>
        <v/>
      </c>
      <c r="E942" s="5" t="str">
        <f t="shared" si="28"/>
        <v/>
      </c>
      <c r="F942" s="5">
        <f>IF('Monthly Projection'!A942="",0,'Monthly Projection'!G942)</f>
        <v>0</v>
      </c>
    </row>
    <row r="943" spans="1:6">
      <c r="A943" t="str">
        <f>IF(AND('Mortgage Inputs'!$B$12,937&lt;=IF('Mortgage Inputs'!$B$12,'Mortgage Inputs'!$B$7,0)*12+600,ISNUMBER(E942),E942&gt;0.005),937,"")</f>
        <v/>
      </c>
      <c r="B943" s="5" t="str">
        <f t="shared" si="29"/>
        <v/>
      </c>
      <c r="C943" s="5" t="str">
        <f>IF(A943="","",B943*'Mortgage Inputs'!$B$15)</f>
        <v/>
      </c>
      <c r="D943" s="5" t="str">
        <f>IF(A943="","",MIN(B943,MAX(0,'Mortgage Inputs'!$B$17-C943)))</f>
        <v/>
      </c>
      <c r="E943" s="5" t="str">
        <f t="shared" si="28"/>
        <v/>
      </c>
      <c r="F943" s="5">
        <f>IF('Monthly Projection'!A943="",0,'Monthly Projection'!G943)</f>
        <v>0</v>
      </c>
    </row>
    <row r="944" spans="1:6">
      <c r="A944" t="str">
        <f>IF(AND('Mortgage Inputs'!$B$12,938&lt;=IF('Mortgage Inputs'!$B$12,'Mortgage Inputs'!$B$7,0)*12+600,ISNUMBER(E943),E943&gt;0.005),938,"")</f>
        <v/>
      </c>
      <c r="B944" s="5" t="str">
        <f t="shared" si="29"/>
        <v/>
      </c>
      <c r="C944" s="5" t="str">
        <f>IF(A944="","",B944*'Mortgage Inputs'!$B$15)</f>
        <v/>
      </c>
      <c r="D944" s="5" t="str">
        <f>IF(A944="","",MIN(B944,MAX(0,'Mortgage Inputs'!$B$17-C944)))</f>
        <v/>
      </c>
      <c r="E944" s="5" t="str">
        <f t="shared" si="28"/>
        <v/>
      </c>
      <c r="F944" s="5">
        <f>IF('Monthly Projection'!A944="",0,'Monthly Projection'!G944)</f>
        <v>0</v>
      </c>
    </row>
    <row r="945" spans="1:6">
      <c r="A945" t="str">
        <f>IF(AND('Mortgage Inputs'!$B$12,939&lt;=IF('Mortgage Inputs'!$B$12,'Mortgage Inputs'!$B$7,0)*12+600,ISNUMBER(E944),E944&gt;0.005),939,"")</f>
        <v/>
      </c>
      <c r="B945" s="5" t="str">
        <f t="shared" si="29"/>
        <v/>
      </c>
      <c r="C945" s="5" t="str">
        <f>IF(A945="","",B945*'Mortgage Inputs'!$B$15)</f>
        <v/>
      </c>
      <c r="D945" s="5" t="str">
        <f>IF(A945="","",MIN(B945,MAX(0,'Mortgage Inputs'!$B$17-C945)))</f>
        <v/>
      </c>
      <c r="E945" s="5" t="str">
        <f t="shared" si="28"/>
        <v/>
      </c>
      <c r="F945" s="5">
        <f>IF('Monthly Projection'!A945="",0,'Monthly Projection'!G945)</f>
        <v>0</v>
      </c>
    </row>
    <row r="946" spans="1:6">
      <c r="A946" t="str">
        <f>IF(AND('Mortgage Inputs'!$B$12,940&lt;=IF('Mortgage Inputs'!$B$12,'Mortgage Inputs'!$B$7,0)*12+600,ISNUMBER(E945),E945&gt;0.005),940,"")</f>
        <v/>
      </c>
      <c r="B946" s="5" t="str">
        <f t="shared" si="29"/>
        <v/>
      </c>
      <c r="C946" s="5" t="str">
        <f>IF(A946="","",B946*'Mortgage Inputs'!$B$15)</f>
        <v/>
      </c>
      <c r="D946" s="5" t="str">
        <f>IF(A946="","",MIN(B946,MAX(0,'Mortgage Inputs'!$B$17-C946)))</f>
        <v/>
      </c>
      <c r="E946" s="5" t="str">
        <f t="shared" si="28"/>
        <v/>
      </c>
      <c r="F946" s="5">
        <f>IF('Monthly Projection'!A946="",0,'Monthly Projection'!G946)</f>
        <v>0</v>
      </c>
    </row>
    <row r="947" spans="1:6">
      <c r="A947" t="str">
        <f>IF(AND('Mortgage Inputs'!$B$12,941&lt;=IF('Mortgage Inputs'!$B$12,'Mortgage Inputs'!$B$7,0)*12+600,ISNUMBER(E946),E946&gt;0.005),941,"")</f>
        <v/>
      </c>
      <c r="B947" s="5" t="str">
        <f t="shared" si="29"/>
        <v/>
      </c>
      <c r="C947" s="5" t="str">
        <f>IF(A947="","",B947*'Mortgage Inputs'!$B$15)</f>
        <v/>
      </c>
      <c r="D947" s="5" t="str">
        <f>IF(A947="","",MIN(B947,MAX(0,'Mortgage Inputs'!$B$17-C947)))</f>
        <v/>
      </c>
      <c r="E947" s="5" t="str">
        <f t="shared" si="28"/>
        <v/>
      </c>
      <c r="F947" s="5">
        <f>IF('Monthly Projection'!A947="",0,'Monthly Projection'!G947)</f>
        <v>0</v>
      </c>
    </row>
    <row r="948" spans="1:6">
      <c r="A948" t="str">
        <f>IF(AND('Mortgage Inputs'!$B$12,942&lt;=IF('Mortgage Inputs'!$B$12,'Mortgage Inputs'!$B$7,0)*12+600,ISNUMBER(E947),E947&gt;0.005),942,"")</f>
        <v/>
      </c>
      <c r="B948" s="5" t="str">
        <f t="shared" si="29"/>
        <v/>
      </c>
      <c r="C948" s="5" t="str">
        <f>IF(A948="","",B948*'Mortgage Inputs'!$B$15)</f>
        <v/>
      </c>
      <c r="D948" s="5" t="str">
        <f>IF(A948="","",MIN(B948,MAX(0,'Mortgage Inputs'!$B$17-C948)))</f>
        <v/>
      </c>
      <c r="E948" s="5" t="str">
        <f t="shared" si="28"/>
        <v/>
      </c>
      <c r="F948" s="5">
        <f>IF('Monthly Projection'!A948="",0,'Monthly Projection'!G948)</f>
        <v>0</v>
      </c>
    </row>
    <row r="949" spans="1:6">
      <c r="A949" t="str">
        <f>IF(AND('Mortgage Inputs'!$B$12,943&lt;=IF('Mortgage Inputs'!$B$12,'Mortgage Inputs'!$B$7,0)*12+600,ISNUMBER(E948),E948&gt;0.005),943,"")</f>
        <v/>
      </c>
      <c r="B949" s="5" t="str">
        <f t="shared" si="29"/>
        <v/>
      </c>
      <c r="C949" s="5" t="str">
        <f>IF(A949="","",B949*'Mortgage Inputs'!$B$15)</f>
        <v/>
      </c>
      <c r="D949" s="5" t="str">
        <f>IF(A949="","",MIN(B949,MAX(0,'Mortgage Inputs'!$B$17-C949)))</f>
        <v/>
      </c>
      <c r="E949" s="5" t="str">
        <f t="shared" si="28"/>
        <v/>
      </c>
      <c r="F949" s="5">
        <f>IF('Monthly Projection'!A949="",0,'Monthly Projection'!G949)</f>
        <v>0</v>
      </c>
    </row>
    <row r="950" spans="1:6">
      <c r="A950" t="str">
        <f>IF(AND('Mortgage Inputs'!$B$12,944&lt;=IF('Mortgage Inputs'!$B$12,'Mortgage Inputs'!$B$7,0)*12+600,ISNUMBER(E949),E949&gt;0.005),944,"")</f>
        <v/>
      </c>
      <c r="B950" s="5" t="str">
        <f t="shared" si="29"/>
        <v/>
      </c>
      <c r="C950" s="5" t="str">
        <f>IF(A950="","",B950*'Mortgage Inputs'!$B$15)</f>
        <v/>
      </c>
      <c r="D950" s="5" t="str">
        <f>IF(A950="","",MIN(B950,MAX(0,'Mortgage Inputs'!$B$17-C950)))</f>
        <v/>
      </c>
      <c r="E950" s="5" t="str">
        <f t="shared" si="28"/>
        <v/>
      </c>
      <c r="F950" s="5">
        <f>IF('Monthly Projection'!A950="",0,'Monthly Projection'!G950)</f>
        <v>0</v>
      </c>
    </row>
    <row r="951" spans="1:6">
      <c r="A951" t="str">
        <f>IF(AND('Mortgage Inputs'!$B$12,945&lt;=IF('Mortgage Inputs'!$B$12,'Mortgage Inputs'!$B$7,0)*12+600,ISNUMBER(E950),E950&gt;0.005),945,"")</f>
        <v/>
      </c>
      <c r="B951" s="5" t="str">
        <f t="shared" si="29"/>
        <v/>
      </c>
      <c r="C951" s="5" t="str">
        <f>IF(A951="","",B951*'Mortgage Inputs'!$B$15)</f>
        <v/>
      </c>
      <c r="D951" s="5" t="str">
        <f>IF(A951="","",MIN(B951,MAX(0,'Mortgage Inputs'!$B$17-C951)))</f>
        <v/>
      </c>
      <c r="E951" s="5" t="str">
        <f t="shared" si="28"/>
        <v/>
      </c>
      <c r="F951" s="5">
        <f>IF('Monthly Projection'!A951="",0,'Monthly Projection'!G951)</f>
        <v>0</v>
      </c>
    </row>
    <row r="952" spans="1:6">
      <c r="A952" t="str">
        <f>IF(AND('Mortgage Inputs'!$B$12,946&lt;=IF('Mortgage Inputs'!$B$12,'Mortgage Inputs'!$B$7,0)*12+600,ISNUMBER(E951),E951&gt;0.005),946,"")</f>
        <v/>
      </c>
      <c r="B952" s="5" t="str">
        <f t="shared" si="29"/>
        <v/>
      </c>
      <c r="C952" s="5" t="str">
        <f>IF(A952="","",B952*'Mortgage Inputs'!$B$15)</f>
        <v/>
      </c>
      <c r="D952" s="5" t="str">
        <f>IF(A952="","",MIN(B952,MAX(0,'Mortgage Inputs'!$B$17-C952)))</f>
        <v/>
      </c>
      <c r="E952" s="5" t="str">
        <f t="shared" si="28"/>
        <v/>
      </c>
      <c r="F952" s="5">
        <f>IF('Monthly Projection'!A952="",0,'Monthly Projection'!G952)</f>
        <v>0</v>
      </c>
    </row>
    <row r="953" spans="1:6">
      <c r="A953" t="str">
        <f>IF(AND('Mortgage Inputs'!$B$12,947&lt;=IF('Mortgage Inputs'!$B$12,'Mortgage Inputs'!$B$7,0)*12+600,ISNUMBER(E952),E952&gt;0.005),947,"")</f>
        <v/>
      </c>
      <c r="B953" s="5" t="str">
        <f t="shared" si="29"/>
        <v/>
      </c>
      <c r="C953" s="5" t="str">
        <f>IF(A953="","",B953*'Mortgage Inputs'!$B$15)</f>
        <v/>
      </c>
      <c r="D953" s="5" t="str">
        <f>IF(A953="","",MIN(B953,MAX(0,'Mortgage Inputs'!$B$17-C953)))</f>
        <v/>
      </c>
      <c r="E953" s="5" t="str">
        <f t="shared" si="28"/>
        <v/>
      </c>
      <c r="F953" s="5">
        <f>IF('Monthly Projection'!A953="",0,'Monthly Projection'!G953)</f>
        <v>0</v>
      </c>
    </row>
    <row r="954" spans="1:6">
      <c r="A954" t="str">
        <f>IF(AND('Mortgage Inputs'!$B$12,948&lt;=IF('Mortgage Inputs'!$B$12,'Mortgage Inputs'!$B$7,0)*12+600,ISNUMBER(E953),E953&gt;0.005),948,"")</f>
        <v/>
      </c>
      <c r="B954" s="5" t="str">
        <f t="shared" si="29"/>
        <v/>
      </c>
      <c r="C954" s="5" t="str">
        <f>IF(A954="","",B954*'Mortgage Inputs'!$B$15)</f>
        <v/>
      </c>
      <c r="D954" s="5" t="str">
        <f>IF(A954="","",MIN(B954,MAX(0,'Mortgage Inputs'!$B$17-C954)))</f>
        <v/>
      </c>
      <c r="E954" s="5" t="str">
        <f t="shared" si="28"/>
        <v/>
      </c>
      <c r="F954" s="5">
        <f>IF('Monthly Projection'!A954="",0,'Monthly Projection'!G954)</f>
        <v>0</v>
      </c>
    </row>
    <row r="955" spans="1:6">
      <c r="A955" t="str">
        <f>IF(AND('Mortgage Inputs'!$B$12,949&lt;=IF('Mortgage Inputs'!$B$12,'Mortgage Inputs'!$B$7,0)*12+600,ISNUMBER(E954),E954&gt;0.005),949,"")</f>
        <v/>
      </c>
      <c r="B955" s="5" t="str">
        <f t="shared" si="29"/>
        <v/>
      </c>
      <c r="C955" s="5" t="str">
        <f>IF(A955="","",B955*'Mortgage Inputs'!$B$15)</f>
        <v/>
      </c>
      <c r="D955" s="5" t="str">
        <f>IF(A955="","",MIN(B955,MAX(0,'Mortgage Inputs'!$B$17-C955)))</f>
        <v/>
      </c>
      <c r="E955" s="5" t="str">
        <f t="shared" si="28"/>
        <v/>
      </c>
      <c r="F955" s="5">
        <f>IF('Monthly Projection'!A955="",0,'Monthly Projection'!G955)</f>
        <v>0</v>
      </c>
    </row>
    <row r="956" spans="1:6">
      <c r="A956" t="str">
        <f>IF(AND('Mortgage Inputs'!$B$12,950&lt;=IF('Mortgage Inputs'!$B$12,'Mortgage Inputs'!$B$7,0)*12+600,ISNUMBER(E955),E955&gt;0.005),950,"")</f>
        <v/>
      </c>
      <c r="B956" s="5" t="str">
        <f t="shared" si="29"/>
        <v/>
      </c>
      <c r="C956" s="5" t="str">
        <f>IF(A956="","",B956*'Mortgage Inputs'!$B$15)</f>
        <v/>
      </c>
      <c r="D956" s="5" t="str">
        <f>IF(A956="","",MIN(B956,MAX(0,'Mortgage Inputs'!$B$17-C956)))</f>
        <v/>
      </c>
      <c r="E956" s="5" t="str">
        <f t="shared" si="28"/>
        <v/>
      </c>
      <c r="F956" s="5">
        <f>IF('Monthly Projection'!A956="",0,'Monthly Projection'!G956)</f>
        <v>0</v>
      </c>
    </row>
    <row r="957" spans="1:6">
      <c r="A957" t="str">
        <f>IF(AND('Mortgage Inputs'!$B$12,951&lt;=IF('Mortgage Inputs'!$B$12,'Mortgage Inputs'!$B$7,0)*12+600,ISNUMBER(E956),E956&gt;0.005),951,"")</f>
        <v/>
      </c>
      <c r="B957" s="5" t="str">
        <f t="shared" si="29"/>
        <v/>
      </c>
      <c r="C957" s="5" t="str">
        <f>IF(A957="","",B957*'Mortgage Inputs'!$B$15)</f>
        <v/>
      </c>
      <c r="D957" s="5" t="str">
        <f>IF(A957="","",MIN(B957,MAX(0,'Mortgage Inputs'!$B$17-C957)))</f>
        <v/>
      </c>
      <c r="E957" s="5" t="str">
        <f t="shared" si="28"/>
        <v/>
      </c>
      <c r="F957" s="5">
        <f>IF('Monthly Projection'!A957="",0,'Monthly Projection'!G957)</f>
        <v>0</v>
      </c>
    </row>
    <row r="958" spans="1:6">
      <c r="A958" t="str">
        <f>IF(AND('Mortgage Inputs'!$B$12,952&lt;=IF('Mortgage Inputs'!$B$12,'Mortgage Inputs'!$B$7,0)*12+600,ISNUMBER(E957),E957&gt;0.005),952,"")</f>
        <v/>
      </c>
      <c r="B958" s="5" t="str">
        <f t="shared" si="29"/>
        <v/>
      </c>
      <c r="C958" s="5" t="str">
        <f>IF(A958="","",B958*'Mortgage Inputs'!$B$15)</f>
        <v/>
      </c>
      <c r="D958" s="5" t="str">
        <f>IF(A958="","",MIN(B958,MAX(0,'Mortgage Inputs'!$B$17-C958)))</f>
        <v/>
      </c>
      <c r="E958" s="5" t="str">
        <f t="shared" si="28"/>
        <v/>
      </c>
      <c r="F958" s="5">
        <f>IF('Monthly Projection'!A958="",0,'Monthly Projection'!G958)</f>
        <v>0</v>
      </c>
    </row>
    <row r="959" spans="1:6">
      <c r="A959" t="str">
        <f>IF(AND('Mortgage Inputs'!$B$12,953&lt;=IF('Mortgage Inputs'!$B$12,'Mortgage Inputs'!$B$7,0)*12+600,ISNUMBER(E958),E958&gt;0.005),953,"")</f>
        <v/>
      </c>
      <c r="B959" s="5" t="str">
        <f t="shared" si="29"/>
        <v/>
      </c>
      <c r="C959" s="5" t="str">
        <f>IF(A959="","",B959*'Mortgage Inputs'!$B$15)</f>
        <v/>
      </c>
      <c r="D959" s="5" t="str">
        <f>IF(A959="","",MIN(B959,MAX(0,'Mortgage Inputs'!$B$17-C959)))</f>
        <v/>
      </c>
      <c r="E959" s="5" t="str">
        <f t="shared" si="28"/>
        <v/>
      </c>
      <c r="F959" s="5">
        <f>IF('Monthly Projection'!A959="",0,'Monthly Projection'!G959)</f>
        <v>0</v>
      </c>
    </row>
    <row r="960" spans="1:6">
      <c r="A960" t="str">
        <f>IF(AND('Mortgage Inputs'!$B$12,954&lt;=IF('Mortgage Inputs'!$B$12,'Mortgage Inputs'!$B$7,0)*12+600,ISNUMBER(E959),E959&gt;0.005),954,"")</f>
        <v/>
      </c>
      <c r="B960" s="5" t="str">
        <f t="shared" si="29"/>
        <v/>
      </c>
      <c r="C960" s="5" t="str">
        <f>IF(A960="","",B960*'Mortgage Inputs'!$B$15)</f>
        <v/>
      </c>
      <c r="D960" s="5" t="str">
        <f>IF(A960="","",MIN(B960,MAX(0,'Mortgage Inputs'!$B$17-C960)))</f>
        <v/>
      </c>
      <c r="E960" s="5" t="str">
        <f t="shared" si="28"/>
        <v/>
      </c>
      <c r="F960" s="5">
        <f>IF('Monthly Projection'!A960="",0,'Monthly Projection'!G960)</f>
        <v>0</v>
      </c>
    </row>
    <row r="961" spans="1:6">
      <c r="A961" t="str">
        <f>IF(AND('Mortgage Inputs'!$B$12,955&lt;=IF('Mortgage Inputs'!$B$12,'Mortgage Inputs'!$B$7,0)*12+600,ISNUMBER(E960),E960&gt;0.005),955,"")</f>
        <v/>
      </c>
      <c r="B961" s="5" t="str">
        <f t="shared" si="29"/>
        <v/>
      </c>
      <c r="C961" s="5" t="str">
        <f>IF(A961="","",B961*'Mortgage Inputs'!$B$15)</f>
        <v/>
      </c>
      <c r="D961" s="5" t="str">
        <f>IF(A961="","",MIN(B961,MAX(0,'Mortgage Inputs'!$B$17-C961)))</f>
        <v/>
      </c>
      <c r="E961" s="5" t="str">
        <f t="shared" si="28"/>
        <v/>
      </c>
      <c r="F961" s="5">
        <f>IF('Monthly Projection'!A961="",0,'Monthly Projection'!G961)</f>
        <v>0</v>
      </c>
    </row>
    <row r="962" spans="1:6">
      <c r="A962" t="str">
        <f>IF(AND('Mortgage Inputs'!$B$12,956&lt;=IF('Mortgage Inputs'!$B$12,'Mortgage Inputs'!$B$7,0)*12+600,ISNUMBER(E961),E961&gt;0.005),956,"")</f>
        <v/>
      </c>
      <c r="B962" s="5" t="str">
        <f t="shared" si="29"/>
        <v/>
      </c>
      <c r="C962" s="5" t="str">
        <f>IF(A962="","",B962*'Mortgage Inputs'!$B$15)</f>
        <v/>
      </c>
      <c r="D962" s="5" t="str">
        <f>IF(A962="","",MIN(B962,MAX(0,'Mortgage Inputs'!$B$17-C962)))</f>
        <v/>
      </c>
      <c r="E962" s="5" t="str">
        <f t="shared" si="28"/>
        <v/>
      </c>
      <c r="F962" s="5">
        <f>IF('Monthly Projection'!A962="",0,'Monthly Projection'!G962)</f>
        <v>0</v>
      </c>
    </row>
    <row r="963" spans="1:6">
      <c r="A963" t="str">
        <f>IF(AND('Mortgage Inputs'!$B$12,957&lt;=IF('Mortgage Inputs'!$B$12,'Mortgage Inputs'!$B$7,0)*12+600,ISNUMBER(E962),E962&gt;0.005),957,"")</f>
        <v/>
      </c>
      <c r="B963" s="5" t="str">
        <f t="shared" si="29"/>
        <v/>
      </c>
      <c r="C963" s="5" t="str">
        <f>IF(A963="","",B963*'Mortgage Inputs'!$B$15)</f>
        <v/>
      </c>
      <c r="D963" s="5" t="str">
        <f>IF(A963="","",MIN(B963,MAX(0,'Mortgage Inputs'!$B$17-C963)))</f>
        <v/>
      </c>
      <c r="E963" s="5" t="str">
        <f t="shared" si="28"/>
        <v/>
      </c>
      <c r="F963" s="5">
        <f>IF('Monthly Projection'!A963="",0,'Monthly Projection'!G963)</f>
        <v>0</v>
      </c>
    </row>
    <row r="964" spans="1:6">
      <c r="A964" t="str">
        <f>IF(AND('Mortgage Inputs'!$B$12,958&lt;=IF('Mortgage Inputs'!$B$12,'Mortgage Inputs'!$B$7,0)*12+600,ISNUMBER(E963),E963&gt;0.005),958,"")</f>
        <v/>
      </c>
      <c r="B964" s="5" t="str">
        <f t="shared" si="29"/>
        <v/>
      </c>
      <c r="C964" s="5" t="str">
        <f>IF(A964="","",B964*'Mortgage Inputs'!$B$15)</f>
        <v/>
      </c>
      <c r="D964" s="5" t="str">
        <f>IF(A964="","",MIN(B964,MAX(0,'Mortgage Inputs'!$B$17-C964)))</f>
        <v/>
      </c>
      <c r="E964" s="5" t="str">
        <f t="shared" si="28"/>
        <v/>
      </c>
      <c r="F964" s="5">
        <f>IF('Monthly Projection'!A964="",0,'Monthly Projection'!G964)</f>
        <v>0</v>
      </c>
    </row>
    <row r="965" spans="1:6">
      <c r="A965" t="str">
        <f>IF(AND('Mortgage Inputs'!$B$12,959&lt;=IF('Mortgage Inputs'!$B$12,'Mortgage Inputs'!$B$7,0)*12+600,ISNUMBER(E964),E964&gt;0.005),959,"")</f>
        <v/>
      </c>
      <c r="B965" s="5" t="str">
        <f t="shared" si="29"/>
        <v/>
      </c>
      <c r="C965" s="5" t="str">
        <f>IF(A965="","",B965*'Mortgage Inputs'!$B$15)</f>
        <v/>
      </c>
      <c r="D965" s="5" t="str">
        <f>IF(A965="","",MIN(B965,MAX(0,'Mortgage Inputs'!$B$17-C965)))</f>
        <v/>
      </c>
      <c r="E965" s="5" t="str">
        <f t="shared" si="28"/>
        <v/>
      </c>
      <c r="F965" s="5">
        <f>IF('Monthly Projection'!A965="",0,'Monthly Projection'!G965)</f>
        <v>0</v>
      </c>
    </row>
    <row r="966" spans="1:6">
      <c r="A966" t="str">
        <f>IF(AND('Mortgage Inputs'!$B$12,960&lt;=IF('Mortgage Inputs'!$B$12,'Mortgage Inputs'!$B$7,0)*12+600,ISNUMBER(E965),E965&gt;0.005),960,"")</f>
        <v/>
      </c>
      <c r="B966" s="5" t="str">
        <f t="shared" si="29"/>
        <v/>
      </c>
      <c r="C966" s="5" t="str">
        <f>IF(A966="","",B966*'Mortgage Inputs'!$B$15)</f>
        <v/>
      </c>
      <c r="D966" s="5" t="str">
        <f>IF(A966="","",MIN(B966,MAX(0,'Mortgage Inputs'!$B$17-C966)))</f>
        <v/>
      </c>
      <c r="E966" s="5" t="str">
        <f t="shared" si="28"/>
        <v/>
      </c>
      <c r="F966" s="5">
        <f>IF('Monthly Projection'!A966="",0,'Monthly Projection'!G966)</f>
        <v>0</v>
      </c>
    </row>
    <row r="967" spans="1:6">
      <c r="A967" t="str">
        <f>IF(AND('Mortgage Inputs'!$B$12,961&lt;=IF('Mortgage Inputs'!$B$12,'Mortgage Inputs'!$B$7,0)*12+600,ISNUMBER(E966),E966&gt;0.005),961,"")</f>
        <v/>
      </c>
      <c r="B967" s="5" t="str">
        <f t="shared" si="29"/>
        <v/>
      </c>
      <c r="C967" s="5" t="str">
        <f>IF(A967="","",B967*'Mortgage Inputs'!$B$15)</f>
        <v/>
      </c>
      <c r="D967" s="5" t="str">
        <f>IF(A967="","",MIN(B967,MAX(0,'Mortgage Inputs'!$B$17-C967)))</f>
        <v/>
      </c>
      <c r="E967" s="5" t="str">
        <f t="shared" ref="E967:E1030" si="30">IF(A967="","",MAX(0,B967-D967))</f>
        <v/>
      </c>
      <c r="F967" s="5">
        <f>IF('Monthly Projection'!A967="",0,'Monthly Projection'!G967)</f>
        <v>0</v>
      </c>
    </row>
    <row r="968" spans="1:6">
      <c r="A968" t="str">
        <f>IF(AND('Mortgage Inputs'!$B$12,962&lt;=IF('Mortgage Inputs'!$B$12,'Mortgage Inputs'!$B$7,0)*12+600,ISNUMBER(E967),E967&gt;0.005),962,"")</f>
        <v/>
      </c>
      <c r="B968" s="5" t="str">
        <f t="shared" ref="B968:B1031" si="31">IF(A968="","",E967)</f>
        <v/>
      </c>
      <c r="C968" s="5" t="str">
        <f>IF(A968="","",B968*'Mortgage Inputs'!$B$15)</f>
        <v/>
      </c>
      <c r="D968" s="5" t="str">
        <f>IF(A968="","",MIN(B968,MAX(0,'Mortgage Inputs'!$B$17-C968)))</f>
        <v/>
      </c>
      <c r="E968" s="5" t="str">
        <f t="shared" si="30"/>
        <v/>
      </c>
      <c r="F968" s="5">
        <f>IF('Monthly Projection'!A968="",0,'Monthly Projection'!G968)</f>
        <v>0</v>
      </c>
    </row>
    <row r="969" spans="1:6">
      <c r="A969" t="str">
        <f>IF(AND('Mortgage Inputs'!$B$12,963&lt;=IF('Mortgage Inputs'!$B$12,'Mortgage Inputs'!$B$7,0)*12+600,ISNUMBER(E968),E968&gt;0.005),963,"")</f>
        <v/>
      </c>
      <c r="B969" s="5" t="str">
        <f t="shared" si="31"/>
        <v/>
      </c>
      <c r="C969" s="5" t="str">
        <f>IF(A969="","",B969*'Mortgage Inputs'!$B$15)</f>
        <v/>
      </c>
      <c r="D969" s="5" t="str">
        <f>IF(A969="","",MIN(B969,MAX(0,'Mortgage Inputs'!$B$17-C969)))</f>
        <v/>
      </c>
      <c r="E969" s="5" t="str">
        <f t="shared" si="30"/>
        <v/>
      </c>
      <c r="F969" s="5">
        <f>IF('Monthly Projection'!A969="",0,'Monthly Projection'!G969)</f>
        <v>0</v>
      </c>
    </row>
    <row r="970" spans="1:6">
      <c r="A970" t="str">
        <f>IF(AND('Mortgage Inputs'!$B$12,964&lt;=IF('Mortgage Inputs'!$B$12,'Mortgage Inputs'!$B$7,0)*12+600,ISNUMBER(E969),E969&gt;0.005),964,"")</f>
        <v/>
      </c>
      <c r="B970" s="5" t="str">
        <f t="shared" si="31"/>
        <v/>
      </c>
      <c r="C970" s="5" t="str">
        <f>IF(A970="","",B970*'Mortgage Inputs'!$B$15)</f>
        <v/>
      </c>
      <c r="D970" s="5" t="str">
        <f>IF(A970="","",MIN(B970,MAX(0,'Mortgage Inputs'!$B$17-C970)))</f>
        <v/>
      </c>
      <c r="E970" s="5" t="str">
        <f t="shared" si="30"/>
        <v/>
      </c>
      <c r="F970" s="5">
        <f>IF('Monthly Projection'!A970="",0,'Monthly Projection'!G970)</f>
        <v>0</v>
      </c>
    </row>
    <row r="971" spans="1:6">
      <c r="A971" t="str">
        <f>IF(AND('Mortgage Inputs'!$B$12,965&lt;=IF('Mortgage Inputs'!$B$12,'Mortgage Inputs'!$B$7,0)*12+600,ISNUMBER(E970),E970&gt;0.005),965,"")</f>
        <v/>
      </c>
      <c r="B971" s="5" t="str">
        <f t="shared" si="31"/>
        <v/>
      </c>
      <c r="C971" s="5" t="str">
        <f>IF(A971="","",B971*'Mortgage Inputs'!$B$15)</f>
        <v/>
      </c>
      <c r="D971" s="5" t="str">
        <f>IF(A971="","",MIN(B971,MAX(0,'Mortgage Inputs'!$B$17-C971)))</f>
        <v/>
      </c>
      <c r="E971" s="5" t="str">
        <f t="shared" si="30"/>
        <v/>
      </c>
      <c r="F971" s="5">
        <f>IF('Monthly Projection'!A971="",0,'Monthly Projection'!G971)</f>
        <v>0</v>
      </c>
    </row>
    <row r="972" spans="1:6">
      <c r="A972" t="str">
        <f>IF(AND('Mortgage Inputs'!$B$12,966&lt;=IF('Mortgage Inputs'!$B$12,'Mortgage Inputs'!$B$7,0)*12+600,ISNUMBER(E971),E971&gt;0.005),966,"")</f>
        <v/>
      </c>
      <c r="B972" s="5" t="str">
        <f t="shared" si="31"/>
        <v/>
      </c>
      <c r="C972" s="5" t="str">
        <f>IF(A972="","",B972*'Mortgage Inputs'!$B$15)</f>
        <v/>
      </c>
      <c r="D972" s="5" t="str">
        <f>IF(A972="","",MIN(B972,MAX(0,'Mortgage Inputs'!$B$17-C972)))</f>
        <v/>
      </c>
      <c r="E972" s="5" t="str">
        <f t="shared" si="30"/>
        <v/>
      </c>
      <c r="F972" s="5">
        <f>IF('Monthly Projection'!A972="",0,'Monthly Projection'!G972)</f>
        <v>0</v>
      </c>
    </row>
    <row r="973" spans="1:6">
      <c r="A973" t="str">
        <f>IF(AND('Mortgage Inputs'!$B$12,967&lt;=IF('Mortgage Inputs'!$B$12,'Mortgage Inputs'!$B$7,0)*12+600,ISNUMBER(E972),E972&gt;0.005),967,"")</f>
        <v/>
      </c>
      <c r="B973" s="5" t="str">
        <f t="shared" si="31"/>
        <v/>
      </c>
      <c r="C973" s="5" t="str">
        <f>IF(A973="","",B973*'Mortgage Inputs'!$B$15)</f>
        <v/>
      </c>
      <c r="D973" s="5" t="str">
        <f>IF(A973="","",MIN(B973,MAX(0,'Mortgage Inputs'!$B$17-C973)))</f>
        <v/>
      </c>
      <c r="E973" s="5" t="str">
        <f t="shared" si="30"/>
        <v/>
      </c>
      <c r="F973" s="5">
        <f>IF('Monthly Projection'!A973="",0,'Monthly Projection'!G973)</f>
        <v>0</v>
      </c>
    </row>
    <row r="974" spans="1:6">
      <c r="A974" t="str">
        <f>IF(AND('Mortgage Inputs'!$B$12,968&lt;=IF('Mortgage Inputs'!$B$12,'Mortgage Inputs'!$B$7,0)*12+600,ISNUMBER(E973),E973&gt;0.005),968,"")</f>
        <v/>
      </c>
      <c r="B974" s="5" t="str">
        <f t="shared" si="31"/>
        <v/>
      </c>
      <c r="C974" s="5" t="str">
        <f>IF(A974="","",B974*'Mortgage Inputs'!$B$15)</f>
        <v/>
      </c>
      <c r="D974" s="5" t="str">
        <f>IF(A974="","",MIN(B974,MAX(0,'Mortgage Inputs'!$B$17-C974)))</f>
        <v/>
      </c>
      <c r="E974" s="5" t="str">
        <f t="shared" si="30"/>
        <v/>
      </c>
      <c r="F974" s="5">
        <f>IF('Monthly Projection'!A974="",0,'Monthly Projection'!G974)</f>
        <v>0</v>
      </c>
    </row>
    <row r="975" spans="1:6">
      <c r="A975" t="str">
        <f>IF(AND('Mortgage Inputs'!$B$12,969&lt;=IF('Mortgage Inputs'!$B$12,'Mortgage Inputs'!$B$7,0)*12+600,ISNUMBER(E974),E974&gt;0.005),969,"")</f>
        <v/>
      </c>
      <c r="B975" s="5" t="str">
        <f t="shared" si="31"/>
        <v/>
      </c>
      <c r="C975" s="5" t="str">
        <f>IF(A975="","",B975*'Mortgage Inputs'!$B$15)</f>
        <v/>
      </c>
      <c r="D975" s="5" t="str">
        <f>IF(A975="","",MIN(B975,MAX(0,'Mortgage Inputs'!$B$17-C975)))</f>
        <v/>
      </c>
      <c r="E975" s="5" t="str">
        <f t="shared" si="30"/>
        <v/>
      </c>
      <c r="F975" s="5">
        <f>IF('Monthly Projection'!A975="",0,'Monthly Projection'!G975)</f>
        <v>0</v>
      </c>
    </row>
    <row r="976" spans="1:6">
      <c r="A976" t="str">
        <f>IF(AND('Mortgage Inputs'!$B$12,970&lt;=IF('Mortgage Inputs'!$B$12,'Mortgage Inputs'!$B$7,0)*12+600,ISNUMBER(E975),E975&gt;0.005),970,"")</f>
        <v/>
      </c>
      <c r="B976" s="5" t="str">
        <f t="shared" si="31"/>
        <v/>
      </c>
      <c r="C976" s="5" t="str">
        <f>IF(A976="","",B976*'Mortgage Inputs'!$B$15)</f>
        <v/>
      </c>
      <c r="D976" s="5" t="str">
        <f>IF(A976="","",MIN(B976,MAX(0,'Mortgage Inputs'!$B$17-C976)))</f>
        <v/>
      </c>
      <c r="E976" s="5" t="str">
        <f t="shared" si="30"/>
        <v/>
      </c>
      <c r="F976" s="5">
        <f>IF('Monthly Projection'!A976="",0,'Monthly Projection'!G976)</f>
        <v>0</v>
      </c>
    </row>
    <row r="977" spans="1:6">
      <c r="A977" t="str">
        <f>IF(AND('Mortgage Inputs'!$B$12,971&lt;=IF('Mortgage Inputs'!$B$12,'Mortgage Inputs'!$B$7,0)*12+600,ISNUMBER(E976),E976&gt;0.005),971,"")</f>
        <v/>
      </c>
      <c r="B977" s="5" t="str">
        <f t="shared" si="31"/>
        <v/>
      </c>
      <c r="C977" s="5" t="str">
        <f>IF(A977="","",B977*'Mortgage Inputs'!$B$15)</f>
        <v/>
      </c>
      <c r="D977" s="5" t="str">
        <f>IF(A977="","",MIN(B977,MAX(0,'Mortgage Inputs'!$B$17-C977)))</f>
        <v/>
      </c>
      <c r="E977" s="5" t="str">
        <f t="shared" si="30"/>
        <v/>
      </c>
      <c r="F977" s="5">
        <f>IF('Monthly Projection'!A977="",0,'Monthly Projection'!G977)</f>
        <v>0</v>
      </c>
    </row>
    <row r="978" spans="1:6">
      <c r="A978" t="str">
        <f>IF(AND('Mortgage Inputs'!$B$12,972&lt;=IF('Mortgage Inputs'!$B$12,'Mortgage Inputs'!$B$7,0)*12+600,ISNUMBER(E977),E977&gt;0.005),972,"")</f>
        <v/>
      </c>
      <c r="B978" s="5" t="str">
        <f t="shared" si="31"/>
        <v/>
      </c>
      <c r="C978" s="5" t="str">
        <f>IF(A978="","",B978*'Mortgage Inputs'!$B$15)</f>
        <v/>
      </c>
      <c r="D978" s="5" t="str">
        <f>IF(A978="","",MIN(B978,MAX(0,'Mortgage Inputs'!$B$17-C978)))</f>
        <v/>
      </c>
      <c r="E978" s="5" t="str">
        <f t="shared" si="30"/>
        <v/>
      </c>
      <c r="F978" s="5">
        <f>IF('Monthly Projection'!A978="",0,'Monthly Projection'!G978)</f>
        <v>0</v>
      </c>
    </row>
    <row r="979" spans="1:6">
      <c r="A979" t="str">
        <f>IF(AND('Mortgage Inputs'!$B$12,973&lt;=IF('Mortgage Inputs'!$B$12,'Mortgage Inputs'!$B$7,0)*12+600,ISNUMBER(E978),E978&gt;0.005),973,"")</f>
        <v/>
      </c>
      <c r="B979" s="5" t="str">
        <f t="shared" si="31"/>
        <v/>
      </c>
      <c r="C979" s="5" t="str">
        <f>IF(A979="","",B979*'Mortgage Inputs'!$B$15)</f>
        <v/>
      </c>
      <c r="D979" s="5" t="str">
        <f>IF(A979="","",MIN(B979,MAX(0,'Mortgage Inputs'!$B$17-C979)))</f>
        <v/>
      </c>
      <c r="E979" s="5" t="str">
        <f t="shared" si="30"/>
        <v/>
      </c>
      <c r="F979" s="5">
        <f>IF('Monthly Projection'!A979="",0,'Monthly Projection'!G979)</f>
        <v>0</v>
      </c>
    </row>
    <row r="980" spans="1:6">
      <c r="A980" t="str">
        <f>IF(AND('Mortgage Inputs'!$B$12,974&lt;=IF('Mortgage Inputs'!$B$12,'Mortgage Inputs'!$B$7,0)*12+600,ISNUMBER(E979),E979&gt;0.005),974,"")</f>
        <v/>
      </c>
      <c r="B980" s="5" t="str">
        <f t="shared" si="31"/>
        <v/>
      </c>
      <c r="C980" s="5" t="str">
        <f>IF(A980="","",B980*'Mortgage Inputs'!$B$15)</f>
        <v/>
      </c>
      <c r="D980" s="5" t="str">
        <f>IF(A980="","",MIN(B980,MAX(0,'Mortgage Inputs'!$B$17-C980)))</f>
        <v/>
      </c>
      <c r="E980" s="5" t="str">
        <f t="shared" si="30"/>
        <v/>
      </c>
      <c r="F980" s="5">
        <f>IF('Monthly Projection'!A980="",0,'Monthly Projection'!G980)</f>
        <v>0</v>
      </c>
    </row>
    <row r="981" spans="1:6">
      <c r="A981" t="str">
        <f>IF(AND('Mortgage Inputs'!$B$12,975&lt;=IF('Mortgage Inputs'!$B$12,'Mortgage Inputs'!$B$7,0)*12+600,ISNUMBER(E980),E980&gt;0.005),975,"")</f>
        <v/>
      </c>
      <c r="B981" s="5" t="str">
        <f t="shared" si="31"/>
        <v/>
      </c>
      <c r="C981" s="5" t="str">
        <f>IF(A981="","",B981*'Mortgage Inputs'!$B$15)</f>
        <v/>
      </c>
      <c r="D981" s="5" t="str">
        <f>IF(A981="","",MIN(B981,MAX(0,'Mortgage Inputs'!$B$17-C981)))</f>
        <v/>
      </c>
      <c r="E981" s="5" t="str">
        <f t="shared" si="30"/>
        <v/>
      </c>
      <c r="F981" s="5">
        <f>IF('Monthly Projection'!A981="",0,'Monthly Projection'!G981)</f>
        <v>0</v>
      </c>
    </row>
    <row r="982" spans="1:6">
      <c r="A982" t="str">
        <f>IF(AND('Mortgage Inputs'!$B$12,976&lt;=IF('Mortgage Inputs'!$B$12,'Mortgage Inputs'!$B$7,0)*12+600,ISNUMBER(E981),E981&gt;0.005),976,"")</f>
        <v/>
      </c>
      <c r="B982" s="5" t="str">
        <f t="shared" si="31"/>
        <v/>
      </c>
      <c r="C982" s="5" t="str">
        <f>IF(A982="","",B982*'Mortgage Inputs'!$B$15)</f>
        <v/>
      </c>
      <c r="D982" s="5" t="str">
        <f>IF(A982="","",MIN(B982,MAX(0,'Mortgage Inputs'!$B$17-C982)))</f>
        <v/>
      </c>
      <c r="E982" s="5" t="str">
        <f t="shared" si="30"/>
        <v/>
      </c>
      <c r="F982" s="5">
        <f>IF('Monthly Projection'!A982="",0,'Monthly Projection'!G982)</f>
        <v>0</v>
      </c>
    </row>
    <row r="983" spans="1:6">
      <c r="A983" t="str">
        <f>IF(AND('Mortgage Inputs'!$B$12,977&lt;=IF('Mortgage Inputs'!$B$12,'Mortgage Inputs'!$B$7,0)*12+600,ISNUMBER(E982),E982&gt;0.005),977,"")</f>
        <v/>
      </c>
      <c r="B983" s="5" t="str">
        <f t="shared" si="31"/>
        <v/>
      </c>
      <c r="C983" s="5" t="str">
        <f>IF(A983="","",B983*'Mortgage Inputs'!$B$15)</f>
        <v/>
      </c>
      <c r="D983" s="5" t="str">
        <f>IF(A983="","",MIN(B983,MAX(0,'Mortgage Inputs'!$B$17-C983)))</f>
        <v/>
      </c>
      <c r="E983" s="5" t="str">
        <f t="shared" si="30"/>
        <v/>
      </c>
      <c r="F983" s="5">
        <f>IF('Monthly Projection'!A983="",0,'Monthly Projection'!G983)</f>
        <v>0</v>
      </c>
    </row>
    <row r="984" spans="1:6">
      <c r="A984" t="str">
        <f>IF(AND('Mortgage Inputs'!$B$12,978&lt;=IF('Mortgage Inputs'!$B$12,'Mortgage Inputs'!$B$7,0)*12+600,ISNUMBER(E983),E983&gt;0.005),978,"")</f>
        <v/>
      </c>
      <c r="B984" s="5" t="str">
        <f t="shared" si="31"/>
        <v/>
      </c>
      <c r="C984" s="5" t="str">
        <f>IF(A984="","",B984*'Mortgage Inputs'!$B$15)</f>
        <v/>
      </c>
      <c r="D984" s="5" t="str">
        <f>IF(A984="","",MIN(B984,MAX(0,'Mortgage Inputs'!$B$17-C984)))</f>
        <v/>
      </c>
      <c r="E984" s="5" t="str">
        <f t="shared" si="30"/>
        <v/>
      </c>
      <c r="F984" s="5">
        <f>IF('Monthly Projection'!A984="",0,'Monthly Projection'!G984)</f>
        <v>0</v>
      </c>
    </row>
    <row r="985" spans="1:6">
      <c r="A985" t="str">
        <f>IF(AND('Mortgage Inputs'!$B$12,979&lt;=IF('Mortgage Inputs'!$B$12,'Mortgage Inputs'!$B$7,0)*12+600,ISNUMBER(E984),E984&gt;0.005),979,"")</f>
        <v/>
      </c>
      <c r="B985" s="5" t="str">
        <f t="shared" si="31"/>
        <v/>
      </c>
      <c r="C985" s="5" t="str">
        <f>IF(A985="","",B985*'Mortgage Inputs'!$B$15)</f>
        <v/>
      </c>
      <c r="D985" s="5" t="str">
        <f>IF(A985="","",MIN(B985,MAX(0,'Mortgage Inputs'!$B$17-C985)))</f>
        <v/>
      </c>
      <c r="E985" s="5" t="str">
        <f t="shared" si="30"/>
        <v/>
      </c>
      <c r="F985" s="5">
        <f>IF('Monthly Projection'!A985="",0,'Monthly Projection'!G985)</f>
        <v>0</v>
      </c>
    </row>
    <row r="986" spans="1:6">
      <c r="A986" t="str">
        <f>IF(AND('Mortgage Inputs'!$B$12,980&lt;=IF('Mortgage Inputs'!$B$12,'Mortgage Inputs'!$B$7,0)*12+600,ISNUMBER(E985),E985&gt;0.005),980,"")</f>
        <v/>
      </c>
      <c r="B986" s="5" t="str">
        <f t="shared" si="31"/>
        <v/>
      </c>
      <c r="C986" s="5" t="str">
        <f>IF(A986="","",B986*'Mortgage Inputs'!$B$15)</f>
        <v/>
      </c>
      <c r="D986" s="5" t="str">
        <f>IF(A986="","",MIN(B986,MAX(0,'Mortgage Inputs'!$B$17-C986)))</f>
        <v/>
      </c>
      <c r="E986" s="5" t="str">
        <f t="shared" si="30"/>
        <v/>
      </c>
      <c r="F986" s="5">
        <f>IF('Monthly Projection'!A986="",0,'Monthly Projection'!G986)</f>
        <v>0</v>
      </c>
    </row>
    <row r="987" spans="1:6">
      <c r="A987" t="str">
        <f>IF(AND('Mortgage Inputs'!$B$12,981&lt;=IF('Mortgage Inputs'!$B$12,'Mortgage Inputs'!$B$7,0)*12+600,ISNUMBER(E986),E986&gt;0.005),981,"")</f>
        <v/>
      </c>
      <c r="B987" s="5" t="str">
        <f t="shared" si="31"/>
        <v/>
      </c>
      <c r="C987" s="5" t="str">
        <f>IF(A987="","",B987*'Mortgage Inputs'!$B$15)</f>
        <v/>
      </c>
      <c r="D987" s="5" t="str">
        <f>IF(A987="","",MIN(B987,MAX(0,'Mortgage Inputs'!$B$17-C987)))</f>
        <v/>
      </c>
      <c r="E987" s="5" t="str">
        <f t="shared" si="30"/>
        <v/>
      </c>
      <c r="F987" s="5">
        <f>IF('Monthly Projection'!A987="",0,'Monthly Projection'!G987)</f>
        <v>0</v>
      </c>
    </row>
    <row r="988" spans="1:6">
      <c r="A988" t="str">
        <f>IF(AND('Mortgage Inputs'!$B$12,982&lt;=IF('Mortgage Inputs'!$B$12,'Mortgage Inputs'!$B$7,0)*12+600,ISNUMBER(E987),E987&gt;0.005),982,"")</f>
        <v/>
      </c>
      <c r="B988" s="5" t="str">
        <f t="shared" si="31"/>
        <v/>
      </c>
      <c r="C988" s="5" t="str">
        <f>IF(A988="","",B988*'Mortgage Inputs'!$B$15)</f>
        <v/>
      </c>
      <c r="D988" s="5" t="str">
        <f>IF(A988="","",MIN(B988,MAX(0,'Mortgage Inputs'!$B$17-C988)))</f>
        <v/>
      </c>
      <c r="E988" s="5" t="str">
        <f t="shared" si="30"/>
        <v/>
      </c>
      <c r="F988" s="5">
        <f>IF('Monthly Projection'!A988="",0,'Monthly Projection'!G988)</f>
        <v>0</v>
      </c>
    </row>
    <row r="989" spans="1:6">
      <c r="A989" t="str">
        <f>IF(AND('Mortgage Inputs'!$B$12,983&lt;=IF('Mortgage Inputs'!$B$12,'Mortgage Inputs'!$B$7,0)*12+600,ISNUMBER(E988),E988&gt;0.005),983,"")</f>
        <v/>
      </c>
      <c r="B989" s="5" t="str">
        <f t="shared" si="31"/>
        <v/>
      </c>
      <c r="C989" s="5" t="str">
        <f>IF(A989="","",B989*'Mortgage Inputs'!$B$15)</f>
        <v/>
      </c>
      <c r="D989" s="5" t="str">
        <f>IF(A989="","",MIN(B989,MAX(0,'Mortgage Inputs'!$B$17-C989)))</f>
        <v/>
      </c>
      <c r="E989" s="5" t="str">
        <f t="shared" si="30"/>
        <v/>
      </c>
      <c r="F989" s="5">
        <f>IF('Monthly Projection'!A989="",0,'Monthly Projection'!G989)</f>
        <v>0</v>
      </c>
    </row>
    <row r="990" spans="1:6">
      <c r="A990" t="str">
        <f>IF(AND('Mortgage Inputs'!$B$12,984&lt;=IF('Mortgage Inputs'!$B$12,'Mortgage Inputs'!$B$7,0)*12+600,ISNUMBER(E989),E989&gt;0.005),984,"")</f>
        <v/>
      </c>
      <c r="B990" s="5" t="str">
        <f t="shared" si="31"/>
        <v/>
      </c>
      <c r="C990" s="5" t="str">
        <f>IF(A990="","",B990*'Mortgage Inputs'!$B$15)</f>
        <v/>
      </c>
      <c r="D990" s="5" t="str">
        <f>IF(A990="","",MIN(B990,MAX(0,'Mortgage Inputs'!$B$17-C990)))</f>
        <v/>
      </c>
      <c r="E990" s="5" t="str">
        <f t="shared" si="30"/>
        <v/>
      </c>
      <c r="F990" s="5">
        <f>IF('Monthly Projection'!A990="",0,'Monthly Projection'!G990)</f>
        <v>0</v>
      </c>
    </row>
    <row r="991" spans="1:6">
      <c r="A991" t="str">
        <f>IF(AND('Mortgage Inputs'!$B$12,985&lt;=IF('Mortgage Inputs'!$B$12,'Mortgage Inputs'!$B$7,0)*12+600,ISNUMBER(E990),E990&gt;0.005),985,"")</f>
        <v/>
      </c>
      <c r="B991" s="5" t="str">
        <f t="shared" si="31"/>
        <v/>
      </c>
      <c r="C991" s="5" t="str">
        <f>IF(A991="","",B991*'Mortgage Inputs'!$B$15)</f>
        <v/>
      </c>
      <c r="D991" s="5" t="str">
        <f>IF(A991="","",MIN(B991,MAX(0,'Mortgage Inputs'!$B$17-C991)))</f>
        <v/>
      </c>
      <c r="E991" s="5" t="str">
        <f t="shared" si="30"/>
        <v/>
      </c>
      <c r="F991" s="5">
        <f>IF('Monthly Projection'!A991="",0,'Monthly Projection'!G991)</f>
        <v>0</v>
      </c>
    </row>
    <row r="992" spans="1:6">
      <c r="A992" t="str">
        <f>IF(AND('Mortgage Inputs'!$B$12,986&lt;=IF('Mortgage Inputs'!$B$12,'Mortgage Inputs'!$B$7,0)*12+600,ISNUMBER(E991),E991&gt;0.005),986,"")</f>
        <v/>
      </c>
      <c r="B992" s="5" t="str">
        <f t="shared" si="31"/>
        <v/>
      </c>
      <c r="C992" s="5" t="str">
        <f>IF(A992="","",B992*'Mortgage Inputs'!$B$15)</f>
        <v/>
      </c>
      <c r="D992" s="5" t="str">
        <f>IF(A992="","",MIN(B992,MAX(0,'Mortgage Inputs'!$B$17-C992)))</f>
        <v/>
      </c>
      <c r="E992" s="5" t="str">
        <f t="shared" si="30"/>
        <v/>
      </c>
      <c r="F992" s="5">
        <f>IF('Monthly Projection'!A992="",0,'Monthly Projection'!G992)</f>
        <v>0</v>
      </c>
    </row>
    <row r="993" spans="1:6">
      <c r="A993" t="str">
        <f>IF(AND('Mortgage Inputs'!$B$12,987&lt;=IF('Mortgage Inputs'!$B$12,'Mortgage Inputs'!$B$7,0)*12+600,ISNUMBER(E992),E992&gt;0.005),987,"")</f>
        <v/>
      </c>
      <c r="B993" s="5" t="str">
        <f t="shared" si="31"/>
        <v/>
      </c>
      <c r="C993" s="5" t="str">
        <f>IF(A993="","",B993*'Mortgage Inputs'!$B$15)</f>
        <v/>
      </c>
      <c r="D993" s="5" t="str">
        <f>IF(A993="","",MIN(B993,MAX(0,'Mortgage Inputs'!$B$17-C993)))</f>
        <v/>
      </c>
      <c r="E993" s="5" t="str">
        <f t="shared" si="30"/>
        <v/>
      </c>
      <c r="F993" s="5">
        <f>IF('Monthly Projection'!A993="",0,'Monthly Projection'!G993)</f>
        <v>0</v>
      </c>
    </row>
    <row r="994" spans="1:6">
      <c r="A994" t="str">
        <f>IF(AND('Mortgage Inputs'!$B$12,988&lt;=IF('Mortgage Inputs'!$B$12,'Mortgage Inputs'!$B$7,0)*12+600,ISNUMBER(E993),E993&gt;0.005),988,"")</f>
        <v/>
      </c>
      <c r="B994" s="5" t="str">
        <f t="shared" si="31"/>
        <v/>
      </c>
      <c r="C994" s="5" t="str">
        <f>IF(A994="","",B994*'Mortgage Inputs'!$B$15)</f>
        <v/>
      </c>
      <c r="D994" s="5" t="str">
        <f>IF(A994="","",MIN(B994,MAX(0,'Mortgage Inputs'!$B$17-C994)))</f>
        <v/>
      </c>
      <c r="E994" s="5" t="str">
        <f t="shared" si="30"/>
        <v/>
      </c>
      <c r="F994" s="5">
        <f>IF('Monthly Projection'!A994="",0,'Monthly Projection'!G994)</f>
        <v>0</v>
      </c>
    </row>
    <row r="995" spans="1:6">
      <c r="A995" t="str">
        <f>IF(AND('Mortgage Inputs'!$B$12,989&lt;=IF('Mortgage Inputs'!$B$12,'Mortgage Inputs'!$B$7,0)*12+600,ISNUMBER(E994),E994&gt;0.005),989,"")</f>
        <v/>
      </c>
      <c r="B995" s="5" t="str">
        <f t="shared" si="31"/>
        <v/>
      </c>
      <c r="C995" s="5" t="str">
        <f>IF(A995="","",B995*'Mortgage Inputs'!$B$15)</f>
        <v/>
      </c>
      <c r="D995" s="5" t="str">
        <f>IF(A995="","",MIN(B995,MAX(0,'Mortgage Inputs'!$B$17-C995)))</f>
        <v/>
      </c>
      <c r="E995" s="5" t="str">
        <f t="shared" si="30"/>
        <v/>
      </c>
      <c r="F995" s="5">
        <f>IF('Monthly Projection'!A995="",0,'Monthly Projection'!G995)</f>
        <v>0</v>
      </c>
    </row>
    <row r="996" spans="1:6">
      <c r="A996" t="str">
        <f>IF(AND('Mortgage Inputs'!$B$12,990&lt;=IF('Mortgage Inputs'!$B$12,'Mortgage Inputs'!$B$7,0)*12+600,ISNUMBER(E995),E995&gt;0.005),990,"")</f>
        <v/>
      </c>
      <c r="B996" s="5" t="str">
        <f t="shared" si="31"/>
        <v/>
      </c>
      <c r="C996" s="5" t="str">
        <f>IF(A996="","",B996*'Mortgage Inputs'!$B$15)</f>
        <v/>
      </c>
      <c r="D996" s="5" t="str">
        <f>IF(A996="","",MIN(B996,MAX(0,'Mortgage Inputs'!$B$17-C996)))</f>
        <v/>
      </c>
      <c r="E996" s="5" t="str">
        <f t="shared" si="30"/>
        <v/>
      </c>
      <c r="F996" s="5">
        <f>IF('Monthly Projection'!A996="",0,'Monthly Projection'!G996)</f>
        <v>0</v>
      </c>
    </row>
    <row r="997" spans="1:6">
      <c r="A997" t="str">
        <f>IF(AND('Mortgage Inputs'!$B$12,991&lt;=IF('Mortgage Inputs'!$B$12,'Mortgage Inputs'!$B$7,0)*12+600,ISNUMBER(E996),E996&gt;0.005),991,"")</f>
        <v/>
      </c>
      <c r="B997" s="5" t="str">
        <f t="shared" si="31"/>
        <v/>
      </c>
      <c r="C997" s="5" t="str">
        <f>IF(A997="","",B997*'Mortgage Inputs'!$B$15)</f>
        <v/>
      </c>
      <c r="D997" s="5" t="str">
        <f>IF(A997="","",MIN(B997,MAX(0,'Mortgage Inputs'!$B$17-C997)))</f>
        <v/>
      </c>
      <c r="E997" s="5" t="str">
        <f t="shared" si="30"/>
        <v/>
      </c>
      <c r="F997" s="5">
        <f>IF('Monthly Projection'!A997="",0,'Monthly Projection'!G997)</f>
        <v>0</v>
      </c>
    </row>
    <row r="998" spans="1:6">
      <c r="A998" t="str">
        <f>IF(AND('Mortgage Inputs'!$B$12,992&lt;=IF('Mortgage Inputs'!$B$12,'Mortgage Inputs'!$B$7,0)*12+600,ISNUMBER(E997),E997&gt;0.005),992,"")</f>
        <v/>
      </c>
      <c r="B998" s="5" t="str">
        <f t="shared" si="31"/>
        <v/>
      </c>
      <c r="C998" s="5" t="str">
        <f>IF(A998="","",B998*'Mortgage Inputs'!$B$15)</f>
        <v/>
      </c>
      <c r="D998" s="5" t="str">
        <f>IF(A998="","",MIN(B998,MAX(0,'Mortgage Inputs'!$B$17-C998)))</f>
        <v/>
      </c>
      <c r="E998" s="5" t="str">
        <f t="shared" si="30"/>
        <v/>
      </c>
      <c r="F998" s="5">
        <f>IF('Monthly Projection'!A998="",0,'Monthly Projection'!G998)</f>
        <v>0</v>
      </c>
    </row>
    <row r="999" spans="1:6">
      <c r="A999" t="str">
        <f>IF(AND('Mortgage Inputs'!$B$12,993&lt;=IF('Mortgage Inputs'!$B$12,'Mortgage Inputs'!$B$7,0)*12+600,ISNUMBER(E998),E998&gt;0.005),993,"")</f>
        <v/>
      </c>
      <c r="B999" s="5" t="str">
        <f t="shared" si="31"/>
        <v/>
      </c>
      <c r="C999" s="5" t="str">
        <f>IF(A999="","",B999*'Mortgage Inputs'!$B$15)</f>
        <v/>
      </c>
      <c r="D999" s="5" t="str">
        <f>IF(A999="","",MIN(B999,MAX(0,'Mortgage Inputs'!$B$17-C999)))</f>
        <v/>
      </c>
      <c r="E999" s="5" t="str">
        <f t="shared" si="30"/>
        <v/>
      </c>
      <c r="F999" s="5">
        <f>IF('Monthly Projection'!A999="",0,'Monthly Projection'!G999)</f>
        <v>0</v>
      </c>
    </row>
    <row r="1000" spans="1:6">
      <c r="A1000" t="str">
        <f>IF(AND('Mortgage Inputs'!$B$12,994&lt;=IF('Mortgage Inputs'!$B$12,'Mortgage Inputs'!$B$7,0)*12+600,ISNUMBER(E999),E999&gt;0.005),994,"")</f>
        <v/>
      </c>
      <c r="B1000" s="5" t="str">
        <f t="shared" si="31"/>
        <v/>
      </c>
      <c r="C1000" s="5" t="str">
        <f>IF(A1000="","",B1000*'Mortgage Inputs'!$B$15)</f>
        <v/>
      </c>
      <c r="D1000" s="5" t="str">
        <f>IF(A1000="","",MIN(B1000,MAX(0,'Mortgage Inputs'!$B$17-C1000)))</f>
        <v/>
      </c>
      <c r="E1000" s="5" t="str">
        <f t="shared" si="30"/>
        <v/>
      </c>
      <c r="F1000" s="5">
        <f>IF('Monthly Projection'!A1000="",0,'Monthly Projection'!G1000)</f>
        <v>0</v>
      </c>
    </row>
    <row r="1001" spans="1:6">
      <c r="A1001" t="str">
        <f>IF(AND('Mortgage Inputs'!$B$12,995&lt;=IF('Mortgage Inputs'!$B$12,'Mortgage Inputs'!$B$7,0)*12+600,ISNUMBER(E1000),E1000&gt;0.005),995,"")</f>
        <v/>
      </c>
      <c r="B1001" s="5" t="str">
        <f t="shared" si="31"/>
        <v/>
      </c>
      <c r="C1001" s="5" t="str">
        <f>IF(A1001="","",B1001*'Mortgage Inputs'!$B$15)</f>
        <v/>
      </c>
      <c r="D1001" s="5" t="str">
        <f>IF(A1001="","",MIN(B1001,MAX(0,'Mortgage Inputs'!$B$17-C1001)))</f>
        <v/>
      </c>
      <c r="E1001" s="5" t="str">
        <f t="shared" si="30"/>
        <v/>
      </c>
      <c r="F1001" s="5">
        <f>IF('Monthly Projection'!A1001="",0,'Monthly Projection'!G1001)</f>
        <v>0</v>
      </c>
    </row>
    <row r="1002" spans="1:6">
      <c r="A1002" t="str">
        <f>IF(AND('Mortgage Inputs'!$B$12,996&lt;=IF('Mortgage Inputs'!$B$12,'Mortgage Inputs'!$B$7,0)*12+600,ISNUMBER(E1001),E1001&gt;0.005),996,"")</f>
        <v/>
      </c>
      <c r="B1002" s="5" t="str">
        <f t="shared" si="31"/>
        <v/>
      </c>
      <c r="C1002" s="5" t="str">
        <f>IF(A1002="","",B1002*'Mortgage Inputs'!$B$15)</f>
        <v/>
      </c>
      <c r="D1002" s="5" t="str">
        <f>IF(A1002="","",MIN(B1002,MAX(0,'Mortgage Inputs'!$B$17-C1002)))</f>
        <v/>
      </c>
      <c r="E1002" s="5" t="str">
        <f t="shared" si="30"/>
        <v/>
      </c>
      <c r="F1002" s="5">
        <f>IF('Monthly Projection'!A1002="",0,'Monthly Projection'!G1002)</f>
        <v>0</v>
      </c>
    </row>
    <row r="1003" spans="1:6">
      <c r="A1003" t="str">
        <f>IF(AND('Mortgage Inputs'!$B$12,997&lt;=IF('Mortgage Inputs'!$B$12,'Mortgage Inputs'!$B$7,0)*12+600,ISNUMBER(E1002),E1002&gt;0.005),997,"")</f>
        <v/>
      </c>
      <c r="B1003" s="5" t="str">
        <f t="shared" si="31"/>
        <v/>
      </c>
      <c r="C1003" s="5" t="str">
        <f>IF(A1003="","",B1003*'Mortgage Inputs'!$B$15)</f>
        <v/>
      </c>
      <c r="D1003" s="5" t="str">
        <f>IF(A1003="","",MIN(B1003,MAX(0,'Mortgage Inputs'!$B$17-C1003)))</f>
        <v/>
      </c>
      <c r="E1003" s="5" t="str">
        <f t="shared" si="30"/>
        <v/>
      </c>
      <c r="F1003" s="5">
        <f>IF('Monthly Projection'!A1003="",0,'Monthly Projection'!G1003)</f>
        <v>0</v>
      </c>
    </row>
    <row r="1004" spans="1:6">
      <c r="A1004" t="str">
        <f>IF(AND('Mortgage Inputs'!$B$12,998&lt;=IF('Mortgage Inputs'!$B$12,'Mortgage Inputs'!$B$7,0)*12+600,ISNUMBER(E1003),E1003&gt;0.005),998,"")</f>
        <v/>
      </c>
      <c r="B1004" s="5" t="str">
        <f t="shared" si="31"/>
        <v/>
      </c>
      <c r="C1004" s="5" t="str">
        <f>IF(A1004="","",B1004*'Mortgage Inputs'!$B$15)</f>
        <v/>
      </c>
      <c r="D1004" s="5" t="str">
        <f>IF(A1004="","",MIN(B1004,MAX(0,'Mortgage Inputs'!$B$17-C1004)))</f>
        <v/>
      </c>
      <c r="E1004" s="5" t="str">
        <f t="shared" si="30"/>
        <v/>
      </c>
      <c r="F1004" s="5">
        <f>IF('Monthly Projection'!A1004="",0,'Monthly Projection'!G1004)</f>
        <v>0</v>
      </c>
    </row>
    <row r="1005" spans="1:6">
      <c r="A1005" t="str">
        <f>IF(AND('Mortgage Inputs'!$B$12,999&lt;=IF('Mortgage Inputs'!$B$12,'Mortgage Inputs'!$B$7,0)*12+600,ISNUMBER(E1004),E1004&gt;0.005),999,"")</f>
        <v/>
      </c>
      <c r="B1005" s="5" t="str">
        <f t="shared" si="31"/>
        <v/>
      </c>
      <c r="C1005" s="5" t="str">
        <f>IF(A1005="","",B1005*'Mortgage Inputs'!$B$15)</f>
        <v/>
      </c>
      <c r="D1005" s="5" t="str">
        <f>IF(A1005="","",MIN(B1005,MAX(0,'Mortgage Inputs'!$B$17-C1005)))</f>
        <v/>
      </c>
      <c r="E1005" s="5" t="str">
        <f t="shared" si="30"/>
        <v/>
      </c>
      <c r="F1005" s="5">
        <f>IF('Monthly Projection'!A1005="",0,'Monthly Projection'!G1005)</f>
        <v>0</v>
      </c>
    </row>
    <row r="1006" spans="1:6">
      <c r="A1006" t="str">
        <f>IF(AND('Mortgage Inputs'!$B$12,1000&lt;=IF('Mortgage Inputs'!$B$12,'Mortgage Inputs'!$B$7,0)*12+600,ISNUMBER(E1005),E1005&gt;0.005),1000,"")</f>
        <v/>
      </c>
      <c r="B1006" s="5" t="str">
        <f t="shared" si="31"/>
        <v/>
      </c>
      <c r="C1006" s="5" t="str">
        <f>IF(A1006="","",B1006*'Mortgage Inputs'!$B$15)</f>
        <v/>
      </c>
      <c r="D1006" s="5" t="str">
        <f>IF(A1006="","",MIN(B1006,MAX(0,'Mortgage Inputs'!$B$17-C1006)))</f>
        <v/>
      </c>
      <c r="E1006" s="5" t="str">
        <f t="shared" si="30"/>
        <v/>
      </c>
      <c r="F1006" s="5">
        <f>IF('Monthly Projection'!A1006="",0,'Monthly Projection'!G1006)</f>
        <v>0</v>
      </c>
    </row>
    <row r="1007" spans="1:6">
      <c r="A1007" t="str">
        <f>IF(AND('Mortgage Inputs'!$B$12,1001&lt;=IF('Mortgage Inputs'!$B$12,'Mortgage Inputs'!$B$7,0)*12+600,ISNUMBER(E1006),E1006&gt;0.005),1001,"")</f>
        <v/>
      </c>
      <c r="B1007" s="5" t="str">
        <f t="shared" si="31"/>
        <v/>
      </c>
      <c r="C1007" s="5" t="str">
        <f>IF(A1007="","",B1007*'Mortgage Inputs'!$B$15)</f>
        <v/>
      </c>
      <c r="D1007" s="5" t="str">
        <f>IF(A1007="","",MIN(B1007,MAX(0,'Mortgage Inputs'!$B$17-C1007)))</f>
        <v/>
      </c>
      <c r="E1007" s="5" t="str">
        <f t="shared" si="30"/>
        <v/>
      </c>
      <c r="F1007" s="5">
        <f>IF('Monthly Projection'!A1007="",0,'Monthly Projection'!G1007)</f>
        <v>0</v>
      </c>
    </row>
    <row r="1008" spans="1:6">
      <c r="A1008" t="str">
        <f>IF(AND('Mortgage Inputs'!$B$12,1002&lt;=IF('Mortgage Inputs'!$B$12,'Mortgage Inputs'!$B$7,0)*12+600,ISNUMBER(E1007),E1007&gt;0.005),1002,"")</f>
        <v/>
      </c>
      <c r="B1008" s="5" t="str">
        <f t="shared" si="31"/>
        <v/>
      </c>
      <c r="C1008" s="5" t="str">
        <f>IF(A1008="","",B1008*'Mortgage Inputs'!$B$15)</f>
        <v/>
      </c>
      <c r="D1008" s="5" t="str">
        <f>IF(A1008="","",MIN(B1008,MAX(0,'Mortgage Inputs'!$B$17-C1008)))</f>
        <v/>
      </c>
      <c r="E1008" s="5" t="str">
        <f t="shared" si="30"/>
        <v/>
      </c>
      <c r="F1008" s="5">
        <f>IF('Monthly Projection'!A1008="",0,'Monthly Projection'!G1008)</f>
        <v>0</v>
      </c>
    </row>
    <row r="1009" spans="1:6">
      <c r="A1009" t="str">
        <f>IF(AND('Mortgage Inputs'!$B$12,1003&lt;=IF('Mortgage Inputs'!$B$12,'Mortgage Inputs'!$B$7,0)*12+600,ISNUMBER(E1008),E1008&gt;0.005),1003,"")</f>
        <v/>
      </c>
      <c r="B1009" s="5" t="str">
        <f t="shared" si="31"/>
        <v/>
      </c>
      <c r="C1009" s="5" t="str">
        <f>IF(A1009="","",B1009*'Mortgage Inputs'!$B$15)</f>
        <v/>
      </c>
      <c r="D1009" s="5" t="str">
        <f>IF(A1009="","",MIN(B1009,MAX(0,'Mortgage Inputs'!$B$17-C1009)))</f>
        <v/>
      </c>
      <c r="E1009" s="5" t="str">
        <f t="shared" si="30"/>
        <v/>
      </c>
      <c r="F1009" s="5">
        <f>IF('Monthly Projection'!A1009="",0,'Monthly Projection'!G1009)</f>
        <v>0</v>
      </c>
    </row>
    <row r="1010" spans="1:6">
      <c r="A1010" t="str">
        <f>IF(AND('Mortgage Inputs'!$B$12,1004&lt;=IF('Mortgage Inputs'!$B$12,'Mortgage Inputs'!$B$7,0)*12+600,ISNUMBER(E1009),E1009&gt;0.005),1004,"")</f>
        <v/>
      </c>
      <c r="B1010" s="5" t="str">
        <f t="shared" si="31"/>
        <v/>
      </c>
      <c r="C1010" s="5" t="str">
        <f>IF(A1010="","",B1010*'Mortgage Inputs'!$B$15)</f>
        <v/>
      </c>
      <c r="D1010" s="5" t="str">
        <f>IF(A1010="","",MIN(B1010,MAX(0,'Mortgage Inputs'!$B$17-C1010)))</f>
        <v/>
      </c>
      <c r="E1010" s="5" t="str">
        <f t="shared" si="30"/>
        <v/>
      </c>
      <c r="F1010" s="5">
        <f>IF('Monthly Projection'!A1010="",0,'Monthly Projection'!G1010)</f>
        <v>0</v>
      </c>
    </row>
    <row r="1011" spans="1:6">
      <c r="A1011" t="str">
        <f>IF(AND('Mortgage Inputs'!$B$12,1005&lt;=IF('Mortgage Inputs'!$B$12,'Mortgage Inputs'!$B$7,0)*12+600,ISNUMBER(E1010),E1010&gt;0.005),1005,"")</f>
        <v/>
      </c>
      <c r="B1011" s="5" t="str">
        <f t="shared" si="31"/>
        <v/>
      </c>
      <c r="C1011" s="5" t="str">
        <f>IF(A1011="","",B1011*'Mortgage Inputs'!$B$15)</f>
        <v/>
      </c>
      <c r="D1011" s="5" t="str">
        <f>IF(A1011="","",MIN(B1011,MAX(0,'Mortgage Inputs'!$B$17-C1011)))</f>
        <v/>
      </c>
      <c r="E1011" s="5" t="str">
        <f t="shared" si="30"/>
        <v/>
      </c>
      <c r="F1011" s="5">
        <f>IF('Monthly Projection'!A1011="",0,'Monthly Projection'!G1011)</f>
        <v>0</v>
      </c>
    </row>
    <row r="1012" spans="1:6">
      <c r="A1012" t="str">
        <f>IF(AND('Mortgage Inputs'!$B$12,1006&lt;=IF('Mortgage Inputs'!$B$12,'Mortgage Inputs'!$B$7,0)*12+600,ISNUMBER(E1011),E1011&gt;0.005),1006,"")</f>
        <v/>
      </c>
      <c r="B1012" s="5" t="str">
        <f t="shared" si="31"/>
        <v/>
      </c>
      <c r="C1012" s="5" t="str">
        <f>IF(A1012="","",B1012*'Mortgage Inputs'!$B$15)</f>
        <v/>
      </c>
      <c r="D1012" s="5" t="str">
        <f>IF(A1012="","",MIN(B1012,MAX(0,'Mortgage Inputs'!$B$17-C1012)))</f>
        <v/>
      </c>
      <c r="E1012" s="5" t="str">
        <f t="shared" si="30"/>
        <v/>
      </c>
      <c r="F1012" s="5">
        <f>IF('Monthly Projection'!A1012="",0,'Monthly Projection'!G1012)</f>
        <v>0</v>
      </c>
    </row>
    <row r="1013" spans="1:6">
      <c r="A1013" t="str">
        <f>IF(AND('Mortgage Inputs'!$B$12,1007&lt;=IF('Mortgage Inputs'!$B$12,'Mortgage Inputs'!$B$7,0)*12+600,ISNUMBER(E1012),E1012&gt;0.005),1007,"")</f>
        <v/>
      </c>
      <c r="B1013" s="5" t="str">
        <f t="shared" si="31"/>
        <v/>
      </c>
      <c r="C1013" s="5" t="str">
        <f>IF(A1013="","",B1013*'Mortgage Inputs'!$B$15)</f>
        <v/>
      </c>
      <c r="D1013" s="5" t="str">
        <f>IF(A1013="","",MIN(B1013,MAX(0,'Mortgage Inputs'!$B$17-C1013)))</f>
        <v/>
      </c>
      <c r="E1013" s="5" t="str">
        <f t="shared" si="30"/>
        <v/>
      </c>
      <c r="F1013" s="5">
        <f>IF('Monthly Projection'!A1013="",0,'Monthly Projection'!G1013)</f>
        <v>0</v>
      </c>
    </row>
    <row r="1014" spans="1:6">
      <c r="A1014" t="str">
        <f>IF(AND('Mortgage Inputs'!$B$12,1008&lt;=IF('Mortgage Inputs'!$B$12,'Mortgage Inputs'!$B$7,0)*12+600,ISNUMBER(E1013),E1013&gt;0.005),1008,"")</f>
        <v/>
      </c>
      <c r="B1014" s="5" t="str">
        <f t="shared" si="31"/>
        <v/>
      </c>
      <c r="C1014" s="5" t="str">
        <f>IF(A1014="","",B1014*'Mortgage Inputs'!$B$15)</f>
        <v/>
      </c>
      <c r="D1014" s="5" t="str">
        <f>IF(A1014="","",MIN(B1014,MAX(0,'Mortgage Inputs'!$B$17-C1014)))</f>
        <v/>
      </c>
      <c r="E1014" s="5" t="str">
        <f t="shared" si="30"/>
        <v/>
      </c>
      <c r="F1014" s="5">
        <f>IF('Monthly Projection'!A1014="",0,'Monthly Projection'!G1014)</f>
        <v>0</v>
      </c>
    </row>
    <row r="1015" spans="1:6">
      <c r="A1015" t="str">
        <f>IF(AND('Mortgage Inputs'!$B$12,1009&lt;=IF('Mortgage Inputs'!$B$12,'Mortgage Inputs'!$B$7,0)*12+600,ISNUMBER(E1014),E1014&gt;0.005),1009,"")</f>
        <v/>
      </c>
      <c r="B1015" s="5" t="str">
        <f t="shared" si="31"/>
        <v/>
      </c>
      <c r="C1015" s="5" t="str">
        <f>IF(A1015="","",B1015*'Mortgage Inputs'!$B$15)</f>
        <v/>
      </c>
      <c r="D1015" s="5" t="str">
        <f>IF(A1015="","",MIN(B1015,MAX(0,'Mortgage Inputs'!$B$17-C1015)))</f>
        <v/>
      </c>
      <c r="E1015" s="5" t="str">
        <f t="shared" si="30"/>
        <v/>
      </c>
      <c r="F1015" s="5">
        <f>IF('Monthly Projection'!A1015="",0,'Monthly Projection'!G1015)</f>
        <v>0</v>
      </c>
    </row>
    <row r="1016" spans="1:6">
      <c r="A1016" t="str">
        <f>IF(AND('Mortgage Inputs'!$B$12,1010&lt;=IF('Mortgage Inputs'!$B$12,'Mortgage Inputs'!$B$7,0)*12+600,ISNUMBER(E1015),E1015&gt;0.005),1010,"")</f>
        <v/>
      </c>
      <c r="B1016" s="5" t="str">
        <f t="shared" si="31"/>
        <v/>
      </c>
      <c r="C1016" s="5" t="str">
        <f>IF(A1016="","",B1016*'Mortgage Inputs'!$B$15)</f>
        <v/>
      </c>
      <c r="D1016" s="5" t="str">
        <f>IF(A1016="","",MIN(B1016,MAX(0,'Mortgage Inputs'!$B$17-C1016)))</f>
        <v/>
      </c>
      <c r="E1016" s="5" t="str">
        <f t="shared" si="30"/>
        <v/>
      </c>
      <c r="F1016" s="5">
        <f>IF('Monthly Projection'!A1016="",0,'Monthly Projection'!G1016)</f>
        <v>0</v>
      </c>
    </row>
    <row r="1017" spans="1:6">
      <c r="A1017" t="str">
        <f>IF(AND('Mortgage Inputs'!$B$12,1011&lt;=IF('Mortgage Inputs'!$B$12,'Mortgage Inputs'!$B$7,0)*12+600,ISNUMBER(E1016),E1016&gt;0.005),1011,"")</f>
        <v/>
      </c>
      <c r="B1017" s="5" t="str">
        <f t="shared" si="31"/>
        <v/>
      </c>
      <c r="C1017" s="5" t="str">
        <f>IF(A1017="","",B1017*'Mortgage Inputs'!$B$15)</f>
        <v/>
      </c>
      <c r="D1017" s="5" t="str">
        <f>IF(A1017="","",MIN(B1017,MAX(0,'Mortgage Inputs'!$B$17-C1017)))</f>
        <v/>
      </c>
      <c r="E1017" s="5" t="str">
        <f t="shared" si="30"/>
        <v/>
      </c>
      <c r="F1017" s="5">
        <f>IF('Monthly Projection'!A1017="",0,'Monthly Projection'!G1017)</f>
        <v>0</v>
      </c>
    </row>
    <row r="1018" spans="1:6">
      <c r="A1018" t="str">
        <f>IF(AND('Mortgage Inputs'!$B$12,1012&lt;=IF('Mortgage Inputs'!$B$12,'Mortgage Inputs'!$B$7,0)*12+600,ISNUMBER(E1017),E1017&gt;0.005),1012,"")</f>
        <v/>
      </c>
      <c r="B1018" s="5" t="str">
        <f t="shared" si="31"/>
        <v/>
      </c>
      <c r="C1018" s="5" t="str">
        <f>IF(A1018="","",B1018*'Mortgage Inputs'!$B$15)</f>
        <v/>
      </c>
      <c r="D1018" s="5" t="str">
        <f>IF(A1018="","",MIN(B1018,MAX(0,'Mortgage Inputs'!$B$17-C1018)))</f>
        <v/>
      </c>
      <c r="E1018" s="5" t="str">
        <f t="shared" si="30"/>
        <v/>
      </c>
      <c r="F1018" s="5">
        <f>IF('Monthly Projection'!A1018="",0,'Monthly Projection'!G1018)</f>
        <v>0</v>
      </c>
    </row>
    <row r="1019" spans="1:6">
      <c r="A1019" t="str">
        <f>IF(AND('Mortgage Inputs'!$B$12,1013&lt;=IF('Mortgage Inputs'!$B$12,'Mortgage Inputs'!$B$7,0)*12+600,ISNUMBER(E1018),E1018&gt;0.005),1013,"")</f>
        <v/>
      </c>
      <c r="B1019" s="5" t="str">
        <f t="shared" si="31"/>
        <v/>
      </c>
      <c r="C1019" s="5" t="str">
        <f>IF(A1019="","",B1019*'Mortgage Inputs'!$B$15)</f>
        <v/>
      </c>
      <c r="D1019" s="5" t="str">
        <f>IF(A1019="","",MIN(B1019,MAX(0,'Mortgage Inputs'!$B$17-C1019)))</f>
        <v/>
      </c>
      <c r="E1019" s="5" t="str">
        <f t="shared" si="30"/>
        <v/>
      </c>
      <c r="F1019" s="5">
        <f>IF('Monthly Projection'!A1019="",0,'Monthly Projection'!G1019)</f>
        <v>0</v>
      </c>
    </row>
    <row r="1020" spans="1:6">
      <c r="A1020" t="str">
        <f>IF(AND('Mortgage Inputs'!$B$12,1014&lt;=IF('Mortgage Inputs'!$B$12,'Mortgage Inputs'!$B$7,0)*12+600,ISNUMBER(E1019),E1019&gt;0.005),1014,"")</f>
        <v/>
      </c>
      <c r="B1020" s="5" t="str">
        <f t="shared" si="31"/>
        <v/>
      </c>
      <c r="C1020" s="5" t="str">
        <f>IF(A1020="","",B1020*'Mortgage Inputs'!$B$15)</f>
        <v/>
      </c>
      <c r="D1020" s="5" t="str">
        <f>IF(A1020="","",MIN(B1020,MAX(0,'Mortgage Inputs'!$B$17-C1020)))</f>
        <v/>
      </c>
      <c r="E1020" s="5" t="str">
        <f t="shared" si="30"/>
        <v/>
      </c>
      <c r="F1020" s="5">
        <f>IF('Monthly Projection'!A1020="",0,'Monthly Projection'!G1020)</f>
        <v>0</v>
      </c>
    </row>
    <row r="1021" spans="1:6">
      <c r="A1021" t="str">
        <f>IF(AND('Mortgage Inputs'!$B$12,1015&lt;=IF('Mortgage Inputs'!$B$12,'Mortgage Inputs'!$B$7,0)*12+600,ISNUMBER(E1020),E1020&gt;0.005),1015,"")</f>
        <v/>
      </c>
      <c r="B1021" s="5" t="str">
        <f t="shared" si="31"/>
        <v/>
      </c>
      <c r="C1021" s="5" t="str">
        <f>IF(A1021="","",B1021*'Mortgage Inputs'!$B$15)</f>
        <v/>
      </c>
      <c r="D1021" s="5" t="str">
        <f>IF(A1021="","",MIN(B1021,MAX(0,'Mortgage Inputs'!$B$17-C1021)))</f>
        <v/>
      </c>
      <c r="E1021" s="5" t="str">
        <f t="shared" si="30"/>
        <v/>
      </c>
      <c r="F1021" s="5">
        <f>IF('Monthly Projection'!A1021="",0,'Monthly Projection'!G1021)</f>
        <v>0</v>
      </c>
    </row>
    <row r="1022" spans="1:6">
      <c r="A1022" t="str">
        <f>IF(AND('Mortgage Inputs'!$B$12,1016&lt;=IF('Mortgage Inputs'!$B$12,'Mortgage Inputs'!$B$7,0)*12+600,ISNUMBER(E1021),E1021&gt;0.005),1016,"")</f>
        <v/>
      </c>
      <c r="B1022" s="5" t="str">
        <f t="shared" si="31"/>
        <v/>
      </c>
      <c r="C1022" s="5" t="str">
        <f>IF(A1022="","",B1022*'Mortgage Inputs'!$B$15)</f>
        <v/>
      </c>
      <c r="D1022" s="5" t="str">
        <f>IF(A1022="","",MIN(B1022,MAX(0,'Mortgage Inputs'!$B$17-C1022)))</f>
        <v/>
      </c>
      <c r="E1022" s="5" t="str">
        <f t="shared" si="30"/>
        <v/>
      </c>
      <c r="F1022" s="5">
        <f>IF('Monthly Projection'!A1022="",0,'Monthly Projection'!G1022)</f>
        <v>0</v>
      </c>
    </row>
    <row r="1023" spans="1:6">
      <c r="A1023" t="str">
        <f>IF(AND('Mortgage Inputs'!$B$12,1017&lt;=IF('Mortgage Inputs'!$B$12,'Mortgage Inputs'!$B$7,0)*12+600,ISNUMBER(E1022),E1022&gt;0.005),1017,"")</f>
        <v/>
      </c>
      <c r="B1023" s="5" t="str">
        <f t="shared" si="31"/>
        <v/>
      </c>
      <c r="C1023" s="5" t="str">
        <f>IF(A1023="","",B1023*'Mortgage Inputs'!$B$15)</f>
        <v/>
      </c>
      <c r="D1023" s="5" t="str">
        <f>IF(A1023="","",MIN(B1023,MAX(0,'Mortgage Inputs'!$B$17-C1023)))</f>
        <v/>
      </c>
      <c r="E1023" s="5" t="str">
        <f t="shared" si="30"/>
        <v/>
      </c>
      <c r="F1023" s="5">
        <f>IF('Monthly Projection'!A1023="",0,'Monthly Projection'!G1023)</f>
        <v>0</v>
      </c>
    </row>
    <row r="1024" spans="1:6">
      <c r="A1024" t="str">
        <f>IF(AND('Mortgage Inputs'!$B$12,1018&lt;=IF('Mortgage Inputs'!$B$12,'Mortgage Inputs'!$B$7,0)*12+600,ISNUMBER(E1023),E1023&gt;0.005),1018,"")</f>
        <v/>
      </c>
      <c r="B1024" s="5" t="str">
        <f t="shared" si="31"/>
        <v/>
      </c>
      <c r="C1024" s="5" t="str">
        <f>IF(A1024="","",B1024*'Mortgage Inputs'!$B$15)</f>
        <v/>
      </c>
      <c r="D1024" s="5" t="str">
        <f>IF(A1024="","",MIN(B1024,MAX(0,'Mortgage Inputs'!$B$17-C1024)))</f>
        <v/>
      </c>
      <c r="E1024" s="5" t="str">
        <f t="shared" si="30"/>
        <v/>
      </c>
      <c r="F1024" s="5">
        <f>IF('Monthly Projection'!A1024="",0,'Monthly Projection'!G1024)</f>
        <v>0</v>
      </c>
    </row>
    <row r="1025" spans="1:6">
      <c r="A1025" t="str">
        <f>IF(AND('Mortgage Inputs'!$B$12,1019&lt;=IF('Mortgage Inputs'!$B$12,'Mortgage Inputs'!$B$7,0)*12+600,ISNUMBER(E1024),E1024&gt;0.005),1019,"")</f>
        <v/>
      </c>
      <c r="B1025" s="5" t="str">
        <f t="shared" si="31"/>
        <v/>
      </c>
      <c r="C1025" s="5" t="str">
        <f>IF(A1025="","",B1025*'Mortgage Inputs'!$B$15)</f>
        <v/>
      </c>
      <c r="D1025" s="5" t="str">
        <f>IF(A1025="","",MIN(B1025,MAX(0,'Mortgage Inputs'!$B$17-C1025)))</f>
        <v/>
      </c>
      <c r="E1025" s="5" t="str">
        <f t="shared" si="30"/>
        <v/>
      </c>
      <c r="F1025" s="5">
        <f>IF('Monthly Projection'!A1025="",0,'Monthly Projection'!G1025)</f>
        <v>0</v>
      </c>
    </row>
    <row r="1026" spans="1:6">
      <c r="A1026" t="str">
        <f>IF(AND('Mortgage Inputs'!$B$12,1020&lt;=IF('Mortgage Inputs'!$B$12,'Mortgage Inputs'!$B$7,0)*12+600,ISNUMBER(E1025),E1025&gt;0.005),1020,"")</f>
        <v/>
      </c>
      <c r="B1026" s="5" t="str">
        <f t="shared" si="31"/>
        <v/>
      </c>
      <c r="C1026" s="5" t="str">
        <f>IF(A1026="","",B1026*'Mortgage Inputs'!$B$15)</f>
        <v/>
      </c>
      <c r="D1026" s="5" t="str">
        <f>IF(A1026="","",MIN(B1026,MAX(0,'Mortgage Inputs'!$B$17-C1026)))</f>
        <v/>
      </c>
      <c r="E1026" s="5" t="str">
        <f t="shared" si="30"/>
        <v/>
      </c>
      <c r="F1026" s="5">
        <f>IF('Monthly Projection'!A1026="",0,'Monthly Projection'!G1026)</f>
        <v>0</v>
      </c>
    </row>
    <row r="1027" spans="1:6">
      <c r="A1027" t="str">
        <f>IF(AND('Mortgage Inputs'!$B$12,1021&lt;=IF('Mortgage Inputs'!$B$12,'Mortgage Inputs'!$B$7,0)*12+600,ISNUMBER(E1026),E1026&gt;0.005),1021,"")</f>
        <v/>
      </c>
      <c r="B1027" s="5" t="str">
        <f t="shared" si="31"/>
        <v/>
      </c>
      <c r="C1027" s="5" t="str">
        <f>IF(A1027="","",B1027*'Mortgage Inputs'!$B$15)</f>
        <v/>
      </c>
      <c r="D1027" s="5" t="str">
        <f>IF(A1027="","",MIN(B1027,MAX(0,'Mortgage Inputs'!$B$17-C1027)))</f>
        <v/>
      </c>
      <c r="E1027" s="5" t="str">
        <f t="shared" si="30"/>
        <v/>
      </c>
      <c r="F1027" s="5">
        <f>IF('Monthly Projection'!A1027="",0,'Monthly Projection'!G1027)</f>
        <v>0</v>
      </c>
    </row>
    <row r="1028" spans="1:6">
      <c r="A1028" t="str">
        <f>IF(AND('Mortgage Inputs'!$B$12,1022&lt;=IF('Mortgage Inputs'!$B$12,'Mortgage Inputs'!$B$7,0)*12+600,ISNUMBER(E1027),E1027&gt;0.005),1022,"")</f>
        <v/>
      </c>
      <c r="B1028" s="5" t="str">
        <f t="shared" si="31"/>
        <v/>
      </c>
      <c r="C1028" s="5" t="str">
        <f>IF(A1028="","",B1028*'Mortgage Inputs'!$B$15)</f>
        <v/>
      </c>
      <c r="D1028" s="5" t="str">
        <f>IF(A1028="","",MIN(B1028,MAX(0,'Mortgage Inputs'!$B$17-C1028)))</f>
        <v/>
      </c>
      <c r="E1028" s="5" t="str">
        <f t="shared" si="30"/>
        <v/>
      </c>
      <c r="F1028" s="5">
        <f>IF('Monthly Projection'!A1028="",0,'Monthly Projection'!G1028)</f>
        <v>0</v>
      </c>
    </row>
    <row r="1029" spans="1:6">
      <c r="A1029" t="str">
        <f>IF(AND('Mortgage Inputs'!$B$12,1023&lt;=IF('Mortgage Inputs'!$B$12,'Mortgage Inputs'!$B$7,0)*12+600,ISNUMBER(E1028),E1028&gt;0.005),1023,"")</f>
        <v/>
      </c>
      <c r="B1029" s="5" t="str">
        <f t="shared" si="31"/>
        <v/>
      </c>
      <c r="C1029" s="5" t="str">
        <f>IF(A1029="","",B1029*'Mortgage Inputs'!$B$15)</f>
        <v/>
      </c>
      <c r="D1029" s="5" t="str">
        <f>IF(A1029="","",MIN(B1029,MAX(0,'Mortgage Inputs'!$B$17-C1029)))</f>
        <v/>
      </c>
      <c r="E1029" s="5" t="str">
        <f t="shared" si="30"/>
        <v/>
      </c>
      <c r="F1029" s="5">
        <f>IF('Monthly Projection'!A1029="",0,'Monthly Projection'!G1029)</f>
        <v>0</v>
      </c>
    </row>
    <row r="1030" spans="1:6">
      <c r="A1030" t="str">
        <f>IF(AND('Mortgage Inputs'!$B$12,1024&lt;=IF('Mortgage Inputs'!$B$12,'Mortgage Inputs'!$B$7,0)*12+600,ISNUMBER(E1029),E1029&gt;0.005),1024,"")</f>
        <v/>
      </c>
      <c r="B1030" s="5" t="str">
        <f t="shared" si="31"/>
        <v/>
      </c>
      <c r="C1030" s="5" t="str">
        <f>IF(A1030="","",B1030*'Mortgage Inputs'!$B$15)</f>
        <v/>
      </c>
      <c r="D1030" s="5" t="str">
        <f>IF(A1030="","",MIN(B1030,MAX(0,'Mortgage Inputs'!$B$17-C1030)))</f>
        <v/>
      </c>
      <c r="E1030" s="5" t="str">
        <f t="shared" si="30"/>
        <v/>
      </c>
      <c r="F1030" s="5">
        <f>IF('Monthly Projection'!A1030="",0,'Monthly Projection'!G1030)</f>
        <v>0</v>
      </c>
    </row>
    <row r="1031" spans="1:6">
      <c r="A1031" t="str">
        <f>IF(AND('Mortgage Inputs'!$B$12,1025&lt;=IF('Mortgage Inputs'!$B$12,'Mortgage Inputs'!$B$7,0)*12+600,ISNUMBER(E1030),E1030&gt;0.005),1025,"")</f>
        <v/>
      </c>
      <c r="B1031" s="5" t="str">
        <f t="shared" si="31"/>
        <v/>
      </c>
      <c r="C1031" s="5" t="str">
        <f>IF(A1031="","",B1031*'Mortgage Inputs'!$B$15)</f>
        <v/>
      </c>
      <c r="D1031" s="5" t="str">
        <f>IF(A1031="","",MIN(B1031,MAX(0,'Mortgage Inputs'!$B$17-C1031)))</f>
        <v/>
      </c>
      <c r="E1031" s="5" t="str">
        <f t="shared" ref="E1031:E1086" si="32">IF(A1031="","",MAX(0,B1031-D1031))</f>
        <v/>
      </c>
      <c r="F1031" s="5">
        <f>IF('Monthly Projection'!A1031="",0,'Monthly Projection'!G1031)</f>
        <v>0</v>
      </c>
    </row>
    <row r="1032" spans="1:6">
      <c r="A1032" t="str">
        <f>IF(AND('Mortgage Inputs'!$B$12,1026&lt;=IF('Mortgage Inputs'!$B$12,'Mortgage Inputs'!$B$7,0)*12+600,ISNUMBER(E1031),E1031&gt;0.005),1026,"")</f>
        <v/>
      </c>
      <c r="B1032" s="5" t="str">
        <f t="shared" ref="B1032:B1086" si="33">IF(A1032="","",E1031)</f>
        <v/>
      </c>
      <c r="C1032" s="5" t="str">
        <f>IF(A1032="","",B1032*'Mortgage Inputs'!$B$15)</f>
        <v/>
      </c>
      <c r="D1032" s="5" t="str">
        <f>IF(A1032="","",MIN(B1032,MAX(0,'Mortgage Inputs'!$B$17-C1032)))</f>
        <v/>
      </c>
      <c r="E1032" s="5" t="str">
        <f t="shared" si="32"/>
        <v/>
      </c>
      <c r="F1032" s="5">
        <f>IF('Monthly Projection'!A1032="",0,'Monthly Projection'!G1032)</f>
        <v>0</v>
      </c>
    </row>
    <row r="1033" spans="1:6">
      <c r="A1033" t="str">
        <f>IF(AND('Mortgage Inputs'!$B$12,1027&lt;=IF('Mortgage Inputs'!$B$12,'Mortgage Inputs'!$B$7,0)*12+600,ISNUMBER(E1032),E1032&gt;0.005),1027,"")</f>
        <v/>
      </c>
      <c r="B1033" s="5" t="str">
        <f t="shared" si="33"/>
        <v/>
      </c>
      <c r="C1033" s="5" t="str">
        <f>IF(A1033="","",B1033*'Mortgage Inputs'!$B$15)</f>
        <v/>
      </c>
      <c r="D1033" s="5" t="str">
        <f>IF(A1033="","",MIN(B1033,MAX(0,'Mortgage Inputs'!$B$17-C1033)))</f>
        <v/>
      </c>
      <c r="E1033" s="5" t="str">
        <f t="shared" si="32"/>
        <v/>
      </c>
      <c r="F1033" s="5">
        <f>IF('Monthly Projection'!A1033="",0,'Monthly Projection'!G1033)</f>
        <v>0</v>
      </c>
    </row>
    <row r="1034" spans="1:6">
      <c r="A1034" t="str">
        <f>IF(AND('Mortgage Inputs'!$B$12,1028&lt;=IF('Mortgage Inputs'!$B$12,'Mortgage Inputs'!$B$7,0)*12+600,ISNUMBER(E1033),E1033&gt;0.005),1028,"")</f>
        <v/>
      </c>
      <c r="B1034" s="5" t="str">
        <f t="shared" si="33"/>
        <v/>
      </c>
      <c r="C1034" s="5" t="str">
        <f>IF(A1034="","",B1034*'Mortgage Inputs'!$B$15)</f>
        <v/>
      </c>
      <c r="D1034" s="5" t="str">
        <f>IF(A1034="","",MIN(B1034,MAX(0,'Mortgage Inputs'!$B$17-C1034)))</f>
        <v/>
      </c>
      <c r="E1034" s="5" t="str">
        <f t="shared" si="32"/>
        <v/>
      </c>
      <c r="F1034" s="5">
        <f>IF('Monthly Projection'!A1034="",0,'Monthly Projection'!G1034)</f>
        <v>0</v>
      </c>
    </row>
    <row r="1035" spans="1:6">
      <c r="A1035" t="str">
        <f>IF(AND('Mortgage Inputs'!$B$12,1029&lt;=IF('Mortgage Inputs'!$B$12,'Mortgage Inputs'!$B$7,0)*12+600,ISNUMBER(E1034),E1034&gt;0.005),1029,"")</f>
        <v/>
      </c>
      <c r="B1035" s="5" t="str">
        <f t="shared" si="33"/>
        <v/>
      </c>
      <c r="C1035" s="5" t="str">
        <f>IF(A1035="","",B1035*'Mortgage Inputs'!$B$15)</f>
        <v/>
      </c>
      <c r="D1035" s="5" t="str">
        <f>IF(A1035="","",MIN(B1035,MAX(0,'Mortgage Inputs'!$B$17-C1035)))</f>
        <v/>
      </c>
      <c r="E1035" s="5" t="str">
        <f t="shared" si="32"/>
        <v/>
      </c>
      <c r="F1035" s="5">
        <f>IF('Monthly Projection'!A1035="",0,'Monthly Projection'!G1035)</f>
        <v>0</v>
      </c>
    </row>
    <row r="1036" spans="1:6">
      <c r="A1036" t="str">
        <f>IF(AND('Mortgage Inputs'!$B$12,1030&lt;=IF('Mortgage Inputs'!$B$12,'Mortgage Inputs'!$B$7,0)*12+600,ISNUMBER(E1035),E1035&gt;0.005),1030,"")</f>
        <v/>
      </c>
      <c r="B1036" s="5" t="str">
        <f t="shared" si="33"/>
        <v/>
      </c>
      <c r="C1036" s="5" t="str">
        <f>IF(A1036="","",B1036*'Mortgage Inputs'!$B$15)</f>
        <v/>
      </c>
      <c r="D1036" s="5" t="str">
        <f>IF(A1036="","",MIN(B1036,MAX(0,'Mortgage Inputs'!$B$17-C1036)))</f>
        <v/>
      </c>
      <c r="E1036" s="5" t="str">
        <f t="shared" si="32"/>
        <v/>
      </c>
      <c r="F1036" s="5">
        <f>IF('Monthly Projection'!A1036="",0,'Monthly Projection'!G1036)</f>
        <v>0</v>
      </c>
    </row>
    <row r="1037" spans="1:6">
      <c r="A1037" t="str">
        <f>IF(AND('Mortgage Inputs'!$B$12,1031&lt;=IF('Mortgage Inputs'!$B$12,'Mortgage Inputs'!$B$7,0)*12+600,ISNUMBER(E1036),E1036&gt;0.005),1031,"")</f>
        <v/>
      </c>
      <c r="B1037" s="5" t="str">
        <f t="shared" si="33"/>
        <v/>
      </c>
      <c r="C1037" s="5" t="str">
        <f>IF(A1037="","",B1037*'Mortgage Inputs'!$B$15)</f>
        <v/>
      </c>
      <c r="D1037" s="5" t="str">
        <f>IF(A1037="","",MIN(B1037,MAX(0,'Mortgage Inputs'!$B$17-C1037)))</f>
        <v/>
      </c>
      <c r="E1037" s="5" t="str">
        <f t="shared" si="32"/>
        <v/>
      </c>
      <c r="F1037" s="5">
        <f>IF('Monthly Projection'!A1037="",0,'Monthly Projection'!G1037)</f>
        <v>0</v>
      </c>
    </row>
    <row r="1038" spans="1:6">
      <c r="A1038" t="str">
        <f>IF(AND('Mortgage Inputs'!$B$12,1032&lt;=IF('Mortgage Inputs'!$B$12,'Mortgage Inputs'!$B$7,0)*12+600,ISNUMBER(E1037),E1037&gt;0.005),1032,"")</f>
        <v/>
      </c>
      <c r="B1038" s="5" t="str">
        <f t="shared" si="33"/>
        <v/>
      </c>
      <c r="C1038" s="5" t="str">
        <f>IF(A1038="","",B1038*'Mortgage Inputs'!$B$15)</f>
        <v/>
      </c>
      <c r="D1038" s="5" t="str">
        <f>IF(A1038="","",MIN(B1038,MAX(0,'Mortgage Inputs'!$B$17-C1038)))</f>
        <v/>
      </c>
      <c r="E1038" s="5" t="str">
        <f t="shared" si="32"/>
        <v/>
      </c>
      <c r="F1038" s="5">
        <f>IF('Monthly Projection'!A1038="",0,'Monthly Projection'!G1038)</f>
        <v>0</v>
      </c>
    </row>
    <row r="1039" spans="1:6">
      <c r="A1039" t="str">
        <f>IF(AND('Mortgage Inputs'!$B$12,1033&lt;=IF('Mortgage Inputs'!$B$12,'Mortgage Inputs'!$B$7,0)*12+600,ISNUMBER(E1038),E1038&gt;0.005),1033,"")</f>
        <v/>
      </c>
      <c r="B1039" s="5" t="str">
        <f t="shared" si="33"/>
        <v/>
      </c>
      <c r="C1039" s="5" t="str">
        <f>IF(A1039="","",B1039*'Mortgage Inputs'!$B$15)</f>
        <v/>
      </c>
      <c r="D1039" s="5" t="str">
        <f>IF(A1039="","",MIN(B1039,MAX(0,'Mortgage Inputs'!$B$17-C1039)))</f>
        <v/>
      </c>
      <c r="E1039" s="5" t="str">
        <f t="shared" si="32"/>
        <v/>
      </c>
      <c r="F1039" s="5">
        <f>IF('Monthly Projection'!A1039="",0,'Monthly Projection'!G1039)</f>
        <v>0</v>
      </c>
    </row>
    <row r="1040" spans="1:6">
      <c r="A1040" t="str">
        <f>IF(AND('Mortgage Inputs'!$B$12,1034&lt;=IF('Mortgage Inputs'!$B$12,'Mortgage Inputs'!$B$7,0)*12+600,ISNUMBER(E1039),E1039&gt;0.005),1034,"")</f>
        <v/>
      </c>
      <c r="B1040" s="5" t="str">
        <f t="shared" si="33"/>
        <v/>
      </c>
      <c r="C1040" s="5" t="str">
        <f>IF(A1040="","",B1040*'Mortgage Inputs'!$B$15)</f>
        <v/>
      </c>
      <c r="D1040" s="5" t="str">
        <f>IF(A1040="","",MIN(B1040,MAX(0,'Mortgage Inputs'!$B$17-C1040)))</f>
        <v/>
      </c>
      <c r="E1040" s="5" t="str">
        <f t="shared" si="32"/>
        <v/>
      </c>
      <c r="F1040" s="5">
        <f>IF('Monthly Projection'!A1040="",0,'Monthly Projection'!G1040)</f>
        <v>0</v>
      </c>
    </row>
    <row r="1041" spans="1:6">
      <c r="A1041" t="str">
        <f>IF(AND('Mortgage Inputs'!$B$12,1035&lt;=IF('Mortgage Inputs'!$B$12,'Mortgage Inputs'!$B$7,0)*12+600,ISNUMBER(E1040),E1040&gt;0.005),1035,"")</f>
        <v/>
      </c>
      <c r="B1041" s="5" t="str">
        <f t="shared" si="33"/>
        <v/>
      </c>
      <c r="C1041" s="5" t="str">
        <f>IF(A1041="","",B1041*'Mortgage Inputs'!$B$15)</f>
        <v/>
      </c>
      <c r="D1041" s="5" t="str">
        <f>IF(A1041="","",MIN(B1041,MAX(0,'Mortgage Inputs'!$B$17-C1041)))</f>
        <v/>
      </c>
      <c r="E1041" s="5" t="str">
        <f t="shared" si="32"/>
        <v/>
      </c>
      <c r="F1041" s="5">
        <f>IF('Monthly Projection'!A1041="",0,'Monthly Projection'!G1041)</f>
        <v>0</v>
      </c>
    </row>
    <row r="1042" spans="1:6">
      <c r="A1042" t="str">
        <f>IF(AND('Mortgage Inputs'!$B$12,1036&lt;=IF('Mortgage Inputs'!$B$12,'Mortgage Inputs'!$B$7,0)*12+600,ISNUMBER(E1041),E1041&gt;0.005),1036,"")</f>
        <v/>
      </c>
      <c r="B1042" s="5" t="str">
        <f t="shared" si="33"/>
        <v/>
      </c>
      <c r="C1042" s="5" t="str">
        <f>IF(A1042="","",B1042*'Mortgage Inputs'!$B$15)</f>
        <v/>
      </c>
      <c r="D1042" s="5" t="str">
        <f>IF(A1042="","",MIN(B1042,MAX(0,'Mortgage Inputs'!$B$17-C1042)))</f>
        <v/>
      </c>
      <c r="E1042" s="5" t="str">
        <f t="shared" si="32"/>
        <v/>
      </c>
      <c r="F1042" s="5">
        <f>IF('Monthly Projection'!A1042="",0,'Monthly Projection'!G1042)</f>
        <v>0</v>
      </c>
    </row>
    <row r="1043" spans="1:6">
      <c r="A1043" t="str">
        <f>IF(AND('Mortgage Inputs'!$B$12,1037&lt;=IF('Mortgage Inputs'!$B$12,'Mortgage Inputs'!$B$7,0)*12+600,ISNUMBER(E1042),E1042&gt;0.005),1037,"")</f>
        <v/>
      </c>
      <c r="B1043" s="5" t="str">
        <f t="shared" si="33"/>
        <v/>
      </c>
      <c r="C1043" s="5" t="str">
        <f>IF(A1043="","",B1043*'Mortgage Inputs'!$B$15)</f>
        <v/>
      </c>
      <c r="D1043" s="5" t="str">
        <f>IF(A1043="","",MIN(B1043,MAX(0,'Mortgage Inputs'!$B$17-C1043)))</f>
        <v/>
      </c>
      <c r="E1043" s="5" t="str">
        <f t="shared" si="32"/>
        <v/>
      </c>
      <c r="F1043" s="5">
        <f>IF('Monthly Projection'!A1043="",0,'Monthly Projection'!G1043)</f>
        <v>0</v>
      </c>
    </row>
    <row r="1044" spans="1:6">
      <c r="A1044" t="str">
        <f>IF(AND('Mortgage Inputs'!$B$12,1038&lt;=IF('Mortgage Inputs'!$B$12,'Mortgage Inputs'!$B$7,0)*12+600,ISNUMBER(E1043),E1043&gt;0.005),1038,"")</f>
        <v/>
      </c>
      <c r="B1044" s="5" t="str">
        <f t="shared" si="33"/>
        <v/>
      </c>
      <c r="C1044" s="5" t="str">
        <f>IF(A1044="","",B1044*'Mortgage Inputs'!$B$15)</f>
        <v/>
      </c>
      <c r="D1044" s="5" t="str">
        <f>IF(A1044="","",MIN(B1044,MAX(0,'Mortgage Inputs'!$B$17-C1044)))</f>
        <v/>
      </c>
      <c r="E1044" s="5" t="str">
        <f t="shared" si="32"/>
        <v/>
      </c>
      <c r="F1044" s="5">
        <f>IF('Monthly Projection'!A1044="",0,'Monthly Projection'!G1044)</f>
        <v>0</v>
      </c>
    </row>
    <row r="1045" spans="1:6">
      <c r="A1045" t="str">
        <f>IF(AND('Mortgage Inputs'!$B$12,1039&lt;=IF('Mortgage Inputs'!$B$12,'Mortgage Inputs'!$B$7,0)*12+600,ISNUMBER(E1044),E1044&gt;0.005),1039,"")</f>
        <v/>
      </c>
      <c r="B1045" s="5" t="str">
        <f t="shared" si="33"/>
        <v/>
      </c>
      <c r="C1045" s="5" t="str">
        <f>IF(A1045="","",B1045*'Mortgage Inputs'!$B$15)</f>
        <v/>
      </c>
      <c r="D1045" s="5" t="str">
        <f>IF(A1045="","",MIN(B1045,MAX(0,'Mortgage Inputs'!$B$17-C1045)))</f>
        <v/>
      </c>
      <c r="E1045" s="5" t="str">
        <f t="shared" si="32"/>
        <v/>
      </c>
      <c r="F1045" s="5">
        <f>IF('Monthly Projection'!A1045="",0,'Monthly Projection'!G1045)</f>
        <v>0</v>
      </c>
    </row>
    <row r="1046" spans="1:6">
      <c r="A1046" t="str">
        <f>IF(AND('Mortgage Inputs'!$B$12,1040&lt;=IF('Mortgage Inputs'!$B$12,'Mortgage Inputs'!$B$7,0)*12+600,ISNUMBER(E1045),E1045&gt;0.005),1040,"")</f>
        <v/>
      </c>
      <c r="B1046" s="5" t="str">
        <f t="shared" si="33"/>
        <v/>
      </c>
      <c r="C1046" s="5" t="str">
        <f>IF(A1046="","",B1046*'Mortgage Inputs'!$B$15)</f>
        <v/>
      </c>
      <c r="D1046" s="5" t="str">
        <f>IF(A1046="","",MIN(B1046,MAX(0,'Mortgage Inputs'!$B$17-C1046)))</f>
        <v/>
      </c>
      <c r="E1046" s="5" t="str">
        <f t="shared" si="32"/>
        <v/>
      </c>
      <c r="F1046" s="5">
        <f>IF('Monthly Projection'!A1046="",0,'Monthly Projection'!G1046)</f>
        <v>0</v>
      </c>
    </row>
    <row r="1047" spans="1:6">
      <c r="A1047" t="str">
        <f>IF(AND('Mortgage Inputs'!$B$12,1041&lt;=IF('Mortgage Inputs'!$B$12,'Mortgage Inputs'!$B$7,0)*12+600,ISNUMBER(E1046),E1046&gt;0.005),1041,"")</f>
        <v/>
      </c>
      <c r="B1047" s="5" t="str">
        <f t="shared" si="33"/>
        <v/>
      </c>
      <c r="C1047" s="5" t="str">
        <f>IF(A1047="","",B1047*'Mortgage Inputs'!$B$15)</f>
        <v/>
      </c>
      <c r="D1047" s="5" t="str">
        <f>IF(A1047="","",MIN(B1047,MAX(0,'Mortgage Inputs'!$B$17-C1047)))</f>
        <v/>
      </c>
      <c r="E1047" s="5" t="str">
        <f t="shared" si="32"/>
        <v/>
      </c>
      <c r="F1047" s="5">
        <f>IF('Monthly Projection'!A1047="",0,'Monthly Projection'!G1047)</f>
        <v>0</v>
      </c>
    </row>
    <row r="1048" spans="1:6">
      <c r="A1048" t="str">
        <f>IF(AND('Mortgage Inputs'!$B$12,1042&lt;=IF('Mortgage Inputs'!$B$12,'Mortgage Inputs'!$B$7,0)*12+600,ISNUMBER(E1047),E1047&gt;0.005),1042,"")</f>
        <v/>
      </c>
      <c r="B1048" s="5" t="str">
        <f t="shared" si="33"/>
        <v/>
      </c>
      <c r="C1048" s="5" t="str">
        <f>IF(A1048="","",B1048*'Mortgage Inputs'!$B$15)</f>
        <v/>
      </c>
      <c r="D1048" s="5" t="str">
        <f>IF(A1048="","",MIN(B1048,MAX(0,'Mortgage Inputs'!$B$17-C1048)))</f>
        <v/>
      </c>
      <c r="E1048" s="5" t="str">
        <f t="shared" si="32"/>
        <v/>
      </c>
      <c r="F1048" s="5">
        <f>IF('Monthly Projection'!A1048="",0,'Monthly Projection'!G1048)</f>
        <v>0</v>
      </c>
    </row>
    <row r="1049" spans="1:6">
      <c r="A1049" t="str">
        <f>IF(AND('Mortgage Inputs'!$B$12,1043&lt;=IF('Mortgage Inputs'!$B$12,'Mortgage Inputs'!$B$7,0)*12+600,ISNUMBER(E1048),E1048&gt;0.005),1043,"")</f>
        <v/>
      </c>
      <c r="B1049" s="5" t="str">
        <f t="shared" si="33"/>
        <v/>
      </c>
      <c r="C1049" s="5" t="str">
        <f>IF(A1049="","",B1049*'Mortgage Inputs'!$B$15)</f>
        <v/>
      </c>
      <c r="D1049" s="5" t="str">
        <f>IF(A1049="","",MIN(B1049,MAX(0,'Mortgage Inputs'!$B$17-C1049)))</f>
        <v/>
      </c>
      <c r="E1049" s="5" t="str">
        <f t="shared" si="32"/>
        <v/>
      </c>
      <c r="F1049" s="5">
        <f>IF('Monthly Projection'!A1049="",0,'Monthly Projection'!G1049)</f>
        <v>0</v>
      </c>
    </row>
    <row r="1050" spans="1:6">
      <c r="A1050" t="str">
        <f>IF(AND('Mortgage Inputs'!$B$12,1044&lt;=IF('Mortgage Inputs'!$B$12,'Mortgage Inputs'!$B$7,0)*12+600,ISNUMBER(E1049),E1049&gt;0.005),1044,"")</f>
        <v/>
      </c>
      <c r="B1050" s="5" t="str">
        <f t="shared" si="33"/>
        <v/>
      </c>
      <c r="C1050" s="5" t="str">
        <f>IF(A1050="","",B1050*'Mortgage Inputs'!$B$15)</f>
        <v/>
      </c>
      <c r="D1050" s="5" t="str">
        <f>IF(A1050="","",MIN(B1050,MAX(0,'Mortgage Inputs'!$B$17-C1050)))</f>
        <v/>
      </c>
      <c r="E1050" s="5" t="str">
        <f t="shared" si="32"/>
        <v/>
      </c>
      <c r="F1050" s="5">
        <f>IF('Monthly Projection'!A1050="",0,'Monthly Projection'!G1050)</f>
        <v>0</v>
      </c>
    </row>
    <row r="1051" spans="1:6">
      <c r="A1051" t="str">
        <f>IF(AND('Mortgage Inputs'!$B$12,1045&lt;=IF('Mortgage Inputs'!$B$12,'Mortgage Inputs'!$B$7,0)*12+600,ISNUMBER(E1050),E1050&gt;0.005),1045,"")</f>
        <v/>
      </c>
      <c r="B1051" s="5" t="str">
        <f t="shared" si="33"/>
        <v/>
      </c>
      <c r="C1051" s="5" t="str">
        <f>IF(A1051="","",B1051*'Mortgage Inputs'!$B$15)</f>
        <v/>
      </c>
      <c r="D1051" s="5" t="str">
        <f>IF(A1051="","",MIN(B1051,MAX(0,'Mortgage Inputs'!$B$17-C1051)))</f>
        <v/>
      </c>
      <c r="E1051" s="5" t="str">
        <f t="shared" si="32"/>
        <v/>
      </c>
      <c r="F1051" s="5">
        <f>IF('Monthly Projection'!A1051="",0,'Monthly Projection'!G1051)</f>
        <v>0</v>
      </c>
    </row>
    <row r="1052" spans="1:6">
      <c r="A1052" t="str">
        <f>IF(AND('Mortgage Inputs'!$B$12,1046&lt;=IF('Mortgage Inputs'!$B$12,'Mortgage Inputs'!$B$7,0)*12+600,ISNUMBER(E1051),E1051&gt;0.005),1046,"")</f>
        <v/>
      </c>
      <c r="B1052" s="5" t="str">
        <f t="shared" si="33"/>
        <v/>
      </c>
      <c r="C1052" s="5" t="str">
        <f>IF(A1052="","",B1052*'Mortgage Inputs'!$B$15)</f>
        <v/>
      </c>
      <c r="D1052" s="5" t="str">
        <f>IF(A1052="","",MIN(B1052,MAX(0,'Mortgage Inputs'!$B$17-C1052)))</f>
        <v/>
      </c>
      <c r="E1052" s="5" t="str">
        <f t="shared" si="32"/>
        <v/>
      </c>
      <c r="F1052" s="5">
        <f>IF('Monthly Projection'!A1052="",0,'Monthly Projection'!G1052)</f>
        <v>0</v>
      </c>
    </row>
    <row r="1053" spans="1:6">
      <c r="A1053" t="str">
        <f>IF(AND('Mortgage Inputs'!$B$12,1047&lt;=IF('Mortgage Inputs'!$B$12,'Mortgage Inputs'!$B$7,0)*12+600,ISNUMBER(E1052),E1052&gt;0.005),1047,"")</f>
        <v/>
      </c>
      <c r="B1053" s="5" t="str">
        <f t="shared" si="33"/>
        <v/>
      </c>
      <c r="C1053" s="5" t="str">
        <f>IF(A1053="","",B1053*'Mortgage Inputs'!$B$15)</f>
        <v/>
      </c>
      <c r="D1053" s="5" t="str">
        <f>IF(A1053="","",MIN(B1053,MAX(0,'Mortgage Inputs'!$B$17-C1053)))</f>
        <v/>
      </c>
      <c r="E1053" s="5" t="str">
        <f t="shared" si="32"/>
        <v/>
      </c>
      <c r="F1053" s="5">
        <f>IF('Monthly Projection'!A1053="",0,'Monthly Projection'!G1053)</f>
        <v>0</v>
      </c>
    </row>
    <row r="1054" spans="1:6">
      <c r="A1054" t="str">
        <f>IF(AND('Mortgage Inputs'!$B$12,1048&lt;=IF('Mortgage Inputs'!$B$12,'Mortgage Inputs'!$B$7,0)*12+600,ISNUMBER(E1053),E1053&gt;0.005),1048,"")</f>
        <v/>
      </c>
      <c r="B1054" s="5" t="str">
        <f t="shared" si="33"/>
        <v/>
      </c>
      <c r="C1054" s="5" t="str">
        <f>IF(A1054="","",B1054*'Mortgage Inputs'!$B$15)</f>
        <v/>
      </c>
      <c r="D1054" s="5" t="str">
        <f>IF(A1054="","",MIN(B1054,MAX(0,'Mortgage Inputs'!$B$17-C1054)))</f>
        <v/>
      </c>
      <c r="E1054" s="5" t="str">
        <f t="shared" si="32"/>
        <v/>
      </c>
      <c r="F1054" s="5">
        <f>IF('Monthly Projection'!A1054="",0,'Monthly Projection'!G1054)</f>
        <v>0</v>
      </c>
    </row>
    <row r="1055" spans="1:6">
      <c r="A1055" t="str">
        <f>IF(AND('Mortgage Inputs'!$B$12,1049&lt;=IF('Mortgage Inputs'!$B$12,'Mortgage Inputs'!$B$7,0)*12+600,ISNUMBER(E1054),E1054&gt;0.005),1049,"")</f>
        <v/>
      </c>
      <c r="B1055" s="5" t="str">
        <f t="shared" si="33"/>
        <v/>
      </c>
      <c r="C1055" s="5" t="str">
        <f>IF(A1055="","",B1055*'Mortgage Inputs'!$B$15)</f>
        <v/>
      </c>
      <c r="D1055" s="5" t="str">
        <f>IF(A1055="","",MIN(B1055,MAX(0,'Mortgage Inputs'!$B$17-C1055)))</f>
        <v/>
      </c>
      <c r="E1055" s="5" t="str">
        <f t="shared" si="32"/>
        <v/>
      </c>
      <c r="F1055" s="5">
        <f>IF('Monthly Projection'!A1055="",0,'Monthly Projection'!G1055)</f>
        <v>0</v>
      </c>
    </row>
    <row r="1056" spans="1:6">
      <c r="A1056" t="str">
        <f>IF(AND('Mortgage Inputs'!$B$12,1050&lt;=IF('Mortgage Inputs'!$B$12,'Mortgage Inputs'!$B$7,0)*12+600,ISNUMBER(E1055),E1055&gt;0.005),1050,"")</f>
        <v/>
      </c>
      <c r="B1056" s="5" t="str">
        <f t="shared" si="33"/>
        <v/>
      </c>
      <c r="C1056" s="5" t="str">
        <f>IF(A1056="","",B1056*'Mortgage Inputs'!$B$15)</f>
        <v/>
      </c>
      <c r="D1056" s="5" t="str">
        <f>IF(A1056="","",MIN(B1056,MAX(0,'Mortgage Inputs'!$B$17-C1056)))</f>
        <v/>
      </c>
      <c r="E1056" s="5" t="str">
        <f t="shared" si="32"/>
        <v/>
      </c>
      <c r="F1056" s="5">
        <f>IF('Monthly Projection'!A1056="",0,'Monthly Projection'!G1056)</f>
        <v>0</v>
      </c>
    </row>
    <row r="1057" spans="1:6">
      <c r="A1057" t="str">
        <f>IF(AND('Mortgage Inputs'!$B$12,1051&lt;=IF('Mortgage Inputs'!$B$12,'Mortgage Inputs'!$B$7,0)*12+600,ISNUMBER(E1056),E1056&gt;0.005),1051,"")</f>
        <v/>
      </c>
      <c r="B1057" s="5" t="str">
        <f t="shared" si="33"/>
        <v/>
      </c>
      <c r="C1057" s="5" t="str">
        <f>IF(A1057="","",B1057*'Mortgage Inputs'!$B$15)</f>
        <v/>
      </c>
      <c r="D1057" s="5" t="str">
        <f>IF(A1057="","",MIN(B1057,MAX(0,'Mortgage Inputs'!$B$17-C1057)))</f>
        <v/>
      </c>
      <c r="E1057" s="5" t="str">
        <f t="shared" si="32"/>
        <v/>
      </c>
      <c r="F1057" s="5">
        <f>IF('Monthly Projection'!A1057="",0,'Monthly Projection'!G1057)</f>
        <v>0</v>
      </c>
    </row>
    <row r="1058" spans="1:6">
      <c r="A1058" t="str">
        <f>IF(AND('Mortgage Inputs'!$B$12,1052&lt;=IF('Mortgage Inputs'!$B$12,'Mortgage Inputs'!$B$7,0)*12+600,ISNUMBER(E1057),E1057&gt;0.005),1052,"")</f>
        <v/>
      </c>
      <c r="B1058" s="5" t="str">
        <f t="shared" si="33"/>
        <v/>
      </c>
      <c r="C1058" s="5" t="str">
        <f>IF(A1058="","",B1058*'Mortgage Inputs'!$B$15)</f>
        <v/>
      </c>
      <c r="D1058" s="5" t="str">
        <f>IF(A1058="","",MIN(B1058,MAX(0,'Mortgage Inputs'!$B$17-C1058)))</f>
        <v/>
      </c>
      <c r="E1058" s="5" t="str">
        <f t="shared" si="32"/>
        <v/>
      </c>
      <c r="F1058" s="5">
        <f>IF('Monthly Projection'!A1058="",0,'Monthly Projection'!G1058)</f>
        <v>0</v>
      </c>
    </row>
    <row r="1059" spans="1:6">
      <c r="A1059" t="str">
        <f>IF(AND('Mortgage Inputs'!$B$12,1053&lt;=IF('Mortgage Inputs'!$B$12,'Mortgage Inputs'!$B$7,0)*12+600,ISNUMBER(E1058),E1058&gt;0.005),1053,"")</f>
        <v/>
      </c>
      <c r="B1059" s="5" t="str">
        <f t="shared" si="33"/>
        <v/>
      </c>
      <c r="C1059" s="5" t="str">
        <f>IF(A1059="","",B1059*'Mortgage Inputs'!$B$15)</f>
        <v/>
      </c>
      <c r="D1059" s="5" t="str">
        <f>IF(A1059="","",MIN(B1059,MAX(0,'Mortgage Inputs'!$B$17-C1059)))</f>
        <v/>
      </c>
      <c r="E1059" s="5" t="str">
        <f t="shared" si="32"/>
        <v/>
      </c>
      <c r="F1059" s="5">
        <f>IF('Monthly Projection'!A1059="",0,'Monthly Projection'!G1059)</f>
        <v>0</v>
      </c>
    </row>
    <row r="1060" spans="1:6">
      <c r="A1060" t="str">
        <f>IF(AND('Mortgage Inputs'!$B$12,1054&lt;=IF('Mortgage Inputs'!$B$12,'Mortgage Inputs'!$B$7,0)*12+600,ISNUMBER(E1059),E1059&gt;0.005),1054,"")</f>
        <v/>
      </c>
      <c r="B1060" s="5" t="str">
        <f t="shared" si="33"/>
        <v/>
      </c>
      <c r="C1060" s="5" t="str">
        <f>IF(A1060="","",B1060*'Mortgage Inputs'!$B$15)</f>
        <v/>
      </c>
      <c r="D1060" s="5" t="str">
        <f>IF(A1060="","",MIN(B1060,MAX(0,'Mortgage Inputs'!$B$17-C1060)))</f>
        <v/>
      </c>
      <c r="E1060" s="5" t="str">
        <f t="shared" si="32"/>
        <v/>
      </c>
      <c r="F1060" s="5">
        <f>IF('Monthly Projection'!A1060="",0,'Monthly Projection'!G1060)</f>
        <v>0</v>
      </c>
    </row>
    <row r="1061" spans="1:6">
      <c r="A1061" t="str">
        <f>IF(AND('Mortgage Inputs'!$B$12,1055&lt;=IF('Mortgage Inputs'!$B$12,'Mortgage Inputs'!$B$7,0)*12+600,ISNUMBER(E1060),E1060&gt;0.005),1055,"")</f>
        <v/>
      </c>
      <c r="B1061" s="5" t="str">
        <f t="shared" si="33"/>
        <v/>
      </c>
      <c r="C1061" s="5" t="str">
        <f>IF(A1061="","",B1061*'Mortgage Inputs'!$B$15)</f>
        <v/>
      </c>
      <c r="D1061" s="5" t="str">
        <f>IF(A1061="","",MIN(B1061,MAX(0,'Mortgage Inputs'!$B$17-C1061)))</f>
        <v/>
      </c>
      <c r="E1061" s="5" t="str">
        <f t="shared" si="32"/>
        <v/>
      </c>
      <c r="F1061" s="5">
        <f>IF('Monthly Projection'!A1061="",0,'Monthly Projection'!G1061)</f>
        <v>0</v>
      </c>
    </row>
    <row r="1062" spans="1:6">
      <c r="A1062" t="str">
        <f>IF(AND('Mortgage Inputs'!$B$12,1056&lt;=IF('Mortgage Inputs'!$B$12,'Mortgage Inputs'!$B$7,0)*12+600,ISNUMBER(E1061),E1061&gt;0.005),1056,"")</f>
        <v/>
      </c>
      <c r="B1062" s="5" t="str">
        <f t="shared" si="33"/>
        <v/>
      </c>
      <c r="C1062" s="5" t="str">
        <f>IF(A1062="","",B1062*'Mortgage Inputs'!$B$15)</f>
        <v/>
      </c>
      <c r="D1062" s="5" t="str">
        <f>IF(A1062="","",MIN(B1062,MAX(0,'Mortgage Inputs'!$B$17-C1062)))</f>
        <v/>
      </c>
      <c r="E1062" s="5" t="str">
        <f t="shared" si="32"/>
        <v/>
      </c>
      <c r="F1062" s="5">
        <f>IF('Monthly Projection'!A1062="",0,'Monthly Projection'!G1062)</f>
        <v>0</v>
      </c>
    </row>
    <row r="1063" spans="1:6">
      <c r="A1063" t="str">
        <f>IF(AND('Mortgage Inputs'!$B$12,1057&lt;=IF('Mortgage Inputs'!$B$12,'Mortgage Inputs'!$B$7,0)*12+600,ISNUMBER(E1062),E1062&gt;0.005),1057,"")</f>
        <v/>
      </c>
      <c r="B1063" s="5" t="str">
        <f t="shared" si="33"/>
        <v/>
      </c>
      <c r="C1063" s="5" t="str">
        <f>IF(A1063="","",B1063*'Mortgage Inputs'!$B$15)</f>
        <v/>
      </c>
      <c r="D1063" s="5" t="str">
        <f>IF(A1063="","",MIN(B1063,MAX(0,'Mortgage Inputs'!$B$17-C1063)))</f>
        <v/>
      </c>
      <c r="E1063" s="5" t="str">
        <f t="shared" si="32"/>
        <v/>
      </c>
      <c r="F1063" s="5">
        <f>IF('Monthly Projection'!A1063="",0,'Monthly Projection'!G1063)</f>
        <v>0</v>
      </c>
    </row>
    <row r="1064" spans="1:6">
      <c r="A1064" t="str">
        <f>IF(AND('Mortgage Inputs'!$B$12,1058&lt;=IF('Mortgage Inputs'!$B$12,'Mortgage Inputs'!$B$7,0)*12+600,ISNUMBER(E1063),E1063&gt;0.005),1058,"")</f>
        <v/>
      </c>
      <c r="B1064" s="5" t="str">
        <f t="shared" si="33"/>
        <v/>
      </c>
      <c r="C1064" s="5" t="str">
        <f>IF(A1064="","",B1064*'Mortgage Inputs'!$B$15)</f>
        <v/>
      </c>
      <c r="D1064" s="5" t="str">
        <f>IF(A1064="","",MIN(B1064,MAX(0,'Mortgage Inputs'!$B$17-C1064)))</f>
        <v/>
      </c>
      <c r="E1064" s="5" t="str">
        <f t="shared" si="32"/>
        <v/>
      </c>
      <c r="F1064" s="5">
        <f>IF('Monthly Projection'!A1064="",0,'Monthly Projection'!G1064)</f>
        <v>0</v>
      </c>
    </row>
    <row r="1065" spans="1:6">
      <c r="A1065" t="str">
        <f>IF(AND('Mortgage Inputs'!$B$12,1059&lt;=IF('Mortgage Inputs'!$B$12,'Mortgage Inputs'!$B$7,0)*12+600,ISNUMBER(E1064),E1064&gt;0.005),1059,"")</f>
        <v/>
      </c>
      <c r="B1065" s="5" t="str">
        <f t="shared" si="33"/>
        <v/>
      </c>
      <c r="C1065" s="5" t="str">
        <f>IF(A1065="","",B1065*'Mortgage Inputs'!$B$15)</f>
        <v/>
      </c>
      <c r="D1065" s="5" t="str">
        <f>IF(A1065="","",MIN(B1065,MAX(0,'Mortgage Inputs'!$B$17-C1065)))</f>
        <v/>
      </c>
      <c r="E1065" s="5" t="str">
        <f t="shared" si="32"/>
        <v/>
      </c>
      <c r="F1065" s="5">
        <f>IF('Monthly Projection'!A1065="",0,'Monthly Projection'!G1065)</f>
        <v>0</v>
      </c>
    </row>
    <row r="1066" spans="1:6">
      <c r="A1066" t="str">
        <f>IF(AND('Mortgage Inputs'!$B$12,1060&lt;=IF('Mortgage Inputs'!$B$12,'Mortgage Inputs'!$B$7,0)*12+600,ISNUMBER(E1065),E1065&gt;0.005),1060,"")</f>
        <v/>
      </c>
      <c r="B1066" s="5" t="str">
        <f t="shared" si="33"/>
        <v/>
      </c>
      <c r="C1066" s="5" t="str">
        <f>IF(A1066="","",B1066*'Mortgage Inputs'!$B$15)</f>
        <v/>
      </c>
      <c r="D1066" s="5" t="str">
        <f>IF(A1066="","",MIN(B1066,MAX(0,'Mortgage Inputs'!$B$17-C1066)))</f>
        <v/>
      </c>
      <c r="E1066" s="5" t="str">
        <f t="shared" si="32"/>
        <v/>
      </c>
      <c r="F1066" s="5">
        <f>IF('Monthly Projection'!A1066="",0,'Monthly Projection'!G1066)</f>
        <v>0</v>
      </c>
    </row>
    <row r="1067" spans="1:6">
      <c r="A1067" t="str">
        <f>IF(AND('Mortgage Inputs'!$B$12,1061&lt;=IF('Mortgage Inputs'!$B$12,'Mortgage Inputs'!$B$7,0)*12+600,ISNUMBER(E1066),E1066&gt;0.005),1061,"")</f>
        <v/>
      </c>
      <c r="B1067" s="5" t="str">
        <f t="shared" si="33"/>
        <v/>
      </c>
      <c r="C1067" s="5" t="str">
        <f>IF(A1067="","",B1067*'Mortgage Inputs'!$B$15)</f>
        <v/>
      </c>
      <c r="D1067" s="5" t="str">
        <f>IF(A1067="","",MIN(B1067,MAX(0,'Mortgage Inputs'!$B$17-C1067)))</f>
        <v/>
      </c>
      <c r="E1067" s="5" t="str">
        <f t="shared" si="32"/>
        <v/>
      </c>
      <c r="F1067" s="5">
        <f>IF('Monthly Projection'!A1067="",0,'Monthly Projection'!G1067)</f>
        <v>0</v>
      </c>
    </row>
    <row r="1068" spans="1:6">
      <c r="A1068" t="str">
        <f>IF(AND('Mortgage Inputs'!$B$12,1062&lt;=IF('Mortgage Inputs'!$B$12,'Mortgage Inputs'!$B$7,0)*12+600,ISNUMBER(E1067),E1067&gt;0.005),1062,"")</f>
        <v/>
      </c>
      <c r="B1068" s="5" t="str">
        <f t="shared" si="33"/>
        <v/>
      </c>
      <c r="C1068" s="5" t="str">
        <f>IF(A1068="","",B1068*'Mortgage Inputs'!$B$15)</f>
        <v/>
      </c>
      <c r="D1068" s="5" t="str">
        <f>IF(A1068="","",MIN(B1068,MAX(0,'Mortgage Inputs'!$B$17-C1068)))</f>
        <v/>
      </c>
      <c r="E1068" s="5" t="str">
        <f t="shared" si="32"/>
        <v/>
      </c>
      <c r="F1068" s="5">
        <f>IF('Monthly Projection'!A1068="",0,'Monthly Projection'!G1068)</f>
        <v>0</v>
      </c>
    </row>
    <row r="1069" spans="1:6">
      <c r="A1069" t="str">
        <f>IF(AND('Mortgage Inputs'!$B$12,1063&lt;=IF('Mortgage Inputs'!$B$12,'Mortgage Inputs'!$B$7,0)*12+600,ISNUMBER(E1068),E1068&gt;0.005),1063,"")</f>
        <v/>
      </c>
      <c r="B1069" s="5" t="str">
        <f t="shared" si="33"/>
        <v/>
      </c>
      <c r="C1069" s="5" t="str">
        <f>IF(A1069="","",B1069*'Mortgage Inputs'!$B$15)</f>
        <v/>
      </c>
      <c r="D1069" s="5" t="str">
        <f>IF(A1069="","",MIN(B1069,MAX(0,'Mortgage Inputs'!$B$17-C1069)))</f>
        <v/>
      </c>
      <c r="E1069" s="5" t="str">
        <f t="shared" si="32"/>
        <v/>
      </c>
      <c r="F1069" s="5">
        <f>IF('Monthly Projection'!A1069="",0,'Monthly Projection'!G1069)</f>
        <v>0</v>
      </c>
    </row>
    <row r="1070" spans="1:6">
      <c r="A1070" t="str">
        <f>IF(AND('Mortgage Inputs'!$B$12,1064&lt;=IF('Mortgage Inputs'!$B$12,'Mortgage Inputs'!$B$7,0)*12+600,ISNUMBER(E1069),E1069&gt;0.005),1064,"")</f>
        <v/>
      </c>
      <c r="B1070" s="5" t="str">
        <f t="shared" si="33"/>
        <v/>
      </c>
      <c r="C1070" s="5" t="str">
        <f>IF(A1070="","",B1070*'Mortgage Inputs'!$B$15)</f>
        <v/>
      </c>
      <c r="D1070" s="5" t="str">
        <f>IF(A1070="","",MIN(B1070,MAX(0,'Mortgage Inputs'!$B$17-C1070)))</f>
        <v/>
      </c>
      <c r="E1070" s="5" t="str">
        <f t="shared" si="32"/>
        <v/>
      </c>
      <c r="F1070" s="5">
        <f>IF('Monthly Projection'!A1070="",0,'Monthly Projection'!G1070)</f>
        <v>0</v>
      </c>
    </row>
    <row r="1071" spans="1:6">
      <c r="A1071" t="str">
        <f>IF(AND('Mortgage Inputs'!$B$12,1065&lt;=IF('Mortgage Inputs'!$B$12,'Mortgage Inputs'!$B$7,0)*12+600,ISNUMBER(E1070),E1070&gt;0.005),1065,"")</f>
        <v/>
      </c>
      <c r="B1071" s="5" t="str">
        <f t="shared" si="33"/>
        <v/>
      </c>
      <c r="C1071" s="5" t="str">
        <f>IF(A1071="","",B1071*'Mortgage Inputs'!$B$15)</f>
        <v/>
      </c>
      <c r="D1071" s="5" t="str">
        <f>IF(A1071="","",MIN(B1071,MAX(0,'Mortgage Inputs'!$B$17-C1071)))</f>
        <v/>
      </c>
      <c r="E1071" s="5" t="str">
        <f t="shared" si="32"/>
        <v/>
      </c>
      <c r="F1071" s="5">
        <f>IF('Monthly Projection'!A1071="",0,'Monthly Projection'!G1071)</f>
        <v>0</v>
      </c>
    </row>
    <row r="1072" spans="1:6">
      <c r="A1072" t="str">
        <f>IF(AND('Mortgage Inputs'!$B$12,1066&lt;=IF('Mortgage Inputs'!$B$12,'Mortgage Inputs'!$B$7,0)*12+600,ISNUMBER(E1071),E1071&gt;0.005),1066,"")</f>
        <v/>
      </c>
      <c r="B1072" s="5" t="str">
        <f t="shared" si="33"/>
        <v/>
      </c>
      <c r="C1072" s="5" t="str">
        <f>IF(A1072="","",B1072*'Mortgage Inputs'!$B$15)</f>
        <v/>
      </c>
      <c r="D1072" s="5" t="str">
        <f>IF(A1072="","",MIN(B1072,MAX(0,'Mortgage Inputs'!$B$17-C1072)))</f>
        <v/>
      </c>
      <c r="E1072" s="5" t="str">
        <f t="shared" si="32"/>
        <v/>
      </c>
      <c r="F1072" s="5">
        <f>IF('Monthly Projection'!A1072="",0,'Monthly Projection'!G1072)</f>
        <v>0</v>
      </c>
    </row>
    <row r="1073" spans="1:6">
      <c r="A1073" t="str">
        <f>IF(AND('Mortgage Inputs'!$B$12,1067&lt;=IF('Mortgage Inputs'!$B$12,'Mortgage Inputs'!$B$7,0)*12+600,ISNUMBER(E1072),E1072&gt;0.005),1067,"")</f>
        <v/>
      </c>
      <c r="B1073" s="5" t="str">
        <f t="shared" si="33"/>
        <v/>
      </c>
      <c r="C1073" s="5" t="str">
        <f>IF(A1073="","",B1073*'Mortgage Inputs'!$B$15)</f>
        <v/>
      </c>
      <c r="D1073" s="5" t="str">
        <f>IF(A1073="","",MIN(B1073,MAX(0,'Mortgage Inputs'!$B$17-C1073)))</f>
        <v/>
      </c>
      <c r="E1073" s="5" t="str">
        <f t="shared" si="32"/>
        <v/>
      </c>
      <c r="F1073" s="5">
        <f>IF('Monthly Projection'!A1073="",0,'Monthly Projection'!G1073)</f>
        <v>0</v>
      </c>
    </row>
    <row r="1074" spans="1:6">
      <c r="A1074" t="str">
        <f>IF(AND('Mortgage Inputs'!$B$12,1068&lt;=IF('Mortgage Inputs'!$B$12,'Mortgage Inputs'!$B$7,0)*12+600,ISNUMBER(E1073),E1073&gt;0.005),1068,"")</f>
        <v/>
      </c>
      <c r="B1074" s="5" t="str">
        <f t="shared" si="33"/>
        <v/>
      </c>
      <c r="C1074" s="5" t="str">
        <f>IF(A1074="","",B1074*'Mortgage Inputs'!$B$15)</f>
        <v/>
      </c>
      <c r="D1074" s="5" t="str">
        <f>IF(A1074="","",MIN(B1074,MAX(0,'Mortgage Inputs'!$B$17-C1074)))</f>
        <v/>
      </c>
      <c r="E1074" s="5" t="str">
        <f t="shared" si="32"/>
        <v/>
      </c>
      <c r="F1074" s="5">
        <f>IF('Monthly Projection'!A1074="",0,'Monthly Projection'!G1074)</f>
        <v>0</v>
      </c>
    </row>
    <row r="1075" spans="1:6">
      <c r="A1075" t="str">
        <f>IF(AND('Mortgage Inputs'!$B$12,1069&lt;=IF('Mortgage Inputs'!$B$12,'Mortgage Inputs'!$B$7,0)*12+600,ISNUMBER(E1074),E1074&gt;0.005),1069,"")</f>
        <v/>
      </c>
      <c r="B1075" s="5" t="str">
        <f t="shared" si="33"/>
        <v/>
      </c>
      <c r="C1075" s="5" t="str">
        <f>IF(A1075="","",B1075*'Mortgage Inputs'!$B$15)</f>
        <v/>
      </c>
      <c r="D1075" s="5" t="str">
        <f>IF(A1075="","",MIN(B1075,MAX(0,'Mortgage Inputs'!$B$17-C1075)))</f>
        <v/>
      </c>
      <c r="E1075" s="5" t="str">
        <f t="shared" si="32"/>
        <v/>
      </c>
      <c r="F1075" s="5">
        <f>IF('Monthly Projection'!A1075="",0,'Monthly Projection'!G1075)</f>
        <v>0</v>
      </c>
    </row>
    <row r="1076" spans="1:6">
      <c r="A1076" t="str">
        <f>IF(AND('Mortgage Inputs'!$B$12,1070&lt;=IF('Mortgage Inputs'!$B$12,'Mortgage Inputs'!$B$7,0)*12+600,ISNUMBER(E1075),E1075&gt;0.005),1070,"")</f>
        <v/>
      </c>
      <c r="B1076" s="5" t="str">
        <f t="shared" si="33"/>
        <v/>
      </c>
      <c r="C1076" s="5" t="str">
        <f>IF(A1076="","",B1076*'Mortgage Inputs'!$B$15)</f>
        <v/>
      </c>
      <c r="D1076" s="5" t="str">
        <f>IF(A1076="","",MIN(B1076,MAX(0,'Mortgage Inputs'!$B$17-C1076)))</f>
        <v/>
      </c>
      <c r="E1076" s="5" t="str">
        <f t="shared" si="32"/>
        <v/>
      </c>
      <c r="F1076" s="5">
        <f>IF('Monthly Projection'!A1076="",0,'Monthly Projection'!G1076)</f>
        <v>0</v>
      </c>
    </row>
    <row r="1077" spans="1:6">
      <c r="A1077" t="str">
        <f>IF(AND('Mortgage Inputs'!$B$12,1071&lt;=IF('Mortgage Inputs'!$B$12,'Mortgage Inputs'!$B$7,0)*12+600,ISNUMBER(E1076),E1076&gt;0.005),1071,"")</f>
        <v/>
      </c>
      <c r="B1077" s="5" t="str">
        <f t="shared" si="33"/>
        <v/>
      </c>
      <c r="C1077" s="5" t="str">
        <f>IF(A1077="","",B1077*'Mortgage Inputs'!$B$15)</f>
        <v/>
      </c>
      <c r="D1077" s="5" t="str">
        <f>IF(A1077="","",MIN(B1077,MAX(0,'Mortgage Inputs'!$B$17-C1077)))</f>
        <v/>
      </c>
      <c r="E1077" s="5" t="str">
        <f t="shared" si="32"/>
        <v/>
      </c>
      <c r="F1077" s="5">
        <f>IF('Monthly Projection'!A1077="",0,'Monthly Projection'!G1077)</f>
        <v>0</v>
      </c>
    </row>
    <row r="1078" spans="1:6">
      <c r="A1078" t="str">
        <f>IF(AND('Mortgage Inputs'!$B$12,1072&lt;=IF('Mortgage Inputs'!$B$12,'Mortgage Inputs'!$B$7,0)*12+600,ISNUMBER(E1077),E1077&gt;0.005),1072,"")</f>
        <v/>
      </c>
      <c r="B1078" s="5" t="str">
        <f t="shared" si="33"/>
        <v/>
      </c>
      <c r="C1078" s="5" t="str">
        <f>IF(A1078="","",B1078*'Mortgage Inputs'!$B$15)</f>
        <v/>
      </c>
      <c r="D1078" s="5" t="str">
        <f>IF(A1078="","",MIN(B1078,MAX(0,'Mortgage Inputs'!$B$17-C1078)))</f>
        <v/>
      </c>
      <c r="E1078" s="5" t="str">
        <f t="shared" si="32"/>
        <v/>
      </c>
      <c r="F1078" s="5">
        <f>IF('Monthly Projection'!A1078="",0,'Monthly Projection'!G1078)</f>
        <v>0</v>
      </c>
    </row>
    <row r="1079" spans="1:6">
      <c r="A1079" t="str">
        <f>IF(AND('Mortgage Inputs'!$B$12,1073&lt;=IF('Mortgage Inputs'!$B$12,'Mortgage Inputs'!$B$7,0)*12+600,ISNUMBER(E1078),E1078&gt;0.005),1073,"")</f>
        <v/>
      </c>
      <c r="B1079" s="5" t="str">
        <f t="shared" si="33"/>
        <v/>
      </c>
      <c r="C1079" s="5" t="str">
        <f>IF(A1079="","",B1079*'Mortgage Inputs'!$B$15)</f>
        <v/>
      </c>
      <c r="D1079" s="5" t="str">
        <f>IF(A1079="","",MIN(B1079,MAX(0,'Mortgage Inputs'!$B$17-C1079)))</f>
        <v/>
      </c>
      <c r="E1079" s="5" t="str">
        <f t="shared" si="32"/>
        <v/>
      </c>
      <c r="F1079" s="5">
        <f>IF('Monthly Projection'!A1079="",0,'Monthly Projection'!G1079)</f>
        <v>0</v>
      </c>
    </row>
    <row r="1080" spans="1:6">
      <c r="A1080" t="str">
        <f>IF(AND('Mortgage Inputs'!$B$12,1074&lt;=IF('Mortgage Inputs'!$B$12,'Mortgage Inputs'!$B$7,0)*12+600,ISNUMBER(E1079),E1079&gt;0.005),1074,"")</f>
        <v/>
      </c>
      <c r="B1080" s="5" t="str">
        <f t="shared" si="33"/>
        <v/>
      </c>
      <c r="C1080" s="5" t="str">
        <f>IF(A1080="","",B1080*'Mortgage Inputs'!$B$15)</f>
        <v/>
      </c>
      <c r="D1080" s="5" t="str">
        <f>IF(A1080="","",MIN(B1080,MAX(0,'Mortgage Inputs'!$B$17-C1080)))</f>
        <v/>
      </c>
      <c r="E1080" s="5" t="str">
        <f t="shared" si="32"/>
        <v/>
      </c>
      <c r="F1080" s="5">
        <f>IF('Monthly Projection'!A1080="",0,'Monthly Projection'!G1080)</f>
        <v>0</v>
      </c>
    </row>
    <row r="1081" spans="1:6">
      <c r="A1081" t="str">
        <f>IF(AND('Mortgage Inputs'!$B$12,1075&lt;=IF('Mortgage Inputs'!$B$12,'Mortgage Inputs'!$B$7,0)*12+600,ISNUMBER(E1080),E1080&gt;0.005),1075,"")</f>
        <v/>
      </c>
      <c r="B1081" s="5" t="str">
        <f t="shared" si="33"/>
        <v/>
      </c>
      <c r="C1081" s="5" t="str">
        <f>IF(A1081="","",B1081*'Mortgage Inputs'!$B$15)</f>
        <v/>
      </c>
      <c r="D1081" s="5" t="str">
        <f>IF(A1081="","",MIN(B1081,MAX(0,'Mortgage Inputs'!$B$17-C1081)))</f>
        <v/>
      </c>
      <c r="E1081" s="5" t="str">
        <f t="shared" si="32"/>
        <v/>
      </c>
      <c r="F1081" s="5">
        <f>IF('Monthly Projection'!A1081="",0,'Monthly Projection'!G1081)</f>
        <v>0</v>
      </c>
    </row>
    <row r="1082" spans="1:6">
      <c r="A1082" t="str">
        <f>IF(AND('Mortgage Inputs'!$B$12,1076&lt;=IF('Mortgage Inputs'!$B$12,'Mortgage Inputs'!$B$7,0)*12+600,ISNUMBER(E1081),E1081&gt;0.005),1076,"")</f>
        <v/>
      </c>
      <c r="B1082" s="5" t="str">
        <f t="shared" si="33"/>
        <v/>
      </c>
      <c r="C1082" s="5" t="str">
        <f>IF(A1082="","",B1082*'Mortgage Inputs'!$B$15)</f>
        <v/>
      </c>
      <c r="D1082" s="5" t="str">
        <f>IF(A1082="","",MIN(B1082,MAX(0,'Mortgage Inputs'!$B$17-C1082)))</f>
        <v/>
      </c>
      <c r="E1082" s="5" t="str">
        <f t="shared" si="32"/>
        <v/>
      </c>
      <c r="F1082" s="5">
        <f>IF('Monthly Projection'!A1082="",0,'Monthly Projection'!G1082)</f>
        <v>0</v>
      </c>
    </row>
    <row r="1083" spans="1:6">
      <c r="A1083" t="str">
        <f>IF(AND('Mortgage Inputs'!$B$12,1077&lt;=IF('Mortgage Inputs'!$B$12,'Mortgage Inputs'!$B$7,0)*12+600,ISNUMBER(E1082),E1082&gt;0.005),1077,"")</f>
        <v/>
      </c>
      <c r="B1083" s="5" t="str">
        <f t="shared" si="33"/>
        <v/>
      </c>
      <c r="C1083" s="5" t="str">
        <f>IF(A1083="","",B1083*'Mortgage Inputs'!$B$15)</f>
        <v/>
      </c>
      <c r="D1083" s="5" t="str">
        <f>IF(A1083="","",MIN(B1083,MAX(0,'Mortgage Inputs'!$B$17-C1083)))</f>
        <v/>
      </c>
      <c r="E1083" s="5" t="str">
        <f t="shared" si="32"/>
        <v/>
      </c>
      <c r="F1083" s="5">
        <f>IF('Monthly Projection'!A1083="",0,'Monthly Projection'!G1083)</f>
        <v>0</v>
      </c>
    </row>
    <row r="1084" spans="1:6">
      <c r="A1084" t="str">
        <f>IF(AND('Mortgage Inputs'!$B$12,1078&lt;=IF('Mortgage Inputs'!$B$12,'Mortgage Inputs'!$B$7,0)*12+600,ISNUMBER(E1083),E1083&gt;0.005),1078,"")</f>
        <v/>
      </c>
      <c r="B1084" s="5" t="str">
        <f t="shared" si="33"/>
        <v/>
      </c>
      <c r="C1084" s="5" t="str">
        <f>IF(A1084="","",B1084*'Mortgage Inputs'!$B$15)</f>
        <v/>
      </c>
      <c r="D1084" s="5" t="str">
        <f>IF(A1084="","",MIN(B1084,MAX(0,'Mortgage Inputs'!$B$17-C1084)))</f>
        <v/>
      </c>
      <c r="E1084" s="5" t="str">
        <f t="shared" si="32"/>
        <v/>
      </c>
      <c r="F1084" s="5">
        <f>IF('Monthly Projection'!A1084="",0,'Monthly Projection'!G1084)</f>
        <v>0</v>
      </c>
    </row>
    <row r="1085" spans="1:6">
      <c r="A1085" t="str">
        <f>IF(AND('Mortgage Inputs'!$B$12,1079&lt;=IF('Mortgage Inputs'!$B$12,'Mortgage Inputs'!$B$7,0)*12+600,ISNUMBER(E1084),E1084&gt;0.005),1079,"")</f>
        <v/>
      </c>
      <c r="B1085" s="5" t="str">
        <f t="shared" si="33"/>
        <v/>
      </c>
      <c r="C1085" s="5" t="str">
        <f>IF(A1085="","",B1085*'Mortgage Inputs'!$B$15)</f>
        <v/>
      </c>
      <c r="D1085" s="5" t="str">
        <f>IF(A1085="","",MIN(B1085,MAX(0,'Mortgage Inputs'!$B$17-C1085)))</f>
        <v/>
      </c>
      <c r="E1085" s="5" t="str">
        <f t="shared" si="32"/>
        <v/>
      </c>
      <c r="F1085" s="5">
        <f>IF('Monthly Projection'!A1085="",0,'Monthly Projection'!G1085)</f>
        <v>0</v>
      </c>
    </row>
    <row r="1086" spans="1:6">
      <c r="A1086" t="str">
        <f>IF(AND('Mortgage Inputs'!$B$12,1080&lt;=IF('Mortgage Inputs'!$B$12,'Mortgage Inputs'!$B$7,0)*12+600,ISNUMBER(E1085),E1085&gt;0.005),1080,"")</f>
        <v/>
      </c>
      <c r="B1086" s="5" t="str">
        <f t="shared" si="33"/>
        <v/>
      </c>
      <c r="C1086" s="5" t="str">
        <f>IF(A1086="","",B1086*'Mortgage Inputs'!$B$15)</f>
        <v/>
      </c>
      <c r="D1086" s="5" t="str">
        <f>IF(A1086="","",MIN(B1086,MAX(0,'Mortgage Inputs'!$B$17-C1086)))</f>
        <v/>
      </c>
      <c r="E1086" s="5" t="str">
        <f t="shared" si="32"/>
        <v/>
      </c>
      <c r="F1086" s="5">
        <f>IF('Monthly Projection'!A1086="",0,'Monthly Projection'!G1086)</f>
        <v>0</v>
      </c>
    </row>
  </sheetData>
  <sheetProtection sheet="1" objects="1" scenarios="1"/>
  <mergeCells count="1">
    <mergeCell ref="A1:H2"/>
  </mergeCells>
  <pageMargins left="0.39370078740157477" right="0.39370078740157477" top="0.39370078740157477" bottom="0.39370078740157477" header="0.3" footer="0.3"/>
  <pageSetup paperSize="9" fitToHeight="0" orientation="landscape" r:id="rId1"/>
  <headerFooter>
    <oddFooter>&amp;CCalcy | Page &amp;P&amp;Rcalcy.com.au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AF4EE"/>
    <pageSetUpPr fitToPage="1"/>
  </sheetPr>
  <dimension ref="A1:H90"/>
  <sheetViews>
    <sheetView showGridLines="0" zoomScaleNormal="100" workbookViewId="0">
      <pane ySplit="40" topLeftCell="A41" activePane="bottomLeft" state="frozen"/>
      <selection pane="bottomLeft" sqref="A1:H2"/>
    </sheetView>
  </sheetViews>
  <sheetFormatPr defaultRowHeight="14.15"/>
  <cols>
    <col min="1" max="1" width="28" customWidth="1"/>
    <col min="2" max="8" width="16" customWidth="1"/>
  </cols>
  <sheetData>
    <row r="1" spans="1:8" ht="22" customHeight="1">
      <c r="A1" s="12" t="s">
        <v>49</v>
      </c>
      <c r="B1" s="12" t="s">
        <v>49</v>
      </c>
      <c r="C1" s="12" t="s">
        <v>49</v>
      </c>
      <c r="D1" s="12" t="s">
        <v>49</v>
      </c>
      <c r="E1" s="12" t="s">
        <v>49</v>
      </c>
      <c r="F1" s="12" t="s">
        <v>49</v>
      </c>
      <c r="G1" s="12" t="s">
        <v>49</v>
      </c>
      <c r="H1" s="12" t="s">
        <v>49</v>
      </c>
    </row>
    <row r="2" spans="1:8" ht="22" customHeight="1">
      <c r="A2" s="12" t="s">
        <v>49</v>
      </c>
      <c r="B2" s="12" t="s">
        <v>49</v>
      </c>
      <c r="C2" s="12" t="s">
        <v>49</v>
      </c>
      <c r="D2" s="12" t="s">
        <v>49</v>
      </c>
      <c r="E2" s="12" t="s">
        <v>49</v>
      </c>
      <c r="F2" s="12" t="s">
        <v>49</v>
      </c>
      <c r="G2" s="12" t="s">
        <v>49</v>
      </c>
      <c r="H2" s="12" t="s">
        <v>49</v>
      </c>
    </row>
    <row r="3" spans="1:8" ht="22" customHeight="1">
      <c r="A3" s="1"/>
      <c r="B3" s="1"/>
      <c r="C3" s="1"/>
      <c r="D3" s="1"/>
      <c r="E3" s="1"/>
      <c r="F3" s="1"/>
      <c r="G3" s="1"/>
      <c r="H3" s="1"/>
    </row>
    <row r="4" spans="1:8" ht="22" customHeight="1">
      <c r="A4" s="1"/>
      <c r="B4" s="1"/>
      <c r="C4" s="1"/>
      <c r="D4" s="1"/>
      <c r="E4" s="1"/>
      <c r="F4" s="1"/>
      <c r="G4" s="1"/>
      <c r="H4" s="1"/>
    </row>
    <row r="5" spans="1:8" ht="22" customHeight="1">
      <c r="A5" s="1"/>
      <c r="B5" s="1"/>
      <c r="C5" s="1"/>
      <c r="D5" s="1"/>
      <c r="E5" s="1"/>
      <c r="F5" s="1"/>
      <c r="G5" s="1"/>
      <c r="H5" s="1"/>
    </row>
    <row r="6" spans="1:8" ht="22" customHeight="1">
      <c r="A6" s="1"/>
      <c r="B6" s="1"/>
      <c r="C6" s="1"/>
      <c r="D6" s="1"/>
      <c r="E6" s="1"/>
      <c r="F6" s="1"/>
      <c r="G6" s="1"/>
      <c r="H6" s="1"/>
    </row>
    <row r="7" spans="1:8" ht="22" customHeight="1">
      <c r="A7" s="1"/>
      <c r="B7" s="1"/>
      <c r="C7" s="1"/>
      <c r="D7" s="1"/>
      <c r="E7" s="1"/>
      <c r="F7" s="1"/>
      <c r="G7" s="1"/>
      <c r="H7" s="1"/>
    </row>
    <row r="8" spans="1:8" ht="22" customHeight="1">
      <c r="A8" s="1"/>
      <c r="B8" s="1"/>
      <c r="C8" s="1"/>
      <c r="D8" s="1"/>
      <c r="E8" s="1"/>
      <c r="F8" s="1"/>
      <c r="G8" s="1"/>
      <c r="H8" s="1"/>
    </row>
    <row r="9" spans="1:8" ht="22" customHeight="1">
      <c r="A9" s="1"/>
      <c r="B9" s="1"/>
      <c r="C9" s="1"/>
      <c r="D9" s="1"/>
      <c r="E9" s="1"/>
      <c r="F9" s="1"/>
      <c r="G9" s="1"/>
      <c r="H9" s="1"/>
    </row>
    <row r="10" spans="1:8" ht="22" customHeight="1">
      <c r="A10" s="1"/>
      <c r="B10" s="1"/>
      <c r="C10" s="1"/>
      <c r="D10" s="1"/>
      <c r="E10" s="1"/>
      <c r="F10" s="1"/>
      <c r="G10" s="1"/>
      <c r="H10" s="1"/>
    </row>
    <row r="11" spans="1:8" ht="22" customHeight="1">
      <c r="A11" s="1"/>
      <c r="B11" s="1"/>
      <c r="C11" s="1"/>
      <c r="D11" s="1"/>
      <c r="E11" s="1"/>
      <c r="F11" s="1"/>
      <c r="G11" s="1"/>
      <c r="H11" s="1"/>
    </row>
    <row r="12" spans="1:8" ht="22" customHeight="1">
      <c r="A12" s="1"/>
      <c r="B12" s="1"/>
      <c r="C12" s="1"/>
      <c r="D12" s="1"/>
      <c r="E12" s="1"/>
      <c r="F12" s="1"/>
      <c r="G12" s="1"/>
      <c r="H12" s="1"/>
    </row>
    <row r="13" spans="1:8" ht="22" customHeight="1">
      <c r="A13" s="1"/>
      <c r="B13" s="1"/>
      <c r="C13" s="1"/>
      <c r="D13" s="1"/>
      <c r="E13" s="1"/>
      <c r="F13" s="1"/>
      <c r="G13" s="1"/>
      <c r="H13" s="1"/>
    </row>
    <row r="14" spans="1:8" ht="22" customHeight="1">
      <c r="A14" s="1"/>
      <c r="B14" s="1"/>
      <c r="C14" s="1"/>
      <c r="D14" s="1"/>
      <c r="E14" s="1"/>
      <c r="F14" s="1"/>
      <c r="G14" s="1"/>
      <c r="H14" s="1"/>
    </row>
    <row r="15" spans="1:8" ht="22" customHeight="1">
      <c r="A15" s="1"/>
      <c r="B15" s="1"/>
      <c r="C15" s="1"/>
      <c r="D15" s="1"/>
      <c r="E15" s="1"/>
      <c r="F15" s="1"/>
      <c r="G15" s="1"/>
      <c r="H15" s="1"/>
    </row>
    <row r="16" spans="1:8" ht="22" customHeight="1">
      <c r="A16" s="1"/>
      <c r="B16" s="1"/>
      <c r="C16" s="1"/>
      <c r="D16" s="1"/>
      <c r="E16" s="1"/>
      <c r="F16" s="1"/>
      <c r="G16" s="1"/>
      <c r="H16" s="1"/>
    </row>
    <row r="17" spans="1:8" ht="22" customHeight="1">
      <c r="A17" s="1"/>
      <c r="B17" s="1"/>
      <c r="C17" s="1"/>
      <c r="D17" s="1"/>
      <c r="E17" s="1"/>
      <c r="F17" s="1"/>
      <c r="G17" s="1"/>
      <c r="H17" s="1"/>
    </row>
    <row r="18" spans="1:8" ht="22" customHeight="1">
      <c r="A18" s="1"/>
      <c r="B18" s="1"/>
      <c r="C18" s="1"/>
      <c r="D18" s="1"/>
      <c r="E18" s="1"/>
      <c r="F18" s="1"/>
      <c r="G18" s="1"/>
      <c r="H18" s="1"/>
    </row>
    <row r="19" spans="1:8" ht="22" customHeight="1">
      <c r="A19" s="1"/>
      <c r="B19" s="1"/>
      <c r="C19" s="1"/>
      <c r="D19" s="1"/>
      <c r="E19" s="1"/>
      <c r="F19" s="1"/>
      <c r="G19" s="1"/>
      <c r="H19" s="1"/>
    </row>
    <row r="20" spans="1:8" ht="22" customHeight="1">
      <c r="A20" s="1"/>
      <c r="B20" s="1"/>
      <c r="C20" s="1"/>
      <c r="D20" s="1"/>
      <c r="E20" s="1"/>
      <c r="F20" s="1"/>
      <c r="G20" s="1"/>
      <c r="H20" s="1"/>
    </row>
    <row r="21" spans="1:8" ht="22" customHeight="1">
      <c r="A21" s="1"/>
      <c r="B21" s="1"/>
      <c r="C21" s="1"/>
      <c r="D21" s="1"/>
      <c r="E21" s="1"/>
      <c r="F21" s="1"/>
      <c r="G21" s="1"/>
      <c r="H21" s="1"/>
    </row>
    <row r="22" spans="1:8" ht="22" customHeight="1">
      <c r="A22" s="1"/>
      <c r="B22" s="1"/>
      <c r="C22" s="1"/>
      <c r="D22" s="1"/>
      <c r="E22" s="1"/>
      <c r="F22" s="1"/>
      <c r="G22" s="1"/>
      <c r="H22" s="1"/>
    </row>
    <row r="23" spans="1:8" ht="24" customHeight="1">
      <c r="A23" s="14" t="s">
        <v>50</v>
      </c>
      <c r="B23" s="14" t="s">
        <v>50</v>
      </c>
      <c r="C23" s="14" t="s">
        <v>50</v>
      </c>
      <c r="D23" s="14" t="s">
        <v>50</v>
      </c>
      <c r="E23" s="14" t="s">
        <v>50</v>
      </c>
      <c r="F23" s="14" t="s">
        <v>50</v>
      </c>
      <c r="G23" s="14" t="s">
        <v>50</v>
      </c>
      <c r="H23" s="14" t="s">
        <v>50</v>
      </c>
    </row>
    <row r="24" spans="1:8" ht="24" customHeight="1">
      <c r="A24" s="14" t="s">
        <v>50</v>
      </c>
      <c r="B24" s="14" t="s">
        <v>50</v>
      </c>
      <c r="C24" s="14" t="s">
        <v>50</v>
      </c>
      <c r="D24" s="14" t="s">
        <v>50</v>
      </c>
      <c r="E24" s="14" t="s">
        <v>50</v>
      </c>
      <c r="F24" s="14" t="s">
        <v>50</v>
      </c>
      <c r="G24" s="14" t="s">
        <v>50</v>
      </c>
      <c r="H24" s="14" t="s">
        <v>50</v>
      </c>
    </row>
    <row r="25" spans="1:8" ht="22" customHeight="1">
      <c r="A25" s="1"/>
      <c r="B25" s="1"/>
      <c r="C25" s="1"/>
      <c r="D25" s="1"/>
      <c r="E25" s="1"/>
      <c r="F25" s="1"/>
      <c r="G25" s="1"/>
      <c r="H25" s="1"/>
    </row>
    <row r="26" spans="1:8" ht="22" customHeight="1">
      <c r="A26" s="1"/>
      <c r="B26" s="1"/>
      <c r="C26" s="1"/>
      <c r="D26" s="1"/>
      <c r="E26" s="1"/>
      <c r="F26" s="1"/>
      <c r="G26" s="1"/>
      <c r="H26" s="1"/>
    </row>
    <row r="27" spans="1:8" ht="22" customHeight="1">
      <c r="A27" s="1"/>
      <c r="B27" s="1"/>
      <c r="C27" s="1"/>
      <c r="D27" s="1"/>
      <c r="E27" s="1"/>
      <c r="F27" s="1"/>
      <c r="G27" s="1"/>
      <c r="H27" s="1"/>
    </row>
    <row r="28" spans="1:8" ht="22" customHeight="1">
      <c r="A28" s="1"/>
      <c r="B28" s="1"/>
      <c r="C28" s="1"/>
      <c r="D28" s="1"/>
      <c r="E28" s="1"/>
      <c r="F28" s="1"/>
      <c r="G28" s="1"/>
      <c r="H28" s="1"/>
    </row>
    <row r="29" spans="1:8" ht="22" customHeight="1">
      <c r="A29" s="1"/>
      <c r="B29" s="1"/>
      <c r="C29" s="1"/>
      <c r="D29" s="1"/>
      <c r="E29" s="1"/>
      <c r="F29" s="1"/>
      <c r="G29" s="1"/>
      <c r="H29" s="1"/>
    </row>
    <row r="30" spans="1:8" ht="22" customHeight="1">
      <c r="A30" s="1"/>
      <c r="B30" s="1"/>
      <c r="C30" s="1"/>
      <c r="D30" s="1"/>
      <c r="E30" s="1"/>
      <c r="F30" s="1"/>
      <c r="G30" s="1"/>
      <c r="H30" s="1"/>
    </row>
    <row r="31" spans="1:8" ht="22" customHeight="1">
      <c r="A31" s="1"/>
      <c r="B31" s="1"/>
      <c r="C31" s="1"/>
      <c r="D31" s="1"/>
      <c r="E31" s="1"/>
      <c r="F31" s="1"/>
      <c r="G31" s="1"/>
      <c r="H31" s="1"/>
    </row>
    <row r="32" spans="1:8" ht="22" customHeight="1">
      <c r="A32" s="1"/>
      <c r="B32" s="1"/>
      <c r="C32" s="1"/>
      <c r="D32" s="1"/>
      <c r="E32" s="1"/>
      <c r="F32" s="1"/>
      <c r="G32" s="1"/>
      <c r="H32" s="1"/>
    </row>
    <row r="33" spans="1:8" ht="22" customHeight="1">
      <c r="A33" s="1"/>
      <c r="B33" s="1"/>
      <c r="C33" s="1"/>
      <c r="D33" s="1"/>
      <c r="E33" s="1"/>
      <c r="F33" s="1"/>
      <c r="G33" s="1"/>
      <c r="H33" s="1"/>
    </row>
    <row r="34" spans="1:8" ht="22" customHeight="1">
      <c r="A34" s="1"/>
      <c r="B34" s="1"/>
      <c r="C34" s="1"/>
      <c r="D34" s="1"/>
      <c r="E34" s="1"/>
      <c r="F34" s="1"/>
      <c r="G34" s="1"/>
      <c r="H34" s="1"/>
    </row>
    <row r="35" spans="1:8" ht="22" customHeight="1">
      <c r="A35" s="1"/>
      <c r="B35" s="1"/>
      <c r="C35" s="1"/>
      <c r="D35" s="1"/>
      <c r="E35" s="1"/>
      <c r="F35" s="1"/>
      <c r="G35" s="1"/>
      <c r="H35" s="1"/>
    </row>
    <row r="36" spans="1:8" ht="22" customHeight="1">
      <c r="A36" s="1"/>
      <c r="B36" s="1"/>
      <c r="C36" s="1"/>
      <c r="D36" s="1"/>
      <c r="E36" s="1"/>
      <c r="F36" s="1"/>
      <c r="G36" s="1"/>
      <c r="H36" s="1"/>
    </row>
    <row r="37" spans="1:8" ht="22" customHeight="1">
      <c r="A37" s="1"/>
      <c r="B37" s="1"/>
      <c r="C37" s="1"/>
      <c r="D37" s="1"/>
      <c r="E37" s="1"/>
      <c r="F37" s="1"/>
      <c r="G37" s="1"/>
      <c r="H37" s="1"/>
    </row>
    <row r="38" spans="1:8" ht="22" customHeight="1">
      <c r="A38" s="1"/>
      <c r="B38" s="1"/>
      <c r="C38" s="1"/>
      <c r="D38" s="1"/>
      <c r="E38" s="1"/>
      <c r="F38" s="1"/>
      <c r="G38" s="1"/>
      <c r="H38" s="1"/>
    </row>
    <row r="39" spans="1:8" ht="22" customHeight="1">
      <c r="A39" s="1"/>
      <c r="B39" s="1"/>
      <c r="C39" s="1"/>
      <c r="D39" s="1"/>
      <c r="E39" s="1"/>
      <c r="F39" s="1"/>
      <c r="G39" s="1"/>
      <c r="H39" s="1"/>
    </row>
    <row r="40" spans="1:8" ht="32.049999999999997" customHeight="1">
      <c r="A40" s="3" t="s">
        <v>51</v>
      </c>
      <c r="B40" s="3" t="s">
        <v>52</v>
      </c>
      <c r="C40" s="3" t="s">
        <v>53</v>
      </c>
      <c r="D40" s="1"/>
      <c r="E40" s="1"/>
      <c r="F40" s="1"/>
      <c r="G40" s="1"/>
      <c r="H40" s="1"/>
    </row>
    <row r="41" spans="1:8" ht="22" customHeight="1">
      <c r="A41" s="1">
        <v>0</v>
      </c>
      <c r="B41" s="1">
        <f>IF('Mortgage Inputs'!$B$12,'Mortgage Inputs'!$B$5,"")</f>
        <v>650000</v>
      </c>
      <c r="C41" s="1">
        <f>IF('Mortgage Inputs'!$B$12,'Mortgage Inputs'!$B$5,"")</f>
        <v>650000</v>
      </c>
      <c r="D41" s="1"/>
      <c r="E41" s="1"/>
      <c r="F41" s="1"/>
      <c r="G41" s="1"/>
      <c r="H41" s="1"/>
    </row>
    <row r="42" spans="1:8" ht="22" customHeight="1">
      <c r="A42" s="1">
        <v>1</v>
      </c>
      <c r="B42" s="1">
        <f>IF('Mortgage Inputs'!$B$12,IFERROR(INDEX(Comparison!E7:E1086,1*12),0),"")</f>
        <v>642581.8400355241</v>
      </c>
      <c r="C42" s="1">
        <f>IF('Mortgage Inputs'!$B$12,IFERROR(INDEX('Monthly Projection'!G7:G1086,1*12),0),"")</f>
        <v>639112.70366157813</v>
      </c>
      <c r="D42" s="1"/>
      <c r="E42" s="1"/>
      <c r="F42" s="1"/>
      <c r="G42" s="1"/>
      <c r="H42" s="1"/>
    </row>
    <row r="43" spans="1:8" ht="22" customHeight="1">
      <c r="A43" s="1">
        <v>2</v>
      </c>
      <c r="B43" s="1">
        <f>IF('Mortgage Inputs'!$B$12,IFERROR(INDEX(Comparison!E7:E1086,2*12),0),"")</f>
        <v>634675.52737747633</v>
      </c>
      <c r="C43" s="1">
        <f>IF('Mortgage Inputs'!$B$12,IFERROR(INDEX('Monthly Projection'!G7:G1086,2*12),0),"")</f>
        <v>627114.13724617881</v>
      </c>
      <c r="D43" s="1"/>
      <c r="E43" s="1"/>
      <c r="F43" s="1"/>
      <c r="G43" s="1"/>
      <c r="H43" s="1"/>
    </row>
    <row r="44" spans="1:8" ht="22" customHeight="1">
      <c r="A44" s="1">
        <v>3</v>
      </c>
      <c r="B44" s="1">
        <f>IF('Mortgage Inputs'!$B$12,IFERROR(INDEX(Comparison!E7:E1086,3*12),0),"")</f>
        <v>626248.9390932984</v>
      </c>
      <c r="C44" s="1">
        <f>IF('Mortgage Inputs'!$B$12,IFERROR(INDEX('Monthly Projection'!G7:G1086,3*12),0),"")</f>
        <v>613931.17352495284</v>
      </c>
      <c r="D44" s="1"/>
      <c r="E44" s="1"/>
      <c r="F44" s="1"/>
      <c r="G44" s="1"/>
      <c r="H44" s="1"/>
    </row>
    <row r="45" spans="1:8" ht="22" customHeight="1">
      <c r="A45" s="1">
        <v>4</v>
      </c>
      <c r="B45" s="1">
        <f>IF('Mortgage Inputs'!$B$12,IFERROR(INDEX(Comparison!E7:E1086,4*12),0),"")</f>
        <v>617267.83839792351</v>
      </c>
      <c r="C45" s="1">
        <f>IF('Mortgage Inputs'!$B$12,IFERROR(INDEX('Monthly Projection'!G7:G1086,4*12),0),"")</f>
        <v>599485.87312508177</v>
      </c>
      <c r="D45" s="1"/>
      <c r="E45" s="1"/>
      <c r="F45" s="1"/>
      <c r="G45" s="1"/>
      <c r="H45" s="1"/>
    </row>
    <row r="46" spans="1:8" ht="22" customHeight="1">
      <c r="A46" s="1">
        <v>5</v>
      </c>
      <c r="B46" s="1">
        <f>IF('Mortgage Inputs'!$B$12,IFERROR(INDEX(Comparison!E7:E1086,5*12),0),"")</f>
        <v>607695.73555151839</v>
      </c>
      <c r="C46" s="1">
        <f>IF('Mortgage Inputs'!$B$12,IFERROR(INDEX('Monthly Projection'!G7:G1086,5*12),0),"")</f>
        <v>583695.1678662044</v>
      </c>
      <c r="D46" s="1"/>
      <c r="E46" s="1"/>
      <c r="F46" s="1"/>
      <c r="G46" s="1"/>
      <c r="H46" s="1"/>
    </row>
    <row r="47" spans="1:8" ht="22" customHeight="1">
      <c r="A47" s="1">
        <v>6</v>
      </c>
      <c r="B47" s="1">
        <f>IF('Mortgage Inputs'!$B$12,IFERROR(INDEX(Comparison!E7:E1086,6*12),0),"")</f>
        <v>597493.73960358941</v>
      </c>
      <c r="C47" s="1">
        <f>IF('Mortgage Inputs'!$B$12,IFERROR(INDEX('Monthly Projection'!G7:G1086,6*12),0),"")</f>
        <v>566470.52325876895</v>
      </c>
      <c r="D47" s="1"/>
      <c r="E47" s="1"/>
      <c r="F47" s="1"/>
      <c r="G47" s="1"/>
      <c r="H47" s="1"/>
    </row>
    <row r="48" spans="1:8" ht="22" customHeight="1">
      <c r="A48" s="1">
        <v>7</v>
      </c>
      <c r="B48" s="1">
        <f>IF('Mortgage Inputs'!$B$12,IFERROR(INDEX(Comparison!E7:E1086,7*12),0),"")</f>
        <v>586620.40038109606</v>
      </c>
      <c r="C48" s="1">
        <f>IF('Mortgage Inputs'!$B$12,IFERROR(INDEX('Monthly Projection'!G7:G1086,7*12),0),"")</f>
        <v>547717.57879305747</v>
      </c>
      <c r="D48" s="1"/>
      <c r="E48" s="1"/>
      <c r="F48" s="1"/>
      <c r="G48" s="1"/>
      <c r="H48" s="1"/>
    </row>
    <row r="49" spans="1:8" ht="22" customHeight="1">
      <c r="A49" s="1">
        <v>8</v>
      </c>
      <c r="B49" s="1">
        <f>IF('Mortgage Inputs'!$B$12,IFERROR(INDEX(Comparison!E7:E1086,8*12),0),"")</f>
        <v>575031.540078577</v>
      </c>
      <c r="C49" s="1">
        <f>IF('Mortgage Inputs'!$B$12,IFERROR(INDEX('Monthly Projection'!G7:G1086,8*12),0),"")</f>
        <v>527335.76455739688</v>
      </c>
      <c r="D49" s="1"/>
      <c r="E49" s="1"/>
      <c r="F49" s="1"/>
      <c r="G49" s="1"/>
      <c r="H49" s="1"/>
    </row>
    <row r="50" spans="1:8" ht="22" customHeight="1">
      <c r="A50" s="1">
        <v>9</v>
      </c>
      <c r="B50" s="1">
        <f>IF('Mortgage Inputs'!$B$12,IFERROR(INDEX(Comparison!E7:E1086,9*12),0),"")</f>
        <v>562680.07376605051</v>
      </c>
      <c r="C50" s="1">
        <f>IF('Mortgage Inputs'!$B$12,IFERROR(INDEX('Monthly Projection'!G7:G1086,9*12),0),"")</f>
        <v>505217.89262789674</v>
      </c>
      <c r="D50" s="1"/>
      <c r="E50" s="1"/>
      <c r="F50" s="1"/>
      <c r="G50" s="1"/>
      <c r="H50" s="1"/>
    </row>
    <row r="51" spans="1:8" ht="22" customHeight="1">
      <c r="A51" s="1">
        <v>10</v>
      </c>
      <c r="B51" s="1">
        <f>IF('Mortgage Inputs'!$B$12,IFERROR(INDEX(Comparison!E7:E1086,10*12),0),"")</f>
        <v>549515.81808541901</v>
      </c>
      <c r="C51" s="1">
        <f>IF('Mortgage Inputs'!$B$12,IFERROR(INDEX('Monthly Projection'!G7:G1086,10*12),0),"")</f>
        <v>481249.72156955127</v>
      </c>
      <c r="D51" s="1"/>
      <c r="E51" s="1"/>
      <c r="F51" s="1"/>
      <c r="G51" s="1"/>
      <c r="H51" s="1"/>
    </row>
    <row r="52" spans="1:8" ht="22" customHeight="1">
      <c r="A52" s="1">
        <v>11</v>
      </c>
      <c r="B52" s="1">
        <f>IF('Mortgage Inputs'!$B$12,IFERROR(INDEX(Comparison!E7:E1086,11*12),0),"")</f>
        <v>535485.28735812509</v>
      </c>
      <c r="C52" s="1">
        <f>IF('Mortgage Inputs'!$B$12,IFERROR(INDEX('Monthly Projection'!G7:G1086,11*12),0),"")</f>
        <v>455309.49227929628</v>
      </c>
      <c r="D52" s="1"/>
      <c r="E52" s="1"/>
      <c r="F52" s="1"/>
      <c r="G52" s="1"/>
      <c r="H52" s="1"/>
    </row>
    <row r="53" spans="1:8" ht="22" customHeight="1">
      <c r="A53" s="1">
        <v>12</v>
      </c>
      <c r="B53" s="1">
        <f>IF('Mortgage Inputs'!$B$12,IFERROR(INDEX(Comparison!E7:E1086,12*12),0),"")</f>
        <v>520531.47627565206</v>
      </c>
      <c r="C53" s="1">
        <f>IF('Mortgage Inputs'!$B$12,IFERROR(INDEX('Monthly Projection'!G7:G1086,12*12),0),"")</f>
        <v>427267.43328517681</v>
      </c>
      <c r="D53" s="1"/>
      <c r="E53" s="1"/>
      <c r="F53" s="1"/>
      <c r="G53" s="1"/>
      <c r="H53" s="1"/>
    </row>
    <row r="54" spans="1:8" ht="22" customHeight="1">
      <c r="A54" s="1">
        <v>13</v>
      </c>
      <c r="B54" s="1">
        <f>IF('Mortgage Inputs'!$B$12,IFERROR(INDEX(Comparison!E7:E1086,13*12),0),"")</f>
        <v>504593.62828995282</v>
      </c>
      <c r="C54" s="1">
        <f>IF('Mortgage Inputs'!$B$12,IFERROR(INDEX('Monthly Projection'!G7:G1086,13*12),0),"")</f>
        <v>396985.2334916807</v>
      </c>
      <c r="D54" s="1"/>
      <c r="E54" s="1"/>
      <c r="F54" s="1"/>
      <c r="G54" s="1"/>
      <c r="H54" s="1"/>
    </row>
    <row r="55" spans="1:8" ht="22" customHeight="1">
      <c r="A55" s="1">
        <v>14</v>
      </c>
      <c r="B55" s="1">
        <f>IF('Mortgage Inputs'!$B$12,IFERROR(INDEX(Comparison!E7:E1086,14*12),0),"")</f>
        <v>487606.98876279028</v>
      </c>
      <c r="C55" s="1">
        <f>IF('Mortgage Inputs'!$B$12,IFERROR(INDEX('Monthly Projection'!G7:G1086,14*12),0),"")</f>
        <v>364315.48022903077</v>
      </c>
      <c r="D55" s="1"/>
      <c r="E55" s="1"/>
      <c r="F55" s="1"/>
      <c r="G55" s="1"/>
      <c r="H55" s="1"/>
    </row>
    <row r="56" spans="1:8" ht="22" customHeight="1">
      <c r="A56" s="1">
        <v>15</v>
      </c>
      <c r="B56" s="1">
        <f>IF('Mortgage Inputs'!$B$12,IFERROR(INDEX(Comparison!E7:E1086,15*12),0),"")</f>
        <v>469502.54187104764</v>
      </c>
      <c r="C56" s="1">
        <f>IF('Mortgage Inputs'!$B$12,IFERROR(INDEX('Monthly Projection'!G7:G1086,15*12),0),"")</f>
        <v>329101.06032325991</v>
      </c>
      <c r="D56" s="1"/>
      <c r="E56" s="1"/>
      <c r="F56" s="1"/>
      <c r="G56" s="1"/>
      <c r="H56" s="1"/>
    </row>
    <row r="57" spans="1:8" ht="22" customHeight="1">
      <c r="A57" s="1">
        <v>16</v>
      </c>
      <c r="B57" s="1">
        <f>IF('Mortgage Inputs'!$B$12,IFERROR(INDEX(Comparison!E7:E1086,16*12),0),"")</f>
        <v>450206.73019906797</v>
      </c>
      <c r="C57" s="1">
        <f>IF('Mortgage Inputs'!$B$12,IFERROR(INDEX('Monthly Projection'!G7:G1086,16*12),0),"")</f>
        <v>291174.52175364707</v>
      </c>
      <c r="D57" s="1"/>
      <c r="E57" s="1"/>
      <c r="F57" s="1"/>
      <c r="G57" s="1"/>
      <c r="H57" s="1"/>
    </row>
    <row r="58" spans="1:8" ht="22" customHeight="1">
      <c r="A58" s="1">
        <v>17</v>
      </c>
      <c r="B58" s="1">
        <f>IF('Mortgage Inputs'!$B$12,IFERROR(INDEX(Comparison!E7:E1086,17*12),0),"")</f>
        <v>429641.15587874333</v>
      </c>
      <c r="C58" s="1">
        <f>IF('Mortgage Inputs'!$B$12,IFERROR(INDEX('Monthly Projection'!G7:G1086,17*12),0),"")</f>
        <v>250357.39330396315</v>
      </c>
      <c r="D58" s="1"/>
      <c r="E58" s="1"/>
      <c r="F58" s="1"/>
      <c r="G58" s="1"/>
      <c r="H58" s="1"/>
    </row>
    <row r="59" spans="1:8" ht="22" customHeight="1">
      <c r="A59" s="1">
        <v>18</v>
      </c>
      <c r="B59" s="1">
        <f>IF('Mortgage Inputs'!$B$12,IFERROR(INDEX(Comparison!E7:E1086,18*12),0),"")</f>
        <v>407722.26206309878</v>
      </c>
      <c r="C59" s="1">
        <f>IF('Mortgage Inputs'!$B$12,IFERROR(INDEX('Monthly Projection'!G7:G1086,18*12),0),"")</f>
        <v>206459.45944330475</v>
      </c>
      <c r="D59" s="1"/>
      <c r="E59" s="1"/>
      <c r="F59" s="1"/>
      <c r="G59" s="1"/>
      <c r="H59" s="1"/>
    </row>
    <row r="60" spans="1:8" ht="22" customHeight="1">
      <c r="A60" s="1">
        <v>19</v>
      </c>
      <c r="B60" s="1">
        <f>IF('Mortgage Inputs'!$B$12,IFERROR(INDEX(Comparison!E7:E1086,19*12),0),"")</f>
        <v>384360.99343921733</v>
      </c>
      <c r="C60" s="1">
        <f>IF('Mortgage Inputs'!$B$12,IFERROR(INDEX('Monthly Projection'!G7:G1086,19*12),0),"")</f>
        <v>159278.83751544164</v>
      </c>
      <c r="D60" s="1"/>
      <c r="E60" s="1"/>
      <c r="F60" s="1"/>
      <c r="G60" s="1"/>
      <c r="H60" s="1"/>
    </row>
    <row r="61" spans="1:8" ht="22" customHeight="1">
      <c r="A61" s="1">
        <v>20</v>
      </c>
      <c r="B61" s="1">
        <f>IF('Mortgage Inputs'!$B$12,IFERROR(INDEX(Comparison!E7:E1086,20*12),0),"")</f>
        <v>359462.43440118682</v>
      </c>
      <c r="C61" s="1">
        <f>IF('Mortgage Inputs'!$B$12,IFERROR(INDEX('Monthly Projection'!G7:G1086,20*12),0),"")</f>
        <v>110540.43710175334</v>
      </c>
      <c r="D61" s="1"/>
      <c r="E61" s="1"/>
      <c r="F61" s="1"/>
      <c r="G61" s="1"/>
      <c r="H61" s="1"/>
    </row>
    <row r="62" spans="1:8" ht="22" customHeight="1">
      <c r="A62" s="1">
        <v>21</v>
      </c>
      <c r="B62" s="1">
        <f>IF('Mortgage Inputs'!$B$12,IFERROR(INDEX(Comparison!E7:E1086,21*12),0),"")</f>
        <v>332925.42341298441</v>
      </c>
      <c r="C62" s="1">
        <f>IF('Mortgage Inputs'!$B$12,IFERROR(INDEX('Monthly Projection'!G7:G1086,21*12),0),"")</f>
        <v>61802.036688065127</v>
      </c>
      <c r="D62" s="1"/>
      <c r="E62" s="1"/>
      <c r="F62" s="1"/>
      <c r="G62" s="1"/>
      <c r="H62" s="1"/>
    </row>
    <row r="63" spans="1:8" ht="22" customHeight="1">
      <c r="A63" s="1">
        <v>22</v>
      </c>
      <c r="B63" s="1">
        <f>IF('Mortgage Inputs'!$B$12,IFERROR(INDEX(Comparison!E7:E1086,22*12),0),"")</f>
        <v>304642.14199447556</v>
      </c>
      <c r="C63" s="1">
        <f>IF('Mortgage Inputs'!$B$12,IFERROR(INDEX('Monthly Projection'!G7:G1086,22*12),0),"")</f>
        <v>13063.636274376897</v>
      </c>
      <c r="D63" s="1"/>
      <c r="E63" s="1"/>
      <c r="F63" s="1"/>
      <c r="G63" s="1"/>
      <c r="H63" s="1"/>
    </row>
    <row r="64" spans="1:8" ht="22" customHeight="1">
      <c r="A64" s="1">
        <v>23</v>
      </c>
      <c r="B64" s="1">
        <f>IF('Mortgage Inputs'!$B$12,IFERROR(INDEX(Comparison!E7:E1086,23*12),0),"")</f>
        <v>274497.67666059884</v>
      </c>
      <c r="C64" s="1" t="str">
        <f>IF('Mortgage Inputs'!$B$12,IFERROR(INDEX('Monthly Projection'!G7:G1086,23*12),0),"")</f>
        <v/>
      </c>
      <c r="D64" s="1"/>
      <c r="E64" s="1"/>
      <c r="F64" s="1"/>
      <c r="G64" s="1"/>
      <c r="H64" s="1"/>
    </row>
    <row r="65" spans="1:8" ht="22" customHeight="1">
      <c r="A65" s="1">
        <v>24</v>
      </c>
      <c r="B65" s="1">
        <f>IF('Mortgage Inputs'!$B$12,IFERROR(INDEX(Comparison!E7:E1086,24*12),0),"")</f>
        <v>242369.55203391978</v>
      </c>
      <c r="C65" s="1" t="str">
        <f>IF('Mortgage Inputs'!$B$12,IFERROR(INDEX('Monthly Projection'!G7:G1086,24*12),0),"")</f>
        <v/>
      </c>
      <c r="D65" s="1"/>
      <c r="E65" s="1"/>
      <c r="F65" s="1"/>
      <c r="G65" s="1"/>
      <c r="H65" s="1"/>
    </row>
    <row r="66" spans="1:8" ht="22" customHeight="1">
      <c r="A66" s="1">
        <v>25</v>
      </c>
      <c r="B66" s="1">
        <f>IF('Mortgage Inputs'!$B$12,IFERROR(INDEX(Comparison!E7:E1086,25*12),0),"")</f>
        <v>208127.23323361229</v>
      </c>
      <c r="C66" s="1" t="str">
        <f>IF('Mortgage Inputs'!$B$12,IFERROR(INDEX('Monthly Projection'!G7:G1086,25*12),0),"")</f>
        <v/>
      </c>
      <c r="D66" s="1"/>
      <c r="E66" s="1"/>
      <c r="F66" s="1"/>
      <c r="G66" s="1"/>
      <c r="H66" s="1"/>
    </row>
    <row r="67" spans="1:8" ht="22" customHeight="1">
      <c r="A67" s="1">
        <v>26</v>
      </c>
      <c r="B67" s="1">
        <f>IF('Mortgage Inputs'!$B$12,IFERROR(INDEX(Comparison!E7:E1086,26*12),0),"")</f>
        <v>171631.59551910273</v>
      </c>
      <c r="C67" s="1" t="str">
        <f>IF('Mortgage Inputs'!$B$12,IFERROR(INDEX('Monthly Projection'!G7:G1086,26*12),0),"")</f>
        <v/>
      </c>
      <c r="D67" s="1"/>
      <c r="E67" s="1"/>
      <c r="F67" s="1"/>
      <c r="G67" s="1"/>
      <c r="H67" s="1"/>
    </row>
    <row r="68" spans="1:8" ht="22" customHeight="1">
      <c r="A68" s="1">
        <v>27</v>
      </c>
      <c r="B68" s="1">
        <f>IF('Mortgage Inputs'!$B$12,IFERROR(INDEX(Comparison!E7:E1086,27*12),0),"")</f>
        <v>132734.35903356507</v>
      </c>
      <c r="C68" s="1" t="str">
        <f>IF('Mortgage Inputs'!$B$12,IFERROR(INDEX('Monthly Projection'!G7:G1086,27*12),0),"")</f>
        <v/>
      </c>
      <c r="D68" s="1"/>
      <c r="E68" s="1"/>
      <c r="F68" s="1"/>
      <c r="G68" s="1"/>
      <c r="H68" s="1"/>
    </row>
    <row r="69" spans="1:8" ht="22" customHeight="1">
      <c r="A69" s="1">
        <v>28</v>
      </c>
      <c r="B69" s="1">
        <f>IF('Mortgage Inputs'!$B$12,IFERROR(INDEX(Comparison!E7:E1086,28*12),0),"")</f>
        <v>91277.486350660227</v>
      </c>
      <c r="C69" s="1" t="str">
        <f>IF('Mortgage Inputs'!$B$12,IFERROR(INDEX('Monthly Projection'!G7:G1086,28*12),0),"")</f>
        <v/>
      </c>
      <c r="D69" s="1"/>
      <c r="E69" s="1"/>
      <c r="F69" s="1"/>
      <c r="G69" s="1"/>
      <c r="H69" s="1"/>
    </row>
    <row r="70" spans="1:8" ht="22" customHeight="1">
      <c r="A70" s="1">
        <v>29</v>
      </c>
      <c r="B70" s="1">
        <f>IF('Mortgage Inputs'!$B$12,IFERROR(INDEX(Comparison!E7:E1086,29*12),0),"")</f>
        <v>47092.540376783734</v>
      </c>
      <c r="C70" s="1" t="str">
        <f>IF('Mortgage Inputs'!$B$12,IFERROR(INDEX('Monthly Projection'!G7:G1086,29*12),0),"")</f>
        <v/>
      </c>
      <c r="D70" s="1"/>
      <c r="E70" s="1"/>
      <c r="F70" s="1"/>
      <c r="G70" s="1"/>
      <c r="H70" s="1"/>
    </row>
    <row r="71" spans="1:8" ht="22" customHeight="1">
      <c r="A71" s="1">
        <v>30</v>
      </c>
      <c r="B71" s="1">
        <f>IF('Mortgage Inputs'!$B$12,IFERROR(INDEX(Comparison!E7:E1086,30*12),0),"")</f>
        <v>1.1848896974697709E-8</v>
      </c>
      <c r="C71" s="1" t="str">
        <f>IF('Mortgage Inputs'!$B$12,IFERROR(INDEX('Monthly Projection'!G7:G1086,30*12),0),"")</f>
        <v/>
      </c>
      <c r="D71" s="1"/>
      <c r="E71" s="1"/>
      <c r="F71" s="1"/>
      <c r="G71" s="1"/>
      <c r="H71" s="1"/>
    </row>
    <row r="72" spans="1:8" ht="22" customHeight="1">
      <c r="A72" s="1">
        <v>31</v>
      </c>
      <c r="B72" s="1" t="str">
        <f>IF('Mortgage Inputs'!$B$12,IFERROR(INDEX(Comparison!E7:E1086,31*12),0),"")</f>
        <v/>
      </c>
      <c r="C72" s="1" t="str">
        <f>IF('Mortgage Inputs'!$B$12,IFERROR(INDEX('Monthly Projection'!G7:G1086,31*12),0),"")</f>
        <v/>
      </c>
      <c r="D72" s="1"/>
      <c r="E72" s="1"/>
      <c r="F72" s="1"/>
      <c r="G72" s="1"/>
      <c r="H72" s="1"/>
    </row>
    <row r="73" spans="1:8" ht="22" customHeight="1">
      <c r="A73" s="1">
        <v>32</v>
      </c>
      <c r="B73" s="1" t="str">
        <f>IF('Mortgage Inputs'!$B$12,IFERROR(INDEX(Comparison!E7:E1086,32*12),0),"")</f>
        <v/>
      </c>
      <c r="C73" s="1" t="str">
        <f>IF('Mortgage Inputs'!$B$12,IFERROR(INDEX('Monthly Projection'!G7:G1086,32*12),0),"")</f>
        <v/>
      </c>
      <c r="D73" s="1"/>
      <c r="E73" s="1"/>
      <c r="F73" s="1"/>
      <c r="G73" s="1"/>
      <c r="H73" s="1"/>
    </row>
    <row r="74" spans="1:8" ht="22" customHeight="1">
      <c r="A74" s="1">
        <v>33</v>
      </c>
      <c r="B74" s="1" t="str">
        <f>IF('Mortgage Inputs'!$B$12,IFERROR(INDEX(Comparison!E7:E1086,33*12),0),"")</f>
        <v/>
      </c>
      <c r="C74" s="1" t="str">
        <f>IF('Mortgage Inputs'!$B$12,IFERROR(INDEX('Monthly Projection'!G7:G1086,33*12),0),"")</f>
        <v/>
      </c>
      <c r="D74" s="1"/>
      <c r="E74" s="1"/>
      <c r="F74" s="1"/>
      <c r="G74" s="1"/>
      <c r="H74" s="1"/>
    </row>
    <row r="75" spans="1:8" ht="22" customHeight="1">
      <c r="A75" s="1">
        <v>34</v>
      </c>
      <c r="B75" s="1" t="str">
        <f>IF('Mortgage Inputs'!$B$12,IFERROR(INDEX(Comparison!E7:E1086,34*12),0),"")</f>
        <v/>
      </c>
      <c r="C75" s="1" t="str">
        <f>IF('Mortgage Inputs'!$B$12,IFERROR(INDEX('Monthly Projection'!G7:G1086,34*12),0),"")</f>
        <v/>
      </c>
      <c r="D75" s="1"/>
      <c r="E75" s="1"/>
      <c r="F75" s="1"/>
      <c r="G75" s="1"/>
      <c r="H75" s="1"/>
    </row>
    <row r="76" spans="1:8" ht="22" customHeight="1">
      <c r="A76" s="1">
        <v>35</v>
      </c>
      <c r="B76" s="1" t="str">
        <f>IF('Mortgage Inputs'!$B$12,IFERROR(INDEX(Comparison!E7:E1086,35*12),0),"")</f>
        <v/>
      </c>
      <c r="C76" s="1" t="str">
        <f>IF('Mortgage Inputs'!$B$12,IFERROR(INDEX('Monthly Projection'!G7:G1086,35*12),0),"")</f>
        <v/>
      </c>
      <c r="D76" s="1"/>
      <c r="E76" s="1"/>
      <c r="F76" s="1"/>
      <c r="G76" s="1"/>
      <c r="H76" s="1"/>
    </row>
    <row r="77" spans="1:8" ht="22" customHeight="1">
      <c r="A77" s="1">
        <v>36</v>
      </c>
      <c r="B77" s="1" t="str">
        <f>IF('Mortgage Inputs'!$B$12,IFERROR(INDEX(Comparison!E7:E1086,36*12),0),"")</f>
        <v/>
      </c>
      <c r="C77" s="1" t="str">
        <f>IF('Mortgage Inputs'!$B$12,IFERROR(INDEX('Monthly Projection'!G7:G1086,36*12),0),"")</f>
        <v/>
      </c>
      <c r="D77" s="1"/>
      <c r="E77" s="1"/>
      <c r="F77" s="1"/>
      <c r="G77" s="1"/>
      <c r="H77" s="1"/>
    </row>
    <row r="78" spans="1:8" ht="22" customHeight="1">
      <c r="A78" s="1">
        <v>37</v>
      </c>
      <c r="B78" s="1" t="str">
        <f>IF('Mortgage Inputs'!$B$12,IFERROR(INDEX(Comparison!E7:E1086,37*12),0),"")</f>
        <v/>
      </c>
      <c r="C78" s="1" t="str">
        <f>IF('Mortgage Inputs'!$B$12,IFERROR(INDEX('Monthly Projection'!G7:G1086,37*12),0),"")</f>
        <v/>
      </c>
      <c r="D78" s="1"/>
      <c r="E78" s="1"/>
      <c r="F78" s="1"/>
      <c r="G78" s="1"/>
      <c r="H78" s="1"/>
    </row>
    <row r="79" spans="1:8" ht="22" customHeight="1">
      <c r="A79" s="1">
        <v>38</v>
      </c>
      <c r="B79" s="1" t="str">
        <f>IF('Mortgage Inputs'!$B$12,IFERROR(INDEX(Comparison!E7:E1086,38*12),0),"")</f>
        <v/>
      </c>
      <c r="C79" s="1" t="str">
        <f>IF('Mortgage Inputs'!$B$12,IFERROR(INDEX('Monthly Projection'!G7:G1086,38*12),0),"")</f>
        <v/>
      </c>
      <c r="D79" s="1"/>
      <c r="E79" s="1"/>
      <c r="F79" s="1"/>
      <c r="G79" s="1"/>
      <c r="H79" s="1"/>
    </row>
    <row r="80" spans="1:8" ht="22" customHeight="1">
      <c r="A80" s="1">
        <v>39</v>
      </c>
      <c r="B80" s="1" t="str">
        <f>IF('Mortgage Inputs'!$B$12,IFERROR(INDEX(Comparison!E7:E1086,39*12),0),"")</f>
        <v/>
      </c>
      <c r="C80" s="1" t="str">
        <f>IF('Mortgage Inputs'!$B$12,IFERROR(INDEX('Monthly Projection'!G7:G1086,39*12),0),"")</f>
        <v/>
      </c>
      <c r="D80" s="1"/>
      <c r="E80" s="1"/>
      <c r="F80" s="1"/>
      <c r="G80" s="1"/>
      <c r="H80" s="1"/>
    </row>
    <row r="81" spans="1:8" ht="22" customHeight="1">
      <c r="A81" s="1">
        <v>40</v>
      </c>
      <c r="B81" s="1" t="str">
        <f>IF('Mortgage Inputs'!$B$12,IFERROR(INDEX(Comparison!E7:E1086,40*12),0),"")</f>
        <v/>
      </c>
      <c r="C81" s="1" t="str">
        <f>IF('Mortgage Inputs'!$B$12,IFERROR(INDEX('Monthly Projection'!G7:G1086,40*12),0),"")</f>
        <v/>
      </c>
      <c r="D81" s="1"/>
      <c r="E81" s="1"/>
      <c r="F81" s="1"/>
      <c r="G81" s="1"/>
      <c r="H81" s="1"/>
    </row>
    <row r="82" spans="1:8" ht="22" customHeight="1">
      <c r="A82" s="1"/>
      <c r="B82" s="1"/>
      <c r="C82" s="1"/>
      <c r="D82" s="1"/>
      <c r="E82" s="1"/>
      <c r="F82" s="1"/>
      <c r="G82" s="1"/>
      <c r="H82" s="1"/>
    </row>
    <row r="83" spans="1:8" ht="22" customHeight="1">
      <c r="A83" s="1"/>
      <c r="B83" s="1"/>
      <c r="C83" s="1"/>
      <c r="D83" s="1"/>
      <c r="E83" s="1"/>
      <c r="F83" s="1"/>
      <c r="G83" s="1"/>
      <c r="H83" s="1"/>
    </row>
    <row r="84" spans="1:8" ht="22" customHeight="1">
      <c r="A84" s="1"/>
      <c r="B84" s="1"/>
      <c r="C84" s="1"/>
      <c r="D84" s="1"/>
      <c r="E84" s="1"/>
      <c r="F84" s="1"/>
      <c r="G84" s="1"/>
      <c r="H84" s="1"/>
    </row>
    <row r="85" spans="1:8" ht="22" customHeight="1">
      <c r="A85" s="1"/>
      <c r="B85" s="1"/>
      <c r="C85" s="1"/>
      <c r="D85" s="1"/>
      <c r="E85" s="1"/>
      <c r="F85" s="1"/>
      <c r="G85" s="1"/>
      <c r="H85" s="1"/>
    </row>
    <row r="86" spans="1:8" ht="22" customHeight="1">
      <c r="A86" s="1"/>
      <c r="B86" s="1"/>
      <c r="C86" s="1"/>
      <c r="D86" s="1"/>
      <c r="E86" s="1"/>
      <c r="F86" s="1"/>
      <c r="G86" s="1"/>
      <c r="H86" s="1"/>
    </row>
    <row r="87" spans="1:8" ht="22" customHeight="1">
      <c r="A87" s="1"/>
      <c r="B87" s="1"/>
      <c r="C87" s="1"/>
      <c r="D87" s="1"/>
      <c r="E87" s="1"/>
      <c r="F87" s="1"/>
      <c r="G87" s="1"/>
      <c r="H87" s="1"/>
    </row>
    <row r="88" spans="1:8" ht="22" customHeight="1">
      <c r="A88" s="1"/>
      <c r="B88" s="1"/>
      <c r="C88" s="1"/>
      <c r="D88" s="1"/>
      <c r="E88" s="1"/>
      <c r="F88" s="1"/>
      <c r="G88" s="1"/>
      <c r="H88" s="1"/>
    </row>
    <row r="89" spans="1:8" ht="22" customHeight="1">
      <c r="A89" s="1"/>
      <c r="B89" s="1"/>
      <c r="C89" s="1"/>
      <c r="D89" s="1"/>
      <c r="E89" s="1"/>
      <c r="F89" s="1"/>
      <c r="G89" s="1"/>
      <c r="H89" s="1"/>
    </row>
    <row r="90" spans="1:8" ht="22" customHeight="1">
      <c r="A90" s="1"/>
      <c r="B90" s="1"/>
      <c r="C90" s="1"/>
      <c r="D90" s="1"/>
      <c r="E90" s="1"/>
      <c r="F90" s="1"/>
      <c r="G90" s="1"/>
      <c r="H90" s="1"/>
    </row>
  </sheetData>
  <sheetProtection sheet="1" objects="1" scenarios="1"/>
  <mergeCells count="2">
    <mergeCell ref="A1:H2"/>
    <mergeCell ref="A23:H24"/>
  </mergeCells>
  <pageMargins left="0.39370078740157477" right="0.39370078740157477" top="0.39370078740157477" bottom="0.39370078740157477" header="0.3" footer="0.3"/>
  <pageSetup paperSize="9" scale="69" orientation="landscape" r:id="rId1"/>
  <headerFooter>
    <oddFooter>&amp;CCalcy | Page &amp;P&amp;Rcalcy.com.au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EAF4EE"/>
    <pageSetUpPr fitToPage="1"/>
  </sheetPr>
  <dimension ref="A1:H90"/>
  <sheetViews>
    <sheetView showGridLines="0" zoomScaleNormal="100" workbookViewId="0">
      <selection sqref="A1:H2"/>
    </sheetView>
  </sheetViews>
  <sheetFormatPr defaultRowHeight="14.15"/>
  <cols>
    <col min="1" max="1" width="28" customWidth="1"/>
    <col min="2" max="8" width="16" customWidth="1"/>
  </cols>
  <sheetData>
    <row r="1" spans="1:8" ht="22" customHeight="1">
      <c r="A1" s="12" t="s">
        <v>54</v>
      </c>
      <c r="B1" s="12" t="s">
        <v>54</v>
      </c>
      <c r="C1" s="12" t="s">
        <v>54</v>
      </c>
      <c r="D1" s="12" t="s">
        <v>54</v>
      </c>
      <c r="E1" s="12" t="s">
        <v>54</v>
      </c>
      <c r="F1" s="12" t="s">
        <v>54</v>
      </c>
      <c r="G1" s="12" t="s">
        <v>54</v>
      </c>
      <c r="H1" s="12" t="s">
        <v>54</v>
      </c>
    </row>
    <row r="2" spans="1:8" ht="22" customHeight="1">
      <c r="A2" s="12" t="s">
        <v>54</v>
      </c>
      <c r="B2" s="12" t="s">
        <v>54</v>
      </c>
      <c r="C2" s="12" t="s">
        <v>54</v>
      </c>
      <c r="D2" s="12" t="s">
        <v>54</v>
      </c>
      <c r="E2" s="12" t="s">
        <v>54</v>
      </c>
      <c r="F2" s="12" t="s">
        <v>54</v>
      </c>
      <c r="G2" s="12" t="s">
        <v>54</v>
      </c>
      <c r="H2" s="12" t="s">
        <v>54</v>
      </c>
    </row>
    <row r="3" spans="1:8" ht="22" customHeight="1">
      <c r="A3" s="1"/>
      <c r="B3" s="1"/>
      <c r="C3" s="1"/>
      <c r="D3" s="1"/>
      <c r="E3" s="1"/>
      <c r="F3" s="1"/>
      <c r="G3" s="1"/>
      <c r="H3" s="1"/>
    </row>
    <row r="4" spans="1:8" ht="22" customHeight="1">
      <c r="A4" s="1"/>
      <c r="B4" s="1"/>
      <c r="C4" s="1"/>
      <c r="D4" s="1"/>
      <c r="E4" s="1"/>
      <c r="F4" s="1"/>
      <c r="G4" s="1"/>
      <c r="H4" s="1"/>
    </row>
    <row r="5" spans="1:8" ht="24" customHeight="1">
      <c r="A5" s="14" t="s">
        <v>55</v>
      </c>
      <c r="B5" s="14" t="s">
        <v>55</v>
      </c>
      <c r="C5" s="14" t="s">
        <v>55</v>
      </c>
      <c r="D5" s="14" t="s">
        <v>55</v>
      </c>
      <c r="E5" s="14" t="s">
        <v>55</v>
      </c>
      <c r="F5" s="14" t="s">
        <v>55</v>
      </c>
      <c r="G5" s="14" t="s">
        <v>55</v>
      </c>
      <c r="H5" s="14" t="s">
        <v>55</v>
      </c>
    </row>
    <row r="6" spans="1:8" ht="24" customHeight="1">
      <c r="A6" s="14" t="s">
        <v>55</v>
      </c>
      <c r="B6" s="14" t="s">
        <v>55</v>
      </c>
      <c r="C6" s="14" t="s">
        <v>55</v>
      </c>
      <c r="D6" s="14" t="s">
        <v>55</v>
      </c>
      <c r="E6" s="14" t="s">
        <v>55</v>
      </c>
      <c r="F6" s="14" t="s">
        <v>55</v>
      </c>
      <c r="G6" s="14" t="s">
        <v>55</v>
      </c>
      <c r="H6" s="14" t="s">
        <v>55</v>
      </c>
    </row>
    <row r="7" spans="1:8" ht="22" customHeight="1">
      <c r="A7" s="1"/>
      <c r="B7" s="1"/>
      <c r="C7" s="1"/>
      <c r="D7" s="1"/>
      <c r="E7" s="1"/>
      <c r="F7" s="1"/>
      <c r="G7" s="1"/>
      <c r="H7" s="1"/>
    </row>
    <row r="8" spans="1:8" ht="22" customHeight="1">
      <c r="A8" s="1"/>
      <c r="B8" s="1"/>
      <c r="C8" s="1"/>
      <c r="D8" s="1"/>
      <c r="E8" s="1"/>
      <c r="F8" s="1"/>
      <c r="G8" s="1"/>
      <c r="H8" s="1"/>
    </row>
    <row r="9" spans="1:8" ht="24" customHeight="1">
      <c r="A9" s="14" t="s">
        <v>56</v>
      </c>
      <c r="B9" s="14" t="s">
        <v>56</v>
      </c>
      <c r="C9" s="14" t="s">
        <v>56</v>
      </c>
      <c r="D9" s="14" t="s">
        <v>56</v>
      </c>
      <c r="E9" s="14" t="s">
        <v>56</v>
      </c>
      <c r="F9" s="14" t="s">
        <v>56</v>
      </c>
      <c r="G9" s="14" t="s">
        <v>56</v>
      </c>
      <c r="H9" s="14" t="s">
        <v>56</v>
      </c>
    </row>
    <row r="10" spans="1:8" ht="24" customHeight="1">
      <c r="A10" s="14" t="s">
        <v>56</v>
      </c>
      <c r="B10" s="14" t="s">
        <v>56</v>
      </c>
      <c r="C10" s="14" t="s">
        <v>56</v>
      </c>
      <c r="D10" s="14" t="s">
        <v>56</v>
      </c>
      <c r="E10" s="14" t="s">
        <v>56</v>
      </c>
      <c r="F10" s="14" t="s">
        <v>56</v>
      </c>
      <c r="G10" s="14" t="s">
        <v>56</v>
      </c>
      <c r="H10" s="14" t="s">
        <v>56</v>
      </c>
    </row>
    <row r="11" spans="1:8" ht="22" customHeight="1">
      <c r="A11" s="1"/>
      <c r="B11" s="1"/>
      <c r="C11" s="1"/>
      <c r="D11" s="1"/>
      <c r="E11" s="1"/>
      <c r="F11" s="1"/>
      <c r="G11" s="1"/>
      <c r="H11" s="1"/>
    </row>
    <row r="12" spans="1:8" ht="22" customHeight="1">
      <c r="A12" s="1"/>
      <c r="B12" s="1"/>
      <c r="C12" s="1"/>
      <c r="D12" s="1"/>
      <c r="E12" s="1"/>
      <c r="F12" s="1"/>
      <c r="G12" s="1"/>
      <c r="H12" s="1"/>
    </row>
    <row r="13" spans="1:8" ht="24" customHeight="1">
      <c r="A13" s="14" t="s">
        <v>57</v>
      </c>
      <c r="B13" s="14" t="s">
        <v>57</v>
      </c>
      <c r="C13" s="14" t="s">
        <v>57</v>
      </c>
      <c r="D13" s="14" t="s">
        <v>57</v>
      </c>
      <c r="E13" s="14" t="s">
        <v>57</v>
      </c>
      <c r="F13" s="14" t="s">
        <v>57</v>
      </c>
      <c r="G13" s="14" t="s">
        <v>57</v>
      </c>
      <c r="H13" s="14" t="s">
        <v>57</v>
      </c>
    </row>
    <row r="14" spans="1:8" ht="24" customHeight="1">
      <c r="A14" s="14" t="s">
        <v>57</v>
      </c>
      <c r="B14" s="14" t="s">
        <v>57</v>
      </c>
      <c r="C14" s="14" t="s">
        <v>57</v>
      </c>
      <c r="D14" s="14" t="s">
        <v>57</v>
      </c>
      <c r="E14" s="14" t="s">
        <v>57</v>
      </c>
      <c r="F14" s="14" t="s">
        <v>57</v>
      </c>
      <c r="G14" s="14" t="s">
        <v>57</v>
      </c>
      <c r="H14" s="14" t="s">
        <v>57</v>
      </c>
    </row>
    <row r="15" spans="1:8" ht="22" customHeight="1">
      <c r="A15" s="1"/>
      <c r="B15" s="1"/>
      <c r="C15" s="1"/>
      <c r="D15" s="1"/>
      <c r="E15" s="1"/>
      <c r="F15" s="1"/>
      <c r="G15" s="1"/>
      <c r="H15" s="1"/>
    </row>
    <row r="16" spans="1:8" ht="22" customHeight="1">
      <c r="A16" s="1"/>
      <c r="B16" s="1"/>
      <c r="C16" s="1"/>
      <c r="D16" s="1"/>
      <c r="E16" s="1"/>
      <c r="F16" s="1"/>
      <c r="G16" s="1"/>
      <c r="H16" s="1"/>
    </row>
    <row r="17" spans="1:8" ht="24" customHeight="1">
      <c r="A17" s="14" t="s">
        <v>58</v>
      </c>
      <c r="B17" s="14" t="s">
        <v>58</v>
      </c>
      <c r="C17" s="14" t="s">
        <v>58</v>
      </c>
      <c r="D17" s="14" t="s">
        <v>58</v>
      </c>
      <c r="E17" s="14" t="s">
        <v>58</v>
      </c>
      <c r="F17" s="14" t="s">
        <v>58</v>
      </c>
      <c r="G17" s="14" t="s">
        <v>58</v>
      </c>
      <c r="H17" s="14" t="s">
        <v>58</v>
      </c>
    </row>
    <row r="18" spans="1:8" ht="24" customHeight="1">
      <c r="A18" s="14" t="s">
        <v>58</v>
      </c>
      <c r="B18" s="14" t="s">
        <v>58</v>
      </c>
      <c r="C18" s="14" t="s">
        <v>58</v>
      </c>
      <c r="D18" s="14" t="s">
        <v>58</v>
      </c>
      <c r="E18" s="14" t="s">
        <v>58</v>
      </c>
      <c r="F18" s="14" t="s">
        <v>58</v>
      </c>
      <c r="G18" s="14" t="s">
        <v>58</v>
      </c>
      <c r="H18" s="14" t="s">
        <v>58</v>
      </c>
    </row>
    <row r="19" spans="1:8" ht="22" customHeight="1">
      <c r="A19" s="1"/>
      <c r="B19" s="1"/>
      <c r="C19" s="1"/>
      <c r="D19" s="1"/>
      <c r="E19" s="1"/>
      <c r="F19" s="1"/>
      <c r="G19" s="1"/>
      <c r="H19" s="1"/>
    </row>
    <row r="20" spans="1:8" ht="22" customHeight="1">
      <c r="A20" s="1"/>
      <c r="B20" s="1"/>
      <c r="C20" s="1"/>
      <c r="D20" s="1"/>
      <c r="E20" s="1"/>
      <c r="F20" s="1"/>
      <c r="G20" s="1"/>
      <c r="H20" s="1"/>
    </row>
    <row r="21" spans="1:8" ht="24" customHeight="1">
      <c r="A21" s="14" t="s">
        <v>59</v>
      </c>
      <c r="B21" s="14" t="s">
        <v>59</v>
      </c>
      <c r="C21" s="14" t="s">
        <v>59</v>
      </c>
      <c r="D21" s="14" t="s">
        <v>59</v>
      </c>
      <c r="E21" s="14" t="s">
        <v>59</v>
      </c>
      <c r="F21" s="14" t="s">
        <v>59</v>
      </c>
      <c r="G21" s="14" t="s">
        <v>59</v>
      </c>
      <c r="H21" s="14" t="s">
        <v>59</v>
      </c>
    </row>
    <row r="22" spans="1:8" ht="24" customHeight="1">
      <c r="A22" s="14" t="s">
        <v>59</v>
      </c>
      <c r="B22" s="14" t="s">
        <v>59</v>
      </c>
      <c r="C22" s="14" t="s">
        <v>59</v>
      </c>
      <c r="D22" s="14" t="s">
        <v>59</v>
      </c>
      <c r="E22" s="14" t="s">
        <v>59</v>
      </c>
      <c r="F22" s="14" t="s">
        <v>59</v>
      </c>
      <c r="G22" s="14" t="s">
        <v>59</v>
      </c>
      <c r="H22" s="14" t="s">
        <v>59</v>
      </c>
    </row>
    <row r="23" spans="1:8" ht="22" customHeight="1">
      <c r="A23" s="1"/>
      <c r="B23" s="1"/>
      <c r="C23" s="1"/>
      <c r="D23" s="1"/>
      <c r="E23" s="1"/>
      <c r="F23" s="1"/>
      <c r="G23" s="1"/>
      <c r="H23" s="1"/>
    </row>
    <row r="24" spans="1:8" ht="22" customHeight="1">
      <c r="A24" s="1"/>
      <c r="B24" s="1"/>
      <c r="C24" s="1"/>
      <c r="D24" s="1"/>
      <c r="E24" s="1"/>
      <c r="F24" s="1"/>
      <c r="G24" s="1"/>
      <c r="H24" s="1"/>
    </row>
    <row r="25" spans="1:8" ht="24" customHeight="1">
      <c r="A25" s="14" t="s">
        <v>60</v>
      </c>
      <c r="B25" s="14" t="s">
        <v>60</v>
      </c>
      <c r="C25" s="14" t="s">
        <v>60</v>
      </c>
      <c r="D25" s="14" t="s">
        <v>60</v>
      </c>
      <c r="E25" s="14" t="s">
        <v>60</v>
      </c>
      <c r="F25" s="14" t="s">
        <v>60</v>
      </c>
      <c r="G25" s="14" t="s">
        <v>60</v>
      </c>
      <c r="H25" s="14" t="s">
        <v>60</v>
      </c>
    </row>
    <row r="26" spans="1:8" ht="24" customHeight="1">
      <c r="A26" s="14" t="s">
        <v>60</v>
      </c>
      <c r="B26" s="14" t="s">
        <v>60</v>
      </c>
      <c r="C26" s="14" t="s">
        <v>60</v>
      </c>
      <c r="D26" s="14" t="s">
        <v>60</v>
      </c>
      <c r="E26" s="14" t="s">
        <v>60</v>
      </c>
      <c r="F26" s="14" t="s">
        <v>60</v>
      </c>
      <c r="G26" s="14" t="s">
        <v>60</v>
      </c>
      <c r="H26" s="14" t="s">
        <v>60</v>
      </c>
    </row>
    <row r="27" spans="1:8" ht="22" customHeight="1">
      <c r="A27" s="1"/>
      <c r="B27" s="1"/>
      <c r="C27" s="1"/>
      <c r="D27" s="1"/>
      <c r="E27" s="1"/>
      <c r="F27" s="1"/>
      <c r="G27" s="1"/>
      <c r="H27" s="1"/>
    </row>
    <row r="28" spans="1:8" ht="22" customHeight="1">
      <c r="A28" s="1"/>
      <c r="B28" s="1"/>
      <c r="C28" s="1"/>
      <c r="D28" s="1"/>
      <c r="E28" s="1"/>
      <c r="F28" s="1"/>
      <c r="G28" s="1"/>
      <c r="H28" s="1"/>
    </row>
    <row r="29" spans="1:8" ht="24" customHeight="1">
      <c r="A29" s="14" t="s">
        <v>61</v>
      </c>
      <c r="B29" s="14" t="s">
        <v>61</v>
      </c>
      <c r="C29" s="14" t="s">
        <v>61</v>
      </c>
      <c r="D29" s="14" t="s">
        <v>61</v>
      </c>
      <c r="E29" s="14" t="s">
        <v>61</v>
      </c>
      <c r="F29" s="14" t="s">
        <v>61</v>
      </c>
      <c r="G29" s="14" t="s">
        <v>61</v>
      </c>
      <c r="H29" s="14" t="s">
        <v>61</v>
      </c>
    </row>
    <row r="30" spans="1:8" ht="24" customHeight="1">
      <c r="A30" s="14" t="s">
        <v>61</v>
      </c>
      <c r="B30" s="14" t="s">
        <v>61</v>
      </c>
      <c r="C30" s="14" t="s">
        <v>61</v>
      </c>
      <c r="D30" s="14" t="s">
        <v>61</v>
      </c>
      <c r="E30" s="14" t="s">
        <v>61</v>
      </c>
      <c r="F30" s="14" t="s">
        <v>61</v>
      </c>
      <c r="G30" s="14" t="s">
        <v>61</v>
      </c>
      <c r="H30" s="14" t="s">
        <v>61</v>
      </c>
    </row>
    <row r="31" spans="1:8" ht="22" customHeight="1">
      <c r="A31" s="1"/>
      <c r="B31" s="1"/>
      <c r="C31" s="1"/>
      <c r="D31" s="1"/>
      <c r="E31" s="1"/>
      <c r="F31" s="1"/>
      <c r="G31" s="1"/>
      <c r="H31" s="1"/>
    </row>
    <row r="32" spans="1:8" ht="22" customHeight="1">
      <c r="A32" s="1"/>
      <c r="B32" s="1"/>
      <c r="C32" s="1"/>
      <c r="D32" s="1"/>
      <c r="E32" s="1"/>
      <c r="F32" s="1"/>
      <c r="G32" s="1"/>
      <c r="H32" s="1"/>
    </row>
    <row r="33" spans="1:8" ht="22" customHeight="1">
      <c r="A33" s="1"/>
      <c r="B33" s="1"/>
      <c r="C33" s="1"/>
      <c r="D33" s="1"/>
      <c r="E33" s="1"/>
      <c r="F33" s="1"/>
      <c r="G33" s="1"/>
      <c r="H33" s="1"/>
    </row>
    <row r="34" spans="1:8" ht="22" customHeight="1">
      <c r="A34" s="1"/>
      <c r="B34" s="1"/>
      <c r="C34" s="1"/>
      <c r="D34" s="1"/>
      <c r="E34" s="1"/>
      <c r="F34" s="1"/>
      <c r="G34" s="1"/>
      <c r="H34" s="1"/>
    </row>
    <row r="35" spans="1:8" ht="22" customHeight="1">
      <c r="A35" s="1"/>
      <c r="B35" s="1"/>
      <c r="C35" s="1"/>
      <c r="D35" s="1"/>
      <c r="E35" s="1"/>
      <c r="F35" s="1"/>
      <c r="G35" s="1"/>
      <c r="H35" s="1"/>
    </row>
    <row r="36" spans="1:8" ht="22" customHeight="1">
      <c r="A36" s="1"/>
      <c r="B36" s="1"/>
      <c r="C36" s="1"/>
      <c r="D36" s="1"/>
      <c r="E36" s="1"/>
      <c r="F36" s="1"/>
      <c r="G36" s="1"/>
      <c r="H36" s="1"/>
    </row>
    <row r="37" spans="1:8" ht="22" customHeight="1">
      <c r="A37" s="1"/>
      <c r="B37" s="1"/>
      <c r="C37" s="1"/>
      <c r="D37" s="1"/>
      <c r="E37" s="1"/>
      <c r="F37" s="1"/>
      <c r="G37" s="1"/>
      <c r="H37" s="1"/>
    </row>
    <row r="38" spans="1:8" ht="22" customHeight="1">
      <c r="A38" s="1"/>
      <c r="B38" s="1"/>
      <c r="C38" s="1"/>
      <c r="D38" s="1"/>
      <c r="E38" s="1"/>
      <c r="F38" s="1"/>
      <c r="G38" s="1"/>
      <c r="H38" s="1"/>
    </row>
    <row r="39" spans="1:8" ht="22" customHeight="1">
      <c r="A39" s="1"/>
      <c r="B39" s="1"/>
      <c r="C39" s="1"/>
      <c r="D39" s="1"/>
      <c r="E39" s="1"/>
      <c r="F39" s="1"/>
      <c r="G39" s="1"/>
      <c r="H39" s="1"/>
    </row>
    <row r="40" spans="1:8" ht="22" customHeight="1">
      <c r="A40" s="1"/>
      <c r="B40" s="1"/>
      <c r="C40" s="1"/>
      <c r="D40" s="1"/>
      <c r="E40" s="1"/>
      <c r="F40" s="1"/>
      <c r="G40" s="1"/>
      <c r="H40" s="1"/>
    </row>
    <row r="41" spans="1:8" ht="22" customHeight="1">
      <c r="A41" s="1"/>
      <c r="B41" s="1"/>
      <c r="C41" s="1"/>
      <c r="D41" s="1"/>
      <c r="E41" s="1"/>
      <c r="F41" s="1"/>
      <c r="G41" s="1"/>
      <c r="H41" s="1"/>
    </row>
    <row r="42" spans="1:8" ht="22" customHeight="1">
      <c r="A42" s="1"/>
      <c r="B42" s="1"/>
      <c r="C42" s="1"/>
      <c r="D42" s="1"/>
      <c r="E42" s="1"/>
      <c r="F42" s="1"/>
      <c r="G42" s="1"/>
      <c r="H42" s="1"/>
    </row>
    <row r="43" spans="1:8" ht="22" customHeight="1">
      <c r="A43" s="1"/>
      <c r="B43" s="1"/>
      <c r="C43" s="1"/>
      <c r="D43" s="1"/>
      <c r="E43" s="1"/>
      <c r="F43" s="1"/>
      <c r="G43" s="1"/>
      <c r="H43" s="1"/>
    </row>
    <row r="44" spans="1:8" ht="22" customHeight="1">
      <c r="A44" s="1"/>
      <c r="B44" s="1"/>
      <c r="C44" s="1"/>
      <c r="D44" s="1"/>
      <c r="E44" s="1"/>
      <c r="F44" s="1"/>
      <c r="G44" s="1"/>
      <c r="H44" s="1"/>
    </row>
    <row r="45" spans="1:8" ht="22" customHeight="1">
      <c r="A45" s="1"/>
      <c r="B45" s="1"/>
      <c r="C45" s="1"/>
      <c r="D45" s="1"/>
      <c r="E45" s="1"/>
      <c r="F45" s="1"/>
      <c r="G45" s="1"/>
      <c r="H45" s="1"/>
    </row>
    <row r="46" spans="1:8" ht="22" customHeight="1">
      <c r="A46" s="1"/>
      <c r="B46" s="1"/>
      <c r="C46" s="1"/>
      <c r="D46" s="1"/>
      <c r="E46" s="1"/>
      <c r="F46" s="1"/>
      <c r="G46" s="1"/>
      <c r="H46" s="1"/>
    </row>
    <row r="47" spans="1:8" ht="22" customHeight="1">
      <c r="A47" s="1"/>
      <c r="B47" s="1"/>
      <c r="C47" s="1"/>
      <c r="D47" s="1"/>
      <c r="E47" s="1"/>
      <c r="F47" s="1"/>
      <c r="G47" s="1"/>
      <c r="H47" s="1"/>
    </row>
    <row r="48" spans="1:8" ht="22" customHeight="1">
      <c r="A48" s="1"/>
      <c r="B48" s="1"/>
      <c r="C48" s="1"/>
      <c r="D48" s="1"/>
      <c r="E48" s="1"/>
      <c r="F48" s="1"/>
      <c r="G48" s="1"/>
      <c r="H48" s="1"/>
    </row>
    <row r="49" spans="1:8" ht="22" customHeight="1">
      <c r="A49" s="1"/>
      <c r="B49" s="1"/>
      <c r="C49" s="1"/>
      <c r="D49" s="1"/>
      <c r="E49" s="1"/>
      <c r="F49" s="1"/>
      <c r="G49" s="1"/>
      <c r="H49" s="1"/>
    </row>
    <row r="50" spans="1:8" ht="22" customHeight="1">
      <c r="A50" s="1"/>
      <c r="B50" s="1"/>
      <c r="C50" s="1"/>
      <c r="D50" s="1"/>
      <c r="E50" s="1"/>
      <c r="F50" s="1"/>
      <c r="G50" s="1"/>
      <c r="H50" s="1"/>
    </row>
    <row r="51" spans="1:8" ht="22" customHeight="1">
      <c r="A51" s="1"/>
      <c r="B51" s="1"/>
      <c r="C51" s="1"/>
      <c r="D51" s="1"/>
      <c r="E51" s="1"/>
      <c r="F51" s="1"/>
      <c r="G51" s="1"/>
      <c r="H51" s="1"/>
    </row>
    <row r="52" spans="1:8" ht="22" customHeight="1">
      <c r="A52" s="1"/>
      <c r="B52" s="1"/>
      <c r="C52" s="1"/>
      <c r="D52" s="1"/>
      <c r="E52" s="1"/>
      <c r="F52" s="1"/>
      <c r="G52" s="1"/>
      <c r="H52" s="1"/>
    </row>
    <row r="53" spans="1:8" ht="22" customHeight="1">
      <c r="A53" s="1"/>
      <c r="B53" s="1"/>
      <c r="C53" s="1"/>
      <c r="D53" s="1"/>
      <c r="E53" s="1"/>
      <c r="F53" s="1"/>
      <c r="G53" s="1"/>
      <c r="H53" s="1"/>
    </row>
    <row r="54" spans="1:8" ht="22" customHeight="1">
      <c r="A54" s="1"/>
      <c r="B54" s="1"/>
      <c r="C54" s="1"/>
      <c r="D54" s="1"/>
      <c r="E54" s="1"/>
      <c r="F54" s="1"/>
      <c r="G54" s="1"/>
      <c r="H54" s="1"/>
    </row>
    <row r="55" spans="1:8" ht="22" customHeight="1">
      <c r="A55" s="1"/>
      <c r="B55" s="1"/>
      <c r="C55" s="1"/>
      <c r="D55" s="1"/>
      <c r="E55" s="1"/>
      <c r="F55" s="1"/>
      <c r="G55" s="1"/>
      <c r="H55" s="1"/>
    </row>
    <row r="56" spans="1:8" ht="22" customHeight="1">
      <c r="A56" s="1"/>
      <c r="B56" s="1"/>
      <c r="C56" s="1"/>
      <c r="D56" s="1"/>
      <c r="E56" s="1"/>
      <c r="F56" s="1"/>
      <c r="G56" s="1"/>
      <c r="H56" s="1"/>
    </row>
    <row r="57" spans="1:8" ht="22" customHeight="1">
      <c r="A57" s="1"/>
      <c r="B57" s="1"/>
      <c r="C57" s="1"/>
      <c r="D57" s="1"/>
      <c r="E57" s="1"/>
      <c r="F57" s="1"/>
      <c r="G57" s="1"/>
      <c r="H57" s="1"/>
    </row>
    <row r="58" spans="1:8" ht="22" customHeight="1">
      <c r="A58" s="1"/>
      <c r="B58" s="1"/>
      <c r="C58" s="1"/>
      <c r="D58" s="1"/>
      <c r="E58" s="1"/>
      <c r="F58" s="1"/>
      <c r="G58" s="1"/>
      <c r="H58" s="1"/>
    </row>
    <row r="59" spans="1:8" ht="22" customHeight="1">
      <c r="A59" s="1"/>
      <c r="B59" s="1"/>
      <c r="C59" s="1"/>
      <c r="D59" s="1"/>
      <c r="E59" s="1"/>
      <c r="F59" s="1"/>
      <c r="G59" s="1"/>
      <c r="H59" s="1"/>
    </row>
    <row r="60" spans="1:8" ht="22" customHeight="1">
      <c r="A60" s="1"/>
      <c r="B60" s="1"/>
      <c r="C60" s="1"/>
      <c r="D60" s="1"/>
      <c r="E60" s="1"/>
      <c r="F60" s="1"/>
      <c r="G60" s="1"/>
      <c r="H60" s="1"/>
    </row>
    <row r="61" spans="1:8" ht="22" customHeight="1">
      <c r="A61" s="1"/>
      <c r="B61" s="1"/>
      <c r="C61" s="1"/>
      <c r="D61" s="1"/>
      <c r="E61" s="1"/>
      <c r="F61" s="1"/>
      <c r="G61" s="1"/>
      <c r="H61" s="1"/>
    </row>
    <row r="62" spans="1:8" ht="22" customHeight="1">
      <c r="A62" s="1"/>
      <c r="B62" s="1"/>
      <c r="C62" s="1"/>
      <c r="D62" s="1"/>
      <c r="E62" s="1"/>
      <c r="F62" s="1"/>
      <c r="G62" s="1"/>
      <c r="H62" s="1"/>
    </row>
    <row r="63" spans="1:8" ht="22" customHeight="1">
      <c r="A63" s="1"/>
      <c r="B63" s="1"/>
      <c r="C63" s="1"/>
      <c r="D63" s="1"/>
      <c r="E63" s="1"/>
      <c r="F63" s="1"/>
      <c r="G63" s="1"/>
      <c r="H63" s="1"/>
    </row>
    <row r="64" spans="1:8" ht="22" customHeight="1">
      <c r="A64" s="1"/>
      <c r="B64" s="1"/>
      <c r="C64" s="1"/>
      <c r="D64" s="1"/>
      <c r="E64" s="1"/>
      <c r="F64" s="1"/>
      <c r="G64" s="1"/>
      <c r="H64" s="1"/>
    </row>
    <row r="65" spans="1:8" ht="22" customHeight="1">
      <c r="A65" s="1"/>
      <c r="B65" s="1"/>
      <c r="C65" s="1"/>
      <c r="D65" s="1"/>
      <c r="E65" s="1"/>
      <c r="F65" s="1"/>
      <c r="G65" s="1"/>
      <c r="H65" s="1"/>
    </row>
    <row r="66" spans="1:8" ht="22" customHeight="1">
      <c r="A66" s="1"/>
      <c r="B66" s="1"/>
      <c r="C66" s="1"/>
      <c r="D66" s="1"/>
      <c r="E66" s="1"/>
      <c r="F66" s="1"/>
      <c r="G66" s="1"/>
      <c r="H66" s="1"/>
    </row>
    <row r="67" spans="1:8" ht="22" customHeight="1">
      <c r="A67" s="1"/>
      <c r="B67" s="1"/>
      <c r="C67" s="1"/>
      <c r="D67" s="1"/>
      <c r="E67" s="1"/>
      <c r="F67" s="1"/>
      <c r="G67" s="1"/>
      <c r="H67" s="1"/>
    </row>
    <row r="68" spans="1:8" ht="22" customHeight="1">
      <c r="A68" s="1"/>
      <c r="B68" s="1"/>
      <c r="C68" s="1"/>
      <c r="D68" s="1"/>
      <c r="E68" s="1"/>
      <c r="F68" s="1"/>
      <c r="G68" s="1"/>
      <c r="H68" s="1"/>
    </row>
    <row r="69" spans="1:8" ht="22" customHeight="1">
      <c r="A69" s="1"/>
      <c r="B69" s="1"/>
      <c r="C69" s="1"/>
      <c r="D69" s="1"/>
      <c r="E69" s="1"/>
      <c r="F69" s="1"/>
      <c r="G69" s="1"/>
      <c r="H69" s="1"/>
    </row>
    <row r="70" spans="1:8" ht="22" customHeight="1">
      <c r="A70" s="1"/>
      <c r="B70" s="1"/>
      <c r="C70" s="1"/>
      <c r="D70" s="1"/>
      <c r="E70" s="1"/>
      <c r="F70" s="1"/>
      <c r="G70" s="1"/>
      <c r="H70" s="1"/>
    </row>
    <row r="71" spans="1:8" ht="22" customHeight="1">
      <c r="A71" s="1"/>
      <c r="B71" s="1"/>
      <c r="C71" s="1"/>
      <c r="D71" s="1"/>
      <c r="E71" s="1"/>
      <c r="F71" s="1"/>
      <c r="G71" s="1"/>
      <c r="H71" s="1"/>
    </row>
    <row r="72" spans="1:8" ht="22" customHeight="1">
      <c r="A72" s="1"/>
      <c r="B72" s="1"/>
      <c r="C72" s="1"/>
      <c r="D72" s="1"/>
      <c r="E72" s="1"/>
      <c r="F72" s="1"/>
      <c r="G72" s="1"/>
      <c r="H72" s="1"/>
    </row>
    <row r="73" spans="1:8" ht="22" customHeight="1">
      <c r="A73" s="1"/>
      <c r="B73" s="1"/>
      <c r="C73" s="1"/>
      <c r="D73" s="1"/>
      <c r="E73" s="1"/>
      <c r="F73" s="1"/>
      <c r="G73" s="1"/>
      <c r="H73" s="1"/>
    </row>
    <row r="74" spans="1:8" ht="22" customHeight="1">
      <c r="A74" s="1"/>
      <c r="B74" s="1"/>
      <c r="C74" s="1"/>
      <c r="D74" s="1"/>
      <c r="E74" s="1"/>
      <c r="F74" s="1"/>
      <c r="G74" s="1"/>
      <c r="H74" s="1"/>
    </row>
    <row r="75" spans="1:8" ht="22" customHeight="1">
      <c r="A75" s="1"/>
      <c r="B75" s="1"/>
      <c r="C75" s="1"/>
      <c r="D75" s="1"/>
      <c r="E75" s="1"/>
      <c r="F75" s="1"/>
      <c r="G75" s="1"/>
      <c r="H75" s="1"/>
    </row>
    <row r="76" spans="1:8" ht="22" customHeight="1">
      <c r="A76" s="1"/>
      <c r="B76" s="1"/>
      <c r="C76" s="1"/>
      <c r="D76" s="1"/>
      <c r="E76" s="1"/>
      <c r="F76" s="1"/>
      <c r="G76" s="1"/>
      <c r="H76" s="1"/>
    </row>
    <row r="77" spans="1:8" ht="22" customHeight="1">
      <c r="A77" s="1"/>
      <c r="B77" s="1"/>
      <c r="C77" s="1"/>
      <c r="D77" s="1"/>
      <c r="E77" s="1"/>
      <c r="F77" s="1"/>
      <c r="G77" s="1"/>
      <c r="H77" s="1"/>
    </row>
    <row r="78" spans="1:8" ht="22" customHeight="1">
      <c r="A78" s="1"/>
      <c r="B78" s="1"/>
      <c r="C78" s="1"/>
      <c r="D78" s="1"/>
      <c r="E78" s="1"/>
      <c r="F78" s="1"/>
      <c r="G78" s="1"/>
      <c r="H78" s="1"/>
    </row>
    <row r="79" spans="1:8" ht="22" customHeight="1">
      <c r="A79" s="1"/>
      <c r="B79" s="1"/>
      <c r="C79" s="1"/>
      <c r="D79" s="1"/>
      <c r="E79" s="1"/>
      <c r="F79" s="1"/>
      <c r="G79" s="1"/>
      <c r="H79" s="1"/>
    </row>
    <row r="80" spans="1:8" ht="22" customHeight="1">
      <c r="A80" s="1"/>
      <c r="B80" s="1"/>
      <c r="C80" s="1"/>
      <c r="D80" s="1"/>
      <c r="E80" s="1"/>
      <c r="F80" s="1"/>
      <c r="G80" s="1"/>
      <c r="H80" s="1"/>
    </row>
    <row r="81" spans="1:8" ht="22" customHeight="1">
      <c r="A81" s="1"/>
      <c r="B81" s="1"/>
      <c r="C81" s="1"/>
      <c r="D81" s="1"/>
      <c r="E81" s="1"/>
      <c r="F81" s="1"/>
      <c r="G81" s="1"/>
      <c r="H81" s="1"/>
    </row>
    <row r="82" spans="1:8" ht="22" customHeight="1">
      <c r="A82" s="1"/>
      <c r="B82" s="1"/>
      <c r="C82" s="1"/>
      <c r="D82" s="1"/>
      <c r="E82" s="1"/>
      <c r="F82" s="1"/>
      <c r="G82" s="1"/>
      <c r="H82" s="1"/>
    </row>
    <row r="83" spans="1:8" ht="22" customHeight="1">
      <c r="A83" s="1"/>
      <c r="B83" s="1"/>
      <c r="C83" s="1"/>
      <c r="D83" s="1"/>
      <c r="E83" s="1"/>
      <c r="F83" s="1"/>
      <c r="G83" s="1"/>
      <c r="H83" s="1"/>
    </row>
    <row r="84" spans="1:8" ht="22" customHeight="1">
      <c r="A84" s="1"/>
      <c r="B84" s="1"/>
      <c r="C84" s="1"/>
      <c r="D84" s="1"/>
      <c r="E84" s="1"/>
      <c r="F84" s="1"/>
      <c r="G84" s="1"/>
      <c r="H84" s="1"/>
    </row>
    <row r="85" spans="1:8" ht="22" customHeight="1">
      <c r="A85" s="1"/>
      <c r="B85" s="1"/>
      <c r="C85" s="1"/>
      <c r="D85" s="1"/>
      <c r="E85" s="1"/>
      <c r="F85" s="1"/>
      <c r="G85" s="1"/>
      <c r="H85" s="1"/>
    </row>
    <row r="86" spans="1:8" ht="22" customHeight="1">
      <c r="A86" s="1"/>
      <c r="B86" s="1"/>
      <c r="C86" s="1"/>
      <c r="D86" s="1"/>
      <c r="E86" s="1"/>
      <c r="F86" s="1"/>
      <c r="G86" s="1"/>
      <c r="H86" s="1"/>
    </row>
    <row r="87" spans="1:8" ht="22" customHeight="1">
      <c r="A87" s="1"/>
      <c r="B87" s="1"/>
      <c r="C87" s="1"/>
      <c r="D87" s="1"/>
      <c r="E87" s="1"/>
      <c r="F87" s="1"/>
      <c r="G87" s="1"/>
      <c r="H87" s="1"/>
    </row>
    <row r="88" spans="1:8" ht="22" customHeight="1">
      <c r="A88" s="1"/>
      <c r="B88" s="1"/>
      <c r="C88" s="1"/>
      <c r="D88" s="1"/>
      <c r="E88" s="1"/>
      <c r="F88" s="1"/>
      <c r="G88" s="1"/>
      <c r="H88" s="1"/>
    </row>
    <row r="89" spans="1:8" ht="22" customHeight="1">
      <c r="A89" s="1"/>
      <c r="B89" s="1"/>
      <c r="C89" s="1"/>
      <c r="D89" s="1"/>
      <c r="E89" s="1"/>
      <c r="F89" s="1"/>
      <c r="G89" s="1"/>
      <c r="H89" s="1"/>
    </row>
    <row r="90" spans="1:8" ht="22" customHeight="1">
      <c r="A90" s="1"/>
      <c r="B90" s="1"/>
      <c r="C90" s="1"/>
      <c r="D90" s="1"/>
      <c r="E90" s="1"/>
      <c r="F90" s="1"/>
      <c r="G90" s="1"/>
      <c r="H90" s="1"/>
    </row>
  </sheetData>
  <sheetProtection sheet="1" objects="1" scenarios="1"/>
  <mergeCells count="8">
    <mergeCell ref="A21:H22"/>
    <mergeCell ref="A25:H26"/>
    <mergeCell ref="A29:H30"/>
    <mergeCell ref="A1:H2"/>
    <mergeCell ref="A5:H6"/>
    <mergeCell ref="A9:H10"/>
    <mergeCell ref="A13:H14"/>
    <mergeCell ref="A17:H18"/>
  </mergeCells>
  <pageMargins left="0.39370078740157477" right="0.39370078740157477" top="0.39370078740157477" bottom="0.39370078740157477" header="0.3" footer="0.3"/>
  <pageSetup paperSize="9" scale="75" orientation="landscape" r:id="rId1"/>
  <headerFooter>
    <oddFooter>&amp;CCalcy | Page &amp;P&amp;Rcalcy.com.au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Dashboard</vt:lpstr>
      <vt:lpstr>Mortgage Inputs</vt:lpstr>
      <vt:lpstr>Offset Inputs</vt:lpstr>
      <vt:lpstr>Monthly Projection</vt:lpstr>
      <vt:lpstr>Comparison</vt:lpstr>
      <vt:lpstr>Charts</vt:lpstr>
      <vt:lpstr>Instructions</vt:lpstr>
      <vt:lpstr>Charts!Print_Area</vt:lpstr>
      <vt:lpstr>Dashboard!Print_Area</vt:lpstr>
      <vt:lpstr>Instructions!Print_Area</vt:lpstr>
      <vt:lpstr>'Mortgage Inputs'!Print_Area</vt:lpstr>
      <vt:lpstr>'Offset Inputs'!Print_Area</vt:lpstr>
      <vt:lpstr>Comparison!Print_Titles</vt:lpstr>
      <vt:lpstr>'Monthly Projection'!Print_Titles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xsi="http://www.w3.org/2001/XMLSchema-instance">
  <cp:lastPrinted>2026-10-16T16:46:13Z</cp:lastPrinted>
  <dcterms:modified xsi:type="dcterms:W3CDTF">2026-10-16T16:46:14Z</dcterms:modified>
</cp:coreProperties>
</file>