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SIV\.codex\worktrees\calcy-spreadsheet-phase1\rate-finder-plus\outputs\spreadsheet-phase1\"/>
    </mc:Choice>
  </mc:AlternateContent>
  <xr:revisionPtr revIDLastSave="0" documentId="13_ncr:1_{EE8FB495-4317-46B4-B961-CD1DE6BD53DA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Dashboard" sheetId="1" r:id="rId1"/>
    <sheet name="Loan Inputs" sheetId="2" r:id="rId2"/>
    <sheet name="Repayment Schedule" sheetId="3" r:id="rId3"/>
    <sheet name="Annual Summary" sheetId="4" r:id="rId4"/>
    <sheet name="Charts" sheetId="5" r:id="rId5"/>
    <sheet name="Instructions" sheetId="6" r:id="rId6"/>
  </sheets>
  <definedNames>
    <definedName name="ChartBalance">OFFSET(Charts!$B$41,0,0,MAX(1,ROUNDUP(Dashboard!$B$13/'Loan Inputs'!$B$14,0)),1)</definedName>
    <definedName name="ChartInterest">OFFSET(Charts!$D$41,0,0,MAX(1,ROUNDUP(Dashboard!$B$13/'Loan Inputs'!$B$14,0)),1)</definedName>
    <definedName name="ChartPrincipal">OFFSET(Charts!$C$41,0,0,MAX(1,ROUNDUP(Dashboard!$B$13/'Loan Inputs'!$B$14,0)),1)</definedName>
    <definedName name="ChartYears">OFFSET(Charts!$A$41,0,0,MAX(1,ROUNDUP(Dashboard!$B$13/'Loan Inputs'!$B$14,0)),1)</definedName>
    <definedName name="_xlnm.Print_Area" localSheetId="3">'Annual Summary'!$A$1:$G$46</definedName>
    <definedName name="_xlnm.Print_Area" localSheetId="4">Charts!$A$1:$H$36</definedName>
    <definedName name="_xlnm.Print_Area" localSheetId="0">Dashboard!$A$1:$H$28</definedName>
    <definedName name="_xlnm.Print_Area" localSheetId="5">Instructions!$A$1:$H$32</definedName>
    <definedName name="_xlnm.Print_Area" localSheetId="1">'Loan Inputs'!$A$1:$H$28</definedName>
    <definedName name="_xlnm.Print_Area" localSheetId="2">OFFSET('Repayment Schedule'!$A$1,0,0,MAX(7,Dashboard!$B$13+6),8)</definedName>
    <definedName name="_xlnm.Print_Titles" localSheetId="3">'Annual Summary'!$1:$6</definedName>
    <definedName name="_xlnm.Print_Titles" localSheetId="2">'Repayment Schedule'!$1:$6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4" i="2" l="1"/>
  <c r="B12" i="2"/>
  <c r="A7" i="3" s="1"/>
  <c r="B16" i="2" l="1"/>
  <c r="C7" i="3"/>
  <c r="A4" i="1"/>
  <c r="C12" i="2"/>
  <c r="B7" i="3"/>
  <c r="B15" i="2"/>
  <c r="B17" i="2" s="1"/>
  <c r="B7" i="1" s="1"/>
  <c r="E7" i="3" l="1"/>
  <c r="H7" i="3" s="1"/>
  <c r="D7" i="3" s="1"/>
  <c r="F7" i="3" l="1"/>
  <c r="G7" i="3" l="1"/>
  <c r="A8" i="3" s="1"/>
  <c r="B8" i="3" l="1"/>
  <c r="C8" i="3"/>
  <c r="E8" i="3" l="1"/>
  <c r="H8" i="3" l="1"/>
  <c r="D8" i="3" s="1"/>
  <c r="F8" i="3" l="1"/>
  <c r="G8" i="3" l="1"/>
  <c r="A9" i="3" s="1"/>
  <c r="B9" i="3" l="1"/>
  <c r="C9" i="3"/>
  <c r="E9" i="3" s="1"/>
  <c r="H9" i="3" l="1"/>
  <c r="D9" i="3"/>
  <c r="F9" i="3" l="1"/>
  <c r="G9" i="3" l="1"/>
  <c r="A10" i="3" s="1"/>
  <c r="B10" i="3" l="1"/>
  <c r="C10" i="3"/>
  <c r="E10" i="3" l="1"/>
  <c r="H10" i="3" s="1"/>
  <c r="D10" i="3" l="1"/>
  <c r="F10" i="3" l="1"/>
  <c r="G10" i="3" l="1"/>
  <c r="A11" i="3" s="1"/>
  <c r="C11" i="3" l="1"/>
  <c r="B11" i="3"/>
  <c r="E11" i="3"/>
  <c r="H11" i="3" l="1"/>
  <c r="D11" i="3" s="1"/>
  <c r="F11" i="3" s="1"/>
  <c r="G11" i="3" s="1"/>
  <c r="A12" i="3" s="1"/>
  <c r="C12" i="3" s="1"/>
  <c r="B12" i="3" l="1"/>
  <c r="E12" i="3"/>
  <c r="H12" i="3" s="1"/>
  <c r="D12" i="3" l="1"/>
  <c r="F12" i="3" s="1"/>
  <c r="G12" i="3" s="1"/>
  <c r="A13" i="3" s="1"/>
  <c r="C13" i="3" l="1"/>
  <c r="E13" i="3" s="1"/>
  <c r="B13" i="3"/>
  <c r="H13" i="3" l="1"/>
  <c r="D13" i="3"/>
  <c r="F13" i="3" s="1"/>
  <c r="G13" i="3" s="1"/>
  <c r="A14" i="3" s="1"/>
  <c r="B14" i="3" l="1"/>
  <c r="C14" i="3"/>
  <c r="E14" i="3" s="1"/>
  <c r="H14" i="3" s="1"/>
  <c r="D14" i="3" l="1"/>
  <c r="F14" i="3" s="1"/>
  <c r="G14" i="3" s="1"/>
  <c r="A15" i="3" s="1"/>
  <c r="C15" i="3" l="1"/>
  <c r="B15" i="3"/>
  <c r="E15" i="3" l="1"/>
  <c r="H15" i="3" s="1"/>
  <c r="D15" i="3" s="1"/>
  <c r="F15" i="3" s="1"/>
  <c r="G15" i="3" s="1"/>
  <c r="A16" i="3" s="1"/>
  <c r="C16" i="3" l="1"/>
  <c r="B16" i="3"/>
  <c r="E16" i="3" l="1"/>
  <c r="H16" i="3" s="1"/>
  <c r="D16" i="3" l="1"/>
  <c r="F16" i="3" s="1"/>
  <c r="G16" i="3" s="1"/>
  <c r="A17" i="3" s="1"/>
  <c r="C17" i="3" l="1"/>
  <c r="E17" i="3" s="1"/>
  <c r="B17" i="3"/>
  <c r="H17" i="3" l="1"/>
  <c r="D17" i="3" s="1"/>
  <c r="F17" i="3" s="1"/>
  <c r="G17" i="3" s="1"/>
  <c r="A18" i="3" s="1"/>
  <c r="C18" i="3" l="1"/>
  <c r="B18" i="3"/>
  <c r="E18" i="3" l="1"/>
  <c r="H18" i="3" s="1"/>
  <c r="D18" i="3" s="1"/>
  <c r="F18" i="3" s="1"/>
  <c r="G18" i="3" s="1"/>
  <c r="A19" i="3" s="1"/>
  <c r="C19" i="3" l="1"/>
  <c r="E19" i="3" s="1"/>
  <c r="B19" i="3"/>
  <c r="H19" i="3" l="1"/>
  <c r="D19" i="3"/>
  <c r="F19" i="3" s="1"/>
  <c r="G19" i="3" s="1"/>
  <c r="A20" i="3" s="1"/>
  <c r="C20" i="3" l="1"/>
  <c r="E20" i="3" s="1"/>
  <c r="H20" i="3" s="1"/>
  <c r="B20" i="3"/>
  <c r="D20" i="3" l="1"/>
  <c r="F20" i="3" s="1"/>
  <c r="G20" i="3" s="1"/>
  <c r="A21" i="3" s="1"/>
  <c r="C21" i="3" l="1"/>
  <c r="B21" i="3"/>
  <c r="E21" i="3"/>
  <c r="H21" i="3" s="1"/>
  <c r="D21" i="3" l="1"/>
  <c r="F21" i="3" s="1"/>
  <c r="G21" i="3" s="1"/>
  <c r="A22" i="3" s="1"/>
  <c r="B22" i="3" s="1"/>
  <c r="C22" i="3" l="1"/>
  <c r="E22" i="3" s="1"/>
  <c r="H22" i="3" s="1"/>
  <c r="D22" i="3" l="1"/>
  <c r="F22" i="3" s="1"/>
  <c r="G22" i="3" s="1"/>
  <c r="A23" i="3" s="1"/>
  <c r="C23" i="3" s="1"/>
  <c r="E23" i="3" s="1"/>
  <c r="H23" i="3" s="1"/>
  <c r="B23" i="3" l="1"/>
  <c r="D23" i="3"/>
  <c r="F23" i="3" s="1"/>
  <c r="G23" i="3" s="1"/>
  <c r="A24" i="3" s="1"/>
  <c r="C24" i="3" l="1"/>
  <c r="B24" i="3"/>
  <c r="E24" i="3" l="1"/>
  <c r="H24" i="3" s="1"/>
  <c r="D24" i="3" l="1"/>
  <c r="F24" i="3" s="1"/>
  <c r="G24" i="3" s="1"/>
  <c r="A25" i="3" s="1"/>
  <c r="C25" i="3" l="1"/>
  <c r="E25" i="3" s="1"/>
  <c r="B25" i="3"/>
  <c r="H25" i="3" l="1"/>
  <c r="D25" i="3"/>
  <c r="F25" i="3" s="1"/>
  <c r="G25" i="3" s="1"/>
  <c r="A26" i="3" s="1"/>
  <c r="C26" i="3" l="1"/>
  <c r="B26" i="3"/>
  <c r="E26" i="3" l="1"/>
  <c r="H26" i="3" s="1"/>
  <c r="D26" i="3" l="1"/>
  <c r="F26" i="3" s="1"/>
  <c r="G26" i="3" s="1"/>
  <c r="A27" i="3" s="1"/>
  <c r="C27" i="3" l="1"/>
  <c r="E27" i="3" s="1"/>
  <c r="B27" i="3"/>
  <c r="H27" i="3" l="1"/>
  <c r="D27" i="3" s="1"/>
  <c r="F27" i="3" s="1"/>
  <c r="G27" i="3" s="1"/>
  <c r="A28" i="3" s="1"/>
  <c r="C28" i="3" s="1"/>
  <c r="B28" i="3" l="1"/>
  <c r="E28" i="3"/>
  <c r="H28" i="3" l="1"/>
  <c r="D28" i="3" s="1"/>
  <c r="F28" i="3" s="1"/>
  <c r="G28" i="3" s="1"/>
  <c r="A29" i="3" s="1"/>
  <c r="B29" i="3" l="1"/>
  <c r="C29" i="3"/>
  <c r="E29" i="3" l="1"/>
  <c r="H29" i="3" s="1"/>
  <c r="D29" i="3" l="1"/>
  <c r="F29" i="3" s="1"/>
  <c r="G29" i="3" s="1"/>
  <c r="A30" i="3" s="1"/>
  <c r="C30" i="3" s="1"/>
  <c r="B30" i="3" l="1"/>
  <c r="E30" i="3"/>
  <c r="H30" i="3" l="1"/>
  <c r="D30" i="3" s="1"/>
  <c r="F30" i="3" s="1"/>
  <c r="G30" i="3" s="1"/>
  <c r="A31" i="3" s="1"/>
  <c r="C31" i="3" l="1"/>
  <c r="E31" i="3" s="1"/>
  <c r="B31" i="3"/>
  <c r="H31" i="3" l="1"/>
  <c r="D31" i="3"/>
  <c r="F31" i="3" s="1"/>
  <c r="G31" i="3" s="1"/>
  <c r="A32" i="3" s="1"/>
  <c r="C32" i="3" l="1"/>
  <c r="B32" i="3"/>
  <c r="E32" i="3" l="1"/>
  <c r="H32" i="3" l="1"/>
  <c r="D32" i="3" s="1"/>
  <c r="F32" i="3" s="1"/>
  <c r="G32" i="3" s="1"/>
  <c r="A33" i="3" s="1"/>
  <c r="C33" i="3" l="1"/>
  <c r="E33" i="3" s="1"/>
  <c r="H33" i="3" s="1"/>
  <c r="B33" i="3"/>
  <c r="D33" i="3" l="1"/>
  <c r="F33" i="3" s="1"/>
  <c r="G33" i="3" s="1"/>
  <c r="A34" i="3" s="1"/>
  <c r="C34" i="3" l="1"/>
  <c r="E34" i="3" s="1"/>
  <c r="H34" i="3" s="1"/>
  <c r="B34" i="3"/>
  <c r="D34" i="3" l="1"/>
  <c r="F34" i="3" s="1"/>
  <c r="G34" i="3" s="1"/>
  <c r="A35" i="3" s="1"/>
  <c r="C35" i="3" l="1"/>
  <c r="B35" i="3"/>
  <c r="E35" i="3"/>
  <c r="H35" i="3" l="1"/>
  <c r="D35" i="3" s="1"/>
  <c r="F35" i="3" s="1"/>
  <c r="G35" i="3" s="1"/>
  <c r="A36" i="3" s="1"/>
  <c r="C36" i="3" l="1"/>
  <c r="B36" i="3"/>
  <c r="E36" i="3"/>
  <c r="H36" i="3" s="1"/>
  <c r="D36" i="3" l="1"/>
  <c r="F36" i="3" s="1"/>
  <c r="G36" i="3" s="1"/>
  <c r="A37" i="3" s="1"/>
  <c r="C37" i="3" l="1"/>
  <c r="E37" i="3" s="1"/>
  <c r="H37" i="3" s="1"/>
  <c r="B37" i="3"/>
  <c r="D37" i="3" l="1"/>
  <c r="F37" i="3" s="1"/>
  <c r="G37" i="3" s="1"/>
  <c r="A38" i="3" s="1"/>
  <c r="B38" i="3" l="1"/>
  <c r="C38" i="3"/>
  <c r="E38" i="3" s="1"/>
  <c r="H38" i="3" l="1"/>
  <c r="D38" i="3"/>
  <c r="F38" i="3" s="1"/>
  <c r="G38" i="3" s="1"/>
  <c r="A39" i="3" s="1"/>
  <c r="C39" i="3" l="1"/>
  <c r="E39" i="3" s="1"/>
  <c r="B39" i="3"/>
  <c r="H39" i="3" l="1"/>
  <c r="D39" i="3" s="1"/>
  <c r="F39" i="3" s="1"/>
  <c r="G39" i="3" s="1"/>
  <c r="A40" i="3" s="1"/>
  <c r="B40" i="3" l="1"/>
  <c r="C40" i="3"/>
  <c r="E40" i="3" s="1"/>
  <c r="H40" i="3" l="1"/>
  <c r="D40" i="3"/>
  <c r="F40" i="3" s="1"/>
  <c r="G40" i="3" s="1"/>
  <c r="A41" i="3" s="1"/>
  <c r="C41" i="3" l="1"/>
  <c r="B41" i="3"/>
  <c r="E41" i="3"/>
  <c r="H41" i="3" s="1"/>
  <c r="D41" i="3" l="1"/>
  <c r="F41" i="3" s="1"/>
  <c r="G41" i="3" s="1"/>
  <c r="A42" i="3" s="1"/>
  <c r="C42" i="3" l="1"/>
  <c r="B42" i="3"/>
  <c r="E42" i="3"/>
  <c r="H42" i="3" s="1"/>
  <c r="D42" i="3" s="1"/>
  <c r="F42" i="3" s="1"/>
  <c r="G42" i="3" l="1"/>
  <c r="A43" i="3" s="1"/>
  <c r="B43" i="3" l="1"/>
  <c r="C43" i="3"/>
  <c r="E43" i="3" s="1"/>
  <c r="H43" i="3" l="1"/>
  <c r="D43" i="3"/>
  <c r="F43" i="3" s="1"/>
  <c r="G43" i="3" s="1"/>
  <c r="A44" i="3" s="1"/>
  <c r="C44" i="3" l="1"/>
  <c r="E44" i="3" s="1"/>
  <c r="H44" i="3" s="1"/>
  <c r="B44" i="3"/>
  <c r="D44" i="3" l="1"/>
  <c r="F44" i="3" s="1"/>
  <c r="G44" i="3" s="1"/>
  <c r="A45" i="3" s="1"/>
  <c r="C45" i="3" l="1"/>
  <c r="E45" i="3"/>
  <c r="B45" i="3"/>
  <c r="H45" i="3" l="1"/>
  <c r="D45" i="3" s="1"/>
  <c r="F45" i="3" s="1"/>
  <c r="G45" i="3" s="1"/>
  <c r="A46" i="3" s="1"/>
  <c r="B46" i="3" l="1"/>
  <c r="C46" i="3"/>
  <c r="E46" i="3" s="1"/>
  <c r="H46" i="3" l="1"/>
  <c r="D46" i="3"/>
  <c r="F46" i="3" s="1"/>
  <c r="G46" i="3" s="1"/>
  <c r="A47" i="3" s="1"/>
  <c r="C47" i="3" l="1"/>
  <c r="B47" i="3"/>
  <c r="E47" i="3" l="1"/>
  <c r="H47" i="3"/>
  <c r="D47" i="3" l="1"/>
  <c r="F47" i="3" s="1"/>
  <c r="G47" i="3" s="1"/>
  <c r="A48" i="3" s="1"/>
  <c r="B48" i="3" l="1"/>
  <c r="C48" i="3"/>
  <c r="E48" i="3" l="1"/>
  <c r="H48" i="3" s="1"/>
  <c r="D48" i="3" l="1"/>
  <c r="F48" i="3" s="1"/>
  <c r="G48" i="3" s="1"/>
  <c r="A49" i="3" s="1"/>
  <c r="C49" i="3" l="1"/>
  <c r="E49" i="3" s="1"/>
  <c r="B49" i="3"/>
  <c r="H49" i="3" l="1"/>
  <c r="D49" i="3"/>
  <c r="F49" i="3" s="1"/>
  <c r="G49" i="3" s="1"/>
  <c r="A50" i="3" s="1"/>
  <c r="B50" i="3" l="1"/>
  <c r="C50" i="3"/>
  <c r="E50" i="3" s="1"/>
  <c r="H50" i="3" l="1"/>
  <c r="D50" i="3" s="1"/>
  <c r="F50" i="3" s="1"/>
  <c r="G50" i="3" s="1"/>
  <c r="A51" i="3" s="1"/>
  <c r="C51" i="3" l="1"/>
  <c r="B51" i="3"/>
  <c r="E51" i="3" l="1"/>
  <c r="H51" i="3" s="1"/>
  <c r="D51" i="3" l="1"/>
  <c r="F51" i="3" s="1"/>
  <c r="G51" i="3" s="1"/>
  <c r="A52" i="3" s="1"/>
  <c r="C52" i="3" s="1"/>
  <c r="B52" i="3" l="1"/>
  <c r="E52" i="3"/>
  <c r="H52" i="3" l="1"/>
  <c r="D52" i="3" s="1"/>
  <c r="F52" i="3" s="1"/>
  <c r="G52" i="3" s="1"/>
  <c r="A53" i="3" s="1"/>
  <c r="C53" i="3" l="1"/>
  <c r="B53" i="3"/>
  <c r="E53" i="3"/>
  <c r="H53" i="3" s="1"/>
  <c r="D53" i="3" l="1"/>
  <c r="F53" i="3" s="1"/>
  <c r="G53" i="3" s="1"/>
  <c r="A54" i="3" s="1"/>
  <c r="C54" i="3" l="1"/>
  <c r="B54" i="3"/>
  <c r="E54" i="3" l="1"/>
  <c r="H54" i="3" s="1"/>
  <c r="D54" i="3" l="1"/>
  <c r="F54" i="3" s="1"/>
  <c r="G54" i="3" s="1"/>
  <c r="A55" i="3" s="1"/>
  <c r="C55" i="3" l="1"/>
  <c r="B55" i="3"/>
  <c r="E55" i="3" l="1"/>
  <c r="H55" i="3" s="1"/>
  <c r="D55" i="3" l="1"/>
  <c r="F55" i="3" s="1"/>
  <c r="G55" i="3" s="1"/>
  <c r="A56" i="3" s="1"/>
  <c r="C56" i="3" l="1"/>
  <c r="E56" i="3" s="1"/>
  <c r="B56" i="3"/>
  <c r="H56" i="3" l="1"/>
  <c r="D56" i="3" s="1"/>
  <c r="F56" i="3" s="1"/>
  <c r="G56" i="3" s="1"/>
  <c r="A57" i="3" s="1"/>
  <c r="C57" i="3" l="1"/>
  <c r="E57" i="3" s="1"/>
  <c r="B57" i="3"/>
  <c r="H57" i="3" l="1"/>
  <c r="D57" i="3" s="1"/>
  <c r="F57" i="3" s="1"/>
  <c r="G57" i="3" s="1"/>
  <c r="A58" i="3" s="1"/>
  <c r="C58" i="3" l="1"/>
  <c r="E58" i="3" s="1"/>
  <c r="B58" i="3"/>
  <c r="H58" i="3" l="1"/>
  <c r="D58" i="3" s="1"/>
  <c r="F58" i="3" s="1"/>
  <c r="G58" i="3" s="1"/>
  <c r="A59" i="3" s="1"/>
  <c r="C59" i="3" l="1"/>
  <c r="E59" i="3" s="1"/>
  <c r="H59" i="3" s="1"/>
  <c r="B59" i="3"/>
  <c r="D59" i="3" l="1"/>
  <c r="F59" i="3" s="1"/>
  <c r="G59" i="3" s="1"/>
  <c r="A60" i="3" s="1"/>
  <c r="C60" i="3" l="1"/>
  <c r="E60" i="3" s="1"/>
  <c r="B60" i="3"/>
  <c r="H60" i="3" l="1"/>
  <c r="D60" i="3" s="1"/>
  <c r="F60" i="3" s="1"/>
  <c r="G60" i="3"/>
  <c r="A61" i="3" s="1"/>
  <c r="C61" i="3" l="1"/>
  <c r="E61" i="3" s="1"/>
  <c r="B61" i="3"/>
  <c r="H61" i="3" l="1"/>
  <c r="D61" i="3"/>
  <c r="F61" i="3" s="1"/>
  <c r="G61" i="3" s="1"/>
  <c r="A62" i="3" s="1"/>
  <c r="C62" i="3" l="1"/>
  <c r="B62" i="3"/>
  <c r="E62" i="3" l="1"/>
  <c r="H62" i="3" s="1"/>
  <c r="D62" i="3" s="1"/>
  <c r="F62" i="3" s="1"/>
  <c r="G62" i="3" s="1"/>
  <c r="A63" i="3" s="1"/>
  <c r="C63" i="3" l="1"/>
  <c r="B63" i="3"/>
  <c r="E63" i="3"/>
  <c r="H63" i="3" s="1"/>
  <c r="D63" i="3" s="1"/>
  <c r="F63" i="3" s="1"/>
  <c r="G63" i="3" l="1"/>
  <c r="A64" i="3" s="1"/>
  <c r="B64" i="3" l="1"/>
  <c r="C64" i="3"/>
  <c r="E64" i="3" s="1"/>
  <c r="H64" i="3" s="1"/>
  <c r="D64" i="3" l="1"/>
  <c r="F64" i="3" s="1"/>
  <c r="G64" i="3" s="1"/>
  <c r="A65" i="3" s="1"/>
  <c r="C65" i="3" l="1"/>
  <c r="E65" i="3" s="1"/>
  <c r="B65" i="3"/>
  <c r="H65" i="3" l="1"/>
  <c r="D65" i="3" s="1"/>
  <c r="F65" i="3" s="1"/>
  <c r="G65" i="3" s="1"/>
  <c r="A66" i="3" s="1"/>
  <c r="C66" i="3" l="1"/>
  <c r="E66" i="3" s="1"/>
  <c r="H66" i="3" s="1"/>
  <c r="B66" i="3"/>
  <c r="D66" i="3" l="1"/>
  <c r="F66" i="3" s="1"/>
  <c r="G66" i="3" s="1"/>
  <c r="A67" i="3" s="1"/>
  <c r="B67" i="3" s="1"/>
  <c r="C67" i="3" l="1"/>
  <c r="E67" i="3" s="1"/>
  <c r="D67" i="3" l="1"/>
  <c r="F67" i="3" s="1"/>
  <c r="G67" i="3" s="1"/>
  <c r="A68" i="3" s="1"/>
  <c r="C68" i="3" s="1"/>
  <c r="H67" i="3"/>
  <c r="B68" i="3" l="1"/>
  <c r="E68" i="3"/>
  <c r="H68" i="3" s="1"/>
  <c r="D68" i="3" s="1"/>
  <c r="F68" i="3" s="1"/>
  <c r="G68" i="3" s="1"/>
  <c r="A69" i="3" s="1"/>
  <c r="C69" i="3" l="1"/>
  <c r="B69" i="3"/>
  <c r="E69" i="3" l="1"/>
  <c r="H69" i="3" l="1"/>
  <c r="D69" i="3" s="1"/>
  <c r="F69" i="3" s="1"/>
  <c r="G69" i="3" s="1"/>
  <c r="A70" i="3" s="1"/>
  <c r="C70" i="3" l="1"/>
  <c r="E70" i="3" s="1"/>
  <c r="H70" i="3" s="1"/>
  <c r="B70" i="3"/>
  <c r="D70" i="3" l="1"/>
  <c r="F70" i="3" s="1"/>
  <c r="G70" i="3" s="1"/>
  <c r="A71" i="3" s="1"/>
  <c r="B71" i="3" l="1"/>
  <c r="C71" i="3"/>
  <c r="E71" i="3" s="1"/>
  <c r="H71" i="3" s="1"/>
  <c r="D71" i="3" l="1"/>
  <c r="F71" i="3" s="1"/>
  <c r="G71" i="3" s="1"/>
  <c r="A72" i="3" s="1"/>
  <c r="C72" i="3" l="1"/>
  <c r="B72" i="3"/>
  <c r="E72" i="3" l="1"/>
  <c r="H72" i="3" s="1"/>
  <c r="D72" i="3" l="1"/>
  <c r="F72" i="3" s="1"/>
  <c r="G72" i="3" s="1"/>
  <c r="A73" i="3" s="1"/>
  <c r="C73" i="3" s="1"/>
  <c r="E73" i="3" s="1"/>
  <c r="B73" i="3" l="1"/>
  <c r="H73" i="3"/>
  <c r="D73" i="3" s="1"/>
  <c r="F73" i="3" s="1"/>
  <c r="G73" i="3" s="1"/>
  <c r="A74" i="3" s="1"/>
  <c r="C74" i="3" l="1"/>
  <c r="B74" i="3"/>
  <c r="E74" i="3" l="1"/>
  <c r="H74" i="3" s="1"/>
  <c r="D74" i="3" l="1"/>
  <c r="F74" i="3" s="1"/>
  <c r="G74" i="3" s="1"/>
  <c r="A75" i="3" s="1"/>
  <c r="C75" i="3" l="1"/>
  <c r="E75" i="3" s="1"/>
  <c r="B75" i="3"/>
  <c r="H75" i="3" l="1"/>
  <c r="D75" i="3" s="1"/>
  <c r="F75" i="3" s="1"/>
  <c r="G75" i="3" s="1"/>
  <c r="A76" i="3" s="1"/>
  <c r="C76" i="3" l="1"/>
  <c r="E76" i="3" s="1"/>
  <c r="H76" i="3" s="1"/>
  <c r="B76" i="3"/>
  <c r="D76" i="3" l="1"/>
  <c r="F76" i="3" s="1"/>
  <c r="G76" i="3" s="1"/>
  <c r="A77" i="3" s="1"/>
  <c r="C77" i="3" l="1"/>
  <c r="B77" i="3"/>
  <c r="E77" i="3" l="1"/>
  <c r="H77" i="3" s="1"/>
  <c r="D77" i="3" l="1"/>
  <c r="F77" i="3" s="1"/>
  <c r="G77" i="3" s="1"/>
  <c r="A78" i="3" s="1"/>
  <c r="C78" i="3" l="1"/>
  <c r="B78" i="3"/>
  <c r="E78" i="3"/>
  <c r="H78" i="3" s="1"/>
  <c r="D78" i="3" l="1"/>
  <c r="F78" i="3" s="1"/>
  <c r="G78" i="3" s="1"/>
  <c r="A79" i="3" s="1"/>
  <c r="B79" i="3" l="1"/>
  <c r="C79" i="3"/>
  <c r="E79" i="3" s="1"/>
  <c r="H79" i="3" l="1"/>
  <c r="D79" i="3" s="1"/>
  <c r="F79" i="3" s="1"/>
  <c r="G79" i="3" s="1"/>
  <c r="A80" i="3" s="1"/>
  <c r="C80" i="3" l="1"/>
  <c r="E80" i="3" s="1"/>
  <c r="H80" i="3" s="1"/>
  <c r="B80" i="3"/>
  <c r="D80" i="3" l="1"/>
  <c r="F80" i="3" s="1"/>
  <c r="G80" i="3" s="1"/>
  <c r="A81" i="3" s="1"/>
  <c r="B81" i="3" l="1"/>
  <c r="C81" i="3"/>
  <c r="E81" i="3" l="1"/>
  <c r="H81" i="3" s="1"/>
  <c r="D81" i="3" l="1"/>
  <c r="F81" i="3" s="1"/>
  <c r="G81" i="3" s="1"/>
  <c r="A82" i="3" s="1"/>
  <c r="C82" i="3" s="1"/>
  <c r="E82" i="3" s="1"/>
  <c r="H82" i="3" s="1"/>
  <c r="B82" i="3" l="1"/>
  <c r="D82" i="3"/>
  <c r="F82" i="3" s="1"/>
  <c r="G82" i="3" s="1"/>
  <c r="A83" i="3" s="1"/>
  <c r="C83" i="3" l="1"/>
  <c r="E83" i="3"/>
  <c r="B83" i="3"/>
  <c r="H83" i="3" l="1"/>
  <c r="D83" i="3" s="1"/>
  <c r="F83" i="3" s="1"/>
  <c r="G83" i="3" s="1"/>
  <c r="A84" i="3" s="1"/>
  <c r="C84" i="3" l="1"/>
  <c r="B84" i="3"/>
  <c r="E84" i="3" l="1"/>
  <c r="H84" i="3" s="1"/>
  <c r="D84" i="3" s="1"/>
  <c r="F84" i="3" s="1"/>
  <c r="G84" i="3" s="1"/>
  <c r="A85" i="3" s="1"/>
  <c r="C85" i="3" l="1"/>
  <c r="E85" i="3" s="1"/>
  <c r="B85" i="3"/>
  <c r="H85" i="3" l="1"/>
  <c r="D85" i="3" s="1"/>
  <c r="F85" i="3" s="1"/>
  <c r="G85" i="3" s="1"/>
  <c r="A86" i="3" s="1"/>
  <c r="C86" i="3" l="1"/>
  <c r="B86" i="3"/>
  <c r="E86" i="3"/>
  <c r="H86" i="3" s="1"/>
  <c r="D86" i="3" s="1"/>
  <c r="F86" i="3" s="1"/>
  <c r="G86" i="3" s="1"/>
  <c r="A87" i="3" s="1"/>
  <c r="B87" i="3" l="1"/>
  <c r="C87" i="3"/>
  <c r="E87" i="3" l="1"/>
  <c r="H87" i="3" s="1"/>
  <c r="D87" i="3" l="1"/>
  <c r="F87" i="3" s="1"/>
  <c r="G87" i="3" s="1"/>
  <c r="A88" i="3" s="1"/>
  <c r="C88" i="3" s="1"/>
  <c r="B88" i="3" l="1"/>
  <c r="E88" i="3"/>
  <c r="H88" i="3" l="1"/>
  <c r="D88" i="3" s="1"/>
  <c r="F88" i="3" s="1"/>
  <c r="G88" i="3" s="1"/>
  <c r="A89" i="3" s="1"/>
  <c r="C89" i="3" l="1"/>
  <c r="B89" i="3"/>
  <c r="E89" i="3" l="1"/>
  <c r="H89" i="3" s="1"/>
  <c r="D89" i="3" s="1"/>
  <c r="F89" i="3" s="1"/>
  <c r="G89" i="3" s="1"/>
  <c r="A90" i="3" s="1"/>
  <c r="C90" i="3" l="1"/>
  <c r="B90" i="3"/>
  <c r="E90" i="3" l="1"/>
  <c r="H90" i="3" l="1"/>
  <c r="D90" i="3" s="1"/>
  <c r="F90" i="3" s="1"/>
  <c r="G90" i="3" s="1"/>
  <c r="A91" i="3" s="1"/>
  <c r="C91" i="3" l="1"/>
  <c r="B91" i="3"/>
  <c r="E91" i="3" l="1"/>
  <c r="H91" i="3" s="1"/>
  <c r="D91" i="3" l="1"/>
  <c r="F91" i="3" s="1"/>
  <c r="G91" i="3" s="1"/>
  <c r="A92" i="3" s="1"/>
  <c r="C92" i="3" l="1"/>
  <c r="E92" i="3" s="1"/>
  <c r="B92" i="3"/>
  <c r="H92" i="3" l="1"/>
  <c r="D92" i="3" s="1"/>
  <c r="F92" i="3" s="1"/>
  <c r="G92" i="3" s="1"/>
  <c r="A93" i="3" s="1"/>
  <c r="B93" i="3" l="1"/>
  <c r="C93" i="3"/>
  <c r="E93" i="3" l="1"/>
  <c r="H93" i="3" s="1"/>
  <c r="D93" i="3" l="1"/>
  <c r="F93" i="3" s="1"/>
  <c r="G93" i="3" s="1"/>
  <c r="A94" i="3" s="1"/>
  <c r="C94" i="3" l="1"/>
  <c r="E94" i="3" s="1"/>
  <c r="H94" i="3" s="1"/>
  <c r="B94" i="3"/>
  <c r="D94" i="3" l="1"/>
  <c r="F94" i="3" s="1"/>
  <c r="G94" i="3" s="1"/>
  <c r="A95" i="3" s="1"/>
  <c r="C95" i="3" l="1"/>
  <c r="E95" i="3" s="1"/>
  <c r="H95" i="3" s="1"/>
  <c r="B95" i="3"/>
  <c r="D95" i="3" l="1"/>
  <c r="F95" i="3" s="1"/>
  <c r="G95" i="3" s="1"/>
  <c r="A96" i="3" s="1"/>
  <c r="C96" i="3" l="1"/>
  <c r="B96" i="3"/>
  <c r="E96" i="3" l="1"/>
  <c r="H96" i="3" s="1"/>
  <c r="D96" i="3" l="1"/>
  <c r="F96" i="3" s="1"/>
  <c r="G96" i="3" s="1"/>
  <c r="A97" i="3" s="1"/>
  <c r="C97" i="3" l="1"/>
  <c r="E97" i="3" s="1"/>
  <c r="H97" i="3" s="1"/>
  <c r="B97" i="3"/>
  <c r="D97" i="3" l="1"/>
  <c r="F97" i="3" s="1"/>
  <c r="G97" i="3" s="1"/>
  <c r="A98" i="3" s="1"/>
  <c r="C98" i="3" l="1"/>
  <c r="E98" i="3" s="1"/>
  <c r="B98" i="3"/>
  <c r="H98" i="3" l="1"/>
  <c r="D98" i="3" s="1"/>
  <c r="F98" i="3" s="1"/>
  <c r="G98" i="3" s="1"/>
  <c r="A99" i="3" s="1"/>
  <c r="B99" i="3" l="1"/>
  <c r="C99" i="3"/>
  <c r="E99" i="3" l="1"/>
  <c r="H99" i="3" l="1"/>
  <c r="D99" i="3" s="1"/>
  <c r="F99" i="3" s="1"/>
  <c r="G99" i="3" s="1"/>
  <c r="A100" i="3" s="1"/>
  <c r="C100" i="3" l="1"/>
  <c r="E100" i="3" s="1"/>
  <c r="B100" i="3"/>
  <c r="H100" i="3" l="1"/>
  <c r="D100" i="3" s="1"/>
  <c r="F100" i="3" s="1"/>
  <c r="G100" i="3" s="1"/>
  <c r="A101" i="3" s="1"/>
  <c r="C101" i="3" l="1"/>
  <c r="B101" i="3"/>
  <c r="E101" i="3"/>
  <c r="H101" i="3" s="1"/>
  <c r="D101" i="3" l="1"/>
  <c r="F101" i="3" s="1"/>
  <c r="G101" i="3" s="1"/>
  <c r="A102" i="3" s="1"/>
  <c r="C102" i="3" l="1"/>
  <c r="E102" i="3" s="1"/>
  <c r="B102" i="3"/>
  <c r="H102" i="3" l="1"/>
  <c r="D102" i="3"/>
  <c r="F102" i="3" s="1"/>
  <c r="G102" i="3" s="1"/>
  <c r="A103" i="3" s="1"/>
  <c r="B103" i="3" l="1"/>
  <c r="C103" i="3"/>
  <c r="E103" i="3" s="1"/>
  <c r="H103" i="3" s="1"/>
  <c r="D103" i="3" l="1"/>
  <c r="F103" i="3" s="1"/>
  <c r="G103" i="3" s="1"/>
  <c r="A104" i="3" s="1"/>
  <c r="C104" i="3" l="1"/>
  <c r="B104" i="3"/>
  <c r="E104" i="3" l="1"/>
  <c r="H104" i="3" s="1"/>
  <c r="D104" i="3" l="1"/>
  <c r="F104" i="3" s="1"/>
  <c r="G104" i="3" s="1"/>
  <c r="A105" i="3" s="1"/>
  <c r="B105" i="3" l="1"/>
  <c r="C105" i="3"/>
  <c r="E105" i="3" s="1"/>
  <c r="H105" i="3" l="1"/>
  <c r="D105" i="3" s="1"/>
  <c r="F105" i="3" s="1"/>
  <c r="G105" i="3" s="1"/>
  <c r="A106" i="3" s="1"/>
  <c r="C106" i="3" l="1"/>
  <c r="E106" i="3" s="1"/>
  <c r="B106" i="3"/>
  <c r="H106" i="3" l="1"/>
  <c r="D106" i="3"/>
  <c r="F106" i="3" s="1"/>
  <c r="G106" i="3" s="1"/>
  <c r="A107" i="3" s="1"/>
  <c r="C107" i="3" l="1"/>
  <c r="E107" i="3" s="1"/>
  <c r="B107" i="3"/>
  <c r="H107" i="3" l="1"/>
  <c r="D107" i="3" s="1"/>
  <c r="F107" i="3" s="1"/>
  <c r="G107" i="3" s="1"/>
  <c r="A108" i="3" s="1"/>
  <c r="C108" i="3" l="1"/>
  <c r="B108" i="3"/>
  <c r="E108" i="3" l="1"/>
  <c r="H108" i="3"/>
  <c r="D108" i="3" l="1"/>
  <c r="F108" i="3" s="1"/>
  <c r="G108" i="3" s="1"/>
  <c r="A109" i="3" s="1"/>
  <c r="B109" i="3" s="1"/>
  <c r="C109" i="3" l="1"/>
  <c r="E109" i="3" s="1"/>
  <c r="H109" i="3"/>
  <c r="D109" i="3" s="1"/>
  <c r="F109" i="3" s="1"/>
  <c r="G109" i="3" s="1"/>
  <c r="A110" i="3" s="1"/>
  <c r="C110" i="3" l="1"/>
  <c r="E110" i="3" s="1"/>
  <c r="B110" i="3"/>
  <c r="H110" i="3" l="1"/>
  <c r="D110" i="3" s="1"/>
  <c r="F110" i="3" s="1"/>
  <c r="G110" i="3" s="1"/>
  <c r="A111" i="3" s="1"/>
  <c r="C111" i="3" s="1"/>
  <c r="B111" i="3" l="1"/>
  <c r="E111" i="3"/>
  <c r="H111" i="3" s="1"/>
  <c r="D111" i="3" l="1"/>
  <c r="F111" i="3" s="1"/>
  <c r="G111" i="3" s="1"/>
  <c r="A112" i="3" s="1"/>
  <c r="B112" i="3" s="1"/>
  <c r="C112" i="3" l="1"/>
  <c r="E112" i="3" s="1"/>
  <c r="H112" i="3" l="1"/>
  <c r="D112" i="3" s="1"/>
  <c r="F112" i="3" s="1"/>
  <c r="G112" i="3" s="1"/>
  <c r="A113" i="3" s="1"/>
  <c r="C113" i="3" l="1"/>
  <c r="E113" i="3"/>
  <c r="B113" i="3"/>
  <c r="H113" i="3"/>
  <c r="D113" i="3" s="1"/>
  <c r="F113" i="3" s="1"/>
  <c r="G113" i="3" s="1"/>
  <c r="A114" i="3" s="1"/>
  <c r="C114" i="3" l="1"/>
  <c r="B114" i="3"/>
  <c r="E114" i="3"/>
  <c r="H114" i="3" s="1"/>
  <c r="D114" i="3" s="1"/>
  <c r="F114" i="3" s="1"/>
  <c r="G114" i="3" l="1"/>
  <c r="A115" i="3" s="1"/>
  <c r="B115" i="3" s="1"/>
  <c r="C115" i="3" l="1"/>
  <c r="E115" i="3"/>
  <c r="H115" i="3"/>
  <c r="D115" i="3" l="1"/>
  <c r="F115" i="3" s="1"/>
  <c r="G115" i="3" s="1"/>
  <c r="A116" i="3" s="1"/>
  <c r="C116" i="3" s="1"/>
  <c r="E116" i="3" s="1"/>
  <c r="H116" i="3" s="1"/>
  <c r="B116" i="3" l="1"/>
  <c r="D116" i="3"/>
  <c r="F116" i="3" s="1"/>
  <c r="G116" i="3" s="1"/>
  <c r="A117" i="3" s="1"/>
  <c r="B117" i="3" l="1"/>
  <c r="C117" i="3"/>
  <c r="E117" i="3" l="1"/>
  <c r="H117" i="3" s="1"/>
  <c r="D117" i="3" l="1"/>
  <c r="F117" i="3" s="1"/>
  <c r="G117" i="3" s="1"/>
  <c r="A118" i="3" s="1"/>
  <c r="B118" i="3" s="1"/>
  <c r="C118" i="3" l="1"/>
  <c r="E118" i="3" s="1"/>
  <c r="H118" i="3" s="1"/>
  <c r="D118" i="3" l="1"/>
  <c r="F118" i="3" s="1"/>
  <c r="G118" i="3" s="1"/>
  <c r="A119" i="3" s="1"/>
  <c r="C119" i="3" s="1"/>
  <c r="B119" i="3" l="1"/>
  <c r="E119" i="3"/>
  <c r="H119" i="3"/>
  <c r="D119" i="3" l="1"/>
  <c r="F119" i="3" s="1"/>
  <c r="G119" i="3" s="1"/>
  <c r="A120" i="3" s="1"/>
  <c r="B120" i="3" s="1"/>
  <c r="C120" i="3" l="1"/>
  <c r="E120" i="3" s="1"/>
  <c r="H120" i="3" l="1"/>
  <c r="D120" i="3"/>
  <c r="F120" i="3" s="1"/>
  <c r="G120" i="3" s="1"/>
  <c r="A121" i="3" s="1"/>
  <c r="C121" i="3" s="1"/>
  <c r="B121" i="3" l="1"/>
  <c r="E121" i="3"/>
  <c r="H121" i="3"/>
  <c r="D121" i="3" l="1"/>
  <c r="F121" i="3" s="1"/>
  <c r="G121" i="3" s="1"/>
  <c r="A122" i="3" s="1"/>
  <c r="B122" i="3" s="1"/>
  <c r="C122" i="3" l="1"/>
  <c r="E122" i="3" s="1"/>
  <c r="H122" i="3" s="1"/>
  <c r="D122" i="3" s="1"/>
  <c r="F122" i="3" s="1"/>
  <c r="G122" i="3" s="1"/>
  <c r="A123" i="3" s="1"/>
  <c r="C123" i="3" l="1"/>
  <c r="B123" i="3"/>
  <c r="E123" i="3" l="1"/>
  <c r="H123" i="3" l="1"/>
  <c r="D123" i="3" s="1"/>
  <c r="F123" i="3" s="1"/>
  <c r="G123" i="3" s="1"/>
  <c r="A124" i="3" s="1"/>
  <c r="C124" i="3" l="1"/>
  <c r="B124" i="3"/>
  <c r="E124" i="3" l="1"/>
  <c r="H124" i="3"/>
  <c r="D124" i="3" l="1"/>
  <c r="F124" i="3" s="1"/>
  <c r="G124" i="3" s="1"/>
  <c r="A125" i="3" s="1"/>
  <c r="B125" i="3" s="1"/>
  <c r="C125" i="3" l="1"/>
  <c r="E125" i="3"/>
  <c r="H125" i="3" l="1"/>
  <c r="D125" i="3" s="1"/>
  <c r="F125" i="3" s="1"/>
  <c r="G125" i="3" s="1"/>
  <c r="A126" i="3" s="1"/>
  <c r="B126" i="3" l="1"/>
  <c r="C126" i="3"/>
  <c r="E126" i="3" l="1"/>
  <c r="H126" i="3" s="1"/>
  <c r="D126" i="3" s="1"/>
  <c r="F126" i="3" s="1"/>
  <c r="G126" i="3" s="1"/>
  <c r="A127" i="3" s="1"/>
  <c r="C127" i="3" l="1"/>
  <c r="E127" i="3" s="1"/>
  <c r="B127" i="3"/>
  <c r="H127" i="3" l="1"/>
  <c r="D127" i="3"/>
  <c r="F127" i="3" s="1"/>
  <c r="G127" i="3" s="1"/>
  <c r="A128" i="3" s="1"/>
  <c r="B128" i="3" l="1"/>
  <c r="C128" i="3"/>
  <c r="E128" i="3" l="1"/>
  <c r="H128" i="3" l="1"/>
  <c r="D128" i="3" s="1"/>
  <c r="F128" i="3" s="1"/>
  <c r="G128" i="3" s="1"/>
  <c r="A129" i="3" s="1"/>
  <c r="B129" i="3" l="1"/>
  <c r="C129" i="3"/>
  <c r="E129" i="3" l="1"/>
  <c r="H129" i="3" s="1"/>
  <c r="D129" i="3" l="1"/>
  <c r="F129" i="3" s="1"/>
  <c r="G129" i="3" s="1"/>
  <c r="A130" i="3" s="1"/>
  <c r="C130" i="3" l="1"/>
  <c r="E130" i="3" s="1"/>
  <c r="H130" i="3" s="1"/>
  <c r="B130" i="3"/>
  <c r="D130" i="3" l="1"/>
  <c r="F130" i="3" s="1"/>
  <c r="G130" i="3" s="1"/>
  <c r="A131" i="3" s="1"/>
  <c r="C131" i="3" l="1"/>
  <c r="B131" i="3"/>
  <c r="E131" i="3" l="1"/>
  <c r="H131" i="3" s="1"/>
  <c r="D131" i="3" s="1"/>
  <c r="F131" i="3" s="1"/>
  <c r="G131" i="3" s="1"/>
  <c r="A132" i="3" s="1"/>
  <c r="C132" i="3" l="1"/>
  <c r="B132" i="3"/>
  <c r="E132" i="3" l="1"/>
  <c r="H132" i="3" s="1"/>
  <c r="D132" i="3" l="1"/>
  <c r="F132" i="3" s="1"/>
  <c r="G132" i="3" s="1"/>
  <c r="A133" i="3" s="1"/>
  <c r="B133" i="3" l="1"/>
  <c r="C133" i="3"/>
  <c r="E133" i="3" s="1"/>
  <c r="H133" i="3" l="1"/>
  <c r="D133" i="3" s="1"/>
  <c r="F133" i="3" s="1"/>
  <c r="G133" i="3" s="1"/>
  <c r="A134" i="3" s="1"/>
  <c r="C134" i="3" l="1"/>
  <c r="B134" i="3"/>
  <c r="E134" i="3" l="1"/>
  <c r="H134" i="3" s="1"/>
  <c r="D134" i="3" l="1"/>
  <c r="F134" i="3" s="1"/>
  <c r="G134" i="3" s="1"/>
  <c r="A135" i="3" s="1"/>
  <c r="C135" i="3" l="1"/>
  <c r="E135" i="3"/>
  <c r="B135" i="3"/>
  <c r="H135" i="3" l="1"/>
  <c r="D135" i="3" s="1"/>
  <c r="F135" i="3" s="1"/>
  <c r="G135" i="3" s="1"/>
  <c r="A136" i="3" s="1"/>
  <c r="C136" i="3" l="1"/>
  <c r="E136" i="3" s="1"/>
  <c r="B136" i="3"/>
  <c r="H136" i="3" l="1"/>
  <c r="D136" i="3" s="1"/>
  <c r="F136" i="3" s="1"/>
  <c r="G136" i="3" s="1"/>
  <c r="A137" i="3" s="1"/>
  <c r="C137" i="3" l="1"/>
  <c r="B137" i="3"/>
  <c r="E137" i="3" l="1"/>
  <c r="H137" i="3" l="1"/>
  <c r="D137" i="3" s="1"/>
  <c r="F137" i="3" s="1"/>
  <c r="G137" i="3" s="1"/>
  <c r="A138" i="3" s="1"/>
  <c r="C138" i="3" l="1"/>
  <c r="B138" i="3"/>
  <c r="E138" i="3" l="1"/>
  <c r="H138" i="3" s="1"/>
  <c r="D138" i="3" l="1"/>
  <c r="F138" i="3" s="1"/>
  <c r="G138" i="3" s="1"/>
  <c r="A139" i="3" s="1"/>
  <c r="C139" i="3" s="1"/>
  <c r="E139" i="3" s="1"/>
  <c r="H139" i="3" s="1"/>
  <c r="B139" i="3" l="1"/>
  <c r="D139" i="3"/>
  <c r="F139" i="3" s="1"/>
  <c r="G139" i="3" s="1"/>
  <c r="A140" i="3" s="1"/>
  <c r="C140" i="3" l="1"/>
  <c r="B140" i="3"/>
  <c r="E140" i="3" l="1"/>
  <c r="H140" i="3" l="1"/>
  <c r="D140" i="3" s="1"/>
  <c r="F140" i="3" s="1"/>
  <c r="G140" i="3" s="1"/>
  <c r="A141" i="3" s="1"/>
  <c r="B141" i="3" l="1"/>
  <c r="C141" i="3"/>
  <c r="E141" i="3" s="1"/>
  <c r="H141" i="3" s="1"/>
  <c r="D141" i="3" l="1"/>
  <c r="F141" i="3" s="1"/>
  <c r="G141" i="3" s="1"/>
  <c r="A142" i="3" s="1"/>
  <c r="B142" i="3" l="1"/>
  <c r="C142" i="3"/>
  <c r="E142" i="3" s="1"/>
  <c r="H142" i="3" l="1"/>
  <c r="D142" i="3"/>
  <c r="F142" i="3" s="1"/>
  <c r="G142" i="3" s="1"/>
  <c r="A143" i="3" s="1"/>
  <c r="C143" i="3" l="1"/>
  <c r="B143" i="3"/>
  <c r="E143" i="3" l="1"/>
  <c r="H143" i="3" s="1"/>
  <c r="D143" i="3" s="1"/>
  <c r="F143" i="3" s="1"/>
  <c r="G143" i="3" s="1"/>
  <c r="A144" i="3" s="1"/>
  <c r="C144" i="3" l="1"/>
  <c r="B144" i="3"/>
  <c r="E144" i="3"/>
  <c r="H144" i="3" s="1"/>
  <c r="D144" i="3" s="1"/>
  <c r="F144" i="3" s="1"/>
  <c r="G144" i="3" l="1"/>
  <c r="A145" i="3" s="1"/>
  <c r="B145" i="3" l="1"/>
  <c r="C145" i="3"/>
  <c r="E145" i="3" l="1"/>
  <c r="H145" i="3" s="1"/>
  <c r="D145" i="3" l="1"/>
  <c r="F145" i="3" s="1"/>
  <c r="G145" i="3" s="1"/>
  <c r="A146" i="3" s="1"/>
  <c r="B146" i="3" s="1"/>
  <c r="C146" i="3"/>
  <c r="E146" i="3" l="1"/>
  <c r="H146" i="3" s="1"/>
  <c r="D146" i="3" l="1"/>
  <c r="F146" i="3" s="1"/>
  <c r="G146" i="3" s="1"/>
  <c r="A147" i="3" s="1"/>
  <c r="C147" i="3" l="1"/>
  <c r="E147" i="3"/>
  <c r="B147" i="3"/>
  <c r="H147" i="3" l="1"/>
  <c r="D147" i="3" s="1"/>
  <c r="F147" i="3" s="1"/>
  <c r="G147" i="3" s="1"/>
  <c r="A148" i="3" s="1"/>
  <c r="C148" i="3" l="1"/>
  <c r="B148" i="3"/>
  <c r="E148" i="3" l="1"/>
  <c r="H148" i="3" s="1"/>
  <c r="D148" i="3" l="1"/>
  <c r="F148" i="3" s="1"/>
  <c r="G148" i="3" s="1"/>
  <c r="A149" i="3" s="1"/>
  <c r="C149" i="3" s="1"/>
  <c r="B149" i="3" l="1"/>
  <c r="E149" i="3"/>
  <c r="H149" i="3" s="1"/>
  <c r="D149" i="3" s="1"/>
  <c r="F149" i="3" s="1"/>
  <c r="G149" i="3" s="1"/>
  <c r="A150" i="3" s="1"/>
  <c r="C150" i="3" l="1"/>
  <c r="B150" i="3"/>
  <c r="E150" i="3"/>
  <c r="H150" i="3" s="1"/>
  <c r="D150" i="3" s="1"/>
  <c r="F150" i="3" s="1"/>
  <c r="G150" i="3" s="1"/>
  <c r="A151" i="3" s="1"/>
  <c r="C151" i="3" l="1"/>
  <c r="E151" i="3" s="1"/>
  <c r="H151" i="3" s="1"/>
  <c r="B151" i="3"/>
  <c r="D151" i="3" l="1"/>
  <c r="F151" i="3" s="1"/>
  <c r="G151" i="3" s="1"/>
  <c r="A152" i="3" s="1"/>
  <c r="B152" i="3" l="1"/>
  <c r="C152" i="3"/>
  <c r="E152" i="3" l="1"/>
  <c r="H152" i="3" s="1"/>
  <c r="D152" i="3" s="1"/>
  <c r="F152" i="3" s="1"/>
  <c r="G152" i="3" s="1"/>
  <c r="A153" i="3" s="1"/>
  <c r="B153" i="3" l="1"/>
  <c r="C153" i="3"/>
  <c r="E153" i="3" l="1"/>
  <c r="H153" i="3" s="1"/>
  <c r="D153" i="3" l="1"/>
  <c r="F153" i="3" s="1"/>
  <c r="G153" i="3" s="1"/>
  <c r="A154" i="3" s="1"/>
  <c r="C154" i="3" l="1"/>
  <c r="B154" i="3"/>
  <c r="E154" i="3" l="1"/>
  <c r="H154" i="3" l="1"/>
  <c r="D154" i="3" s="1"/>
  <c r="F154" i="3" s="1"/>
  <c r="G154" i="3" s="1"/>
  <c r="A155" i="3" s="1"/>
  <c r="C155" i="3" l="1"/>
  <c r="B155" i="3"/>
  <c r="E155" i="3" l="1"/>
  <c r="H155" i="3" s="1"/>
  <c r="D155" i="3" s="1"/>
  <c r="F155" i="3" s="1"/>
  <c r="G155" i="3" s="1"/>
  <c r="A156" i="3" s="1"/>
  <c r="C156" i="3" l="1"/>
  <c r="B156" i="3"/>
  <c r="E156" i="3" l="1"/>
  <c r="H156" i="3"/>
  <c r="D156" i="3" s="1"/>
  <c r="F156" i="3" s="1"/>
  <c r="G156" i="3" s="1"/>
  <c r="A157" i="3" s="1"/>
  <c r="B157" i="3" l="1"/>
  <c r="C157" i="3"/>
  <c r="E157" i="3" s="1"/>
  <c r="H157" i="3" l="1"/>
  <c r="D157" i="3"/>
  <c r="F157" i="3" s="1"/>
  <c r="G157" i="3" s="1"/>
  <c r="A158" i="3" s="1"/>
  <c r="B158" i="3" l="1"/>
  <c r="C158" i="3"/>
  <c r="E158" i="3" l="1"/>
  <c r="H158" i="3" s="1"/>
  <c r="D158" i="3" l="1"/>
  <c r="F158" i="3" s="1"/>
  <c r="G158" i="3" s="1"/>
  <c r="A159" i="3" s="1"/>
  <c r="C159" i="3" l="1"/>
  <c r="B159" i="3"/>
  <c r="E159" i="3" l="1"/>
  <c r="H159" i="3" s="1"/>
  <c r="D159" i="3" l="1"/>
  <c r="F159" i="3" s="1"/>
  <c r="G159" i="3" s="1"/>
  <c r="A160" i="3" s="1"/>
  <c r="C160" i="3" s="1"/>
  <c r="E160" i="3" s="1"/>
  <c r="H160" i="3" s="1"/>
  <c r="B160" i="3" l="1"/>
  <c r="D160" i="3"/>
  <c r="F160" i="3" s="1"/>
  <c r="G160" i="3" s="1"/>
  <c r="A161" i="3" s="1"/>
  <c r="C161" i="3" l="1"/>
  <c r="B161" i="3"/>
  <c r="E161" i="3" l="1"/>
  <c r="H161" i="3" s="1"/>
  <c r="D161" i="3" s="1"/>
  <c r="F161" i="3" s="1"/>
  <c r="G161" i="3" s="1"/>
  <c r="A162" i="3" s="1"/>
  <c r="B162" i="3" l="1"/>
  <c r="C162" i="3"/>
  <c r="E162" i="3" s="1"/>
  <c r="H162" i="3" l="1"/>
  <c r="D162" i="3" s="1"/>
  <c r="F162" i="3" s="1"/>
  <c r="G162" i="3" s="1"/>
  <c r="A163" i="3" s="1"/>
  <c r="C163" i="3" s="1"/>
  <c r="E163" i="3" s="1"/>
  <c r="B163" i="3" l="1"/>
  <c r="H163" i="3"/>
  <c r="D163" i="3" s="1"/>
  <c r="F163" i="3" s="1"/>
  <c r="G163" i="3" s="1"/>
  <c r="A164" i="3" s="1"/>
  <c r="B164" i="3" l="1"/>
  <c r="C164" i="3"/>
  <c r="E164" i="3" l="1"/>
  <c r="H164" i="3" s="1"/>
  <c r="D164" i="3" l="1"/>
  <c r="F164" i="3" s="1"/>
  <c r="G164" i="3" s="1"/>
  <c r="A165" i="3" s="1"/>
  <c r="C165" i="3" l="1"/>
  <c r="B165" i="3"/>
  <c r="E165" i="3" l="1"/>
  <c r="H165" i="3" s="1"/>
  <c r="D165" i="3" l="1"/>
  <c r="F165" i="3" s="1"/>
  <c r="G165" i="3" s="1"/>
  <c r="A166" i="3" s="1"/>
  <c r="C166" i="3" l="1"/>
  <c r="E166" i="3" s="1"/>
  <c r="B166" i="3"/>
  <c r="H166" i="3" l="1"/>
  <c r="D166" i="3"/>
  <c r="F166" i="3" s="1"/>
  <c r="G166" i="3" s="1"/>
  <c r="A167" i="3" s="1"/>
  <c r="C167" i="3" l="1"/>
  <c r="E167" i="3"/>
  <c r="H167" i="3" s="1"/>
  <c r="B167" i="3"/>
  <c r="D167" i="3" l="1"/>
  <c r="F167" i="3" s="1"/>
  <c r="G167" i="3" s="1"/>
  <c r="A168" i="3" s="1"/>
  <c r="C168" i="3" l="1"/>
  <c r="B168" i="3"/>
  <c r="E168" i="3" l="1"/>
  <c r="H168" i="3" s="1"/>
  <c r="D168" i="3" l="1"/>
  <c r="F168" i="3" s="1"/>
  <c r="G168" i="3" s="1"/>
  <c r="A169" i="3" s="1"/>
  <c r="C169" i="3" l="1"/>
  <c r="B169" i="3"/>
  <c r="E169" i="3" l="1"/>
  <c r="H169" i="3" l="1"/>
  <c r="D169" i="3" s="1"/>
  <c r="F169" i="3" s="1"/>
  <c r="G169" i="3" s="1"/>
  <c r="A170" i="3" s="1"/>
  <c r="C170" i="3" l="1"/>
  <c r="E170" i="3" s="1"/>
  <c r="H170" i="3" s="1"/>
  <c r="B170" i="3"/>
  <c r="D170" i="3" l="1"/>
  <c r="F170" i="3" s="1"/>
  <c r="G170" i="3" s="1"/>
  <c r="A171" i="3" s="1"/>
  <c r="B171" i="3" l="1"/>
  <c r="C171" i="3"/>
  <c r="E171" i="3" l="1"/>
  <c r="H171" i="3" s="1"/>
  <c r="D171" i="3" l="1"/>
  <c r="F171" i="3" s="1"/>
  <c r="G171" i="3" s="1"/>
  <c r="A172" i="3" s="1"/>
  <c r="B172" i="3" l="1"/>
  <c r="C172" i="3"/>
  <c r="E172" i="3" l="1"/>
  <c r="H172" i="3" s="1"/>
  <c r="D172" i="3" s="1"/>
  <c r="F172" i="3" s="1"/>
  <c r="G172" i="3" s="1"/>
  <c r="A173" i="3" s="1"/>
  <c r="C173" i="3" l="1"/>
  <c r="B173" i="3"/>
  <c r="E173" i="3" l="1"/>
  <c r="H173" i="3" l="1"/>
  <c r="D173" i="3" s="1"/>
  <c r="F173" i="3" s="1"/>
  <c r="G173" i="3" s="1"/>
  <c r="A174" i="3" s="1"/>
  <c r="B174" i="3" s="1"/>
  <c r="C174" i="3" l="1"/>
  <c r="E174" i="3"/>
  <c r="H174" i="3" l="1"/>
  <c r="D174" i="3" s="1"/>
  <c r="F174" i="3" s="1"/>
  <c r="G174" i="3" s="1"/>
  <c r="A175" i="3" s="1"/>
  <c r="B175" i="3" l="1"/>
  <c r="C175" i="3"/>
  <c r="E175" i="3" s="1"/>
  <c r="H175" i="3" l="1"/>
  <c r="D175" i="3" s="1"/>
  <c r="F175" i="3" s="1"/>
  <c r="G175" i="3" s="1"/>
  <c r="A176" i="3" s="1"/>
  <c r="C176" i="3" l="1"/>
  <c r="E176" i="3" s="1"/>
  <c r="H176" i="3" s="1"/>
  <c r="B176" i="3"/>
  <c r="D176" i="3" l="1"/>
  <c r="F176" i="3" s="1"/>
  <c r="G176" i="3" s="1"/>
  <c r="A177" i="3" s="1"/>
  <c r="C177" i="3" l="1"/>
  <c r="E177" i="3" s="1"/>
  <c r="B177" i="3"/>
  <c r="H177" i="3" l="1"/>
  <c r="D177" i="3" s="1"/>
  <c r="F177" i="3" s="1"/>
  <c r="G177" i="3" s="1"/>
  <c r="A178" i="3" s="1"/>
  <c r="C178" i="3" l="1"/>
  <c r="B178" i="3"/>
  <c r="E178" i="3"/>
  <c r="H178" i="3" l="1"/>
  <c r="D178" i="3" s="1"/>
  <c r="F178" i="3" s="1"/>
  <c r="G178" i="3" s="1"/>
  <c r="A179" i="3" s="1"/>
  <c r="C179" i="3" s="1"/>
  <c r="E179" i="3" s="1"/>
  <c r="B179" i="3" l="1"/>
  <c r="H179" i="3"/>
  <c r="D179" i="3" s="1"/>
  <c r="F179" i="3" s="1"/>
  <c r="G179" i="3" s="1"/>
  <c r="A180" i="3" s="1"/>
  <c r="C180" i="3" l="1"/>
  <c r="E180" i="3" s="1"/>
  <c r="H180" i="3" s="1"/>
  <c r="B180" i="3"/>
  <c r="D180" i="3" l="1"/>
  <c r="F180" i="3" s="1"/>
  <c r="G180" i="3" s="1"/>
  <c r="A181" i="3" s="1"/>
  <c r="C181" i="3" l="1"/>
  <c r="E181" i="3" s="1"/>
  <c r="H181" i="3" s="1"/>
  <c r="B181" i="3"/>
  <c r="D181" i="3" l="1"/>
  <c r="F181" i="3" s="1"/>
  <c r="G181" i="3" s="1"/>
  <c r="A182" i="3" s="1"/>
  <c r="C182" i="3" l="1"/>
  <c r="E182" i="3" s="1"/>
  <c r="B182" i="3"/>
  <c r="H182" i="3" l="1"/>
  <c r="D182" i="3" s="1"/>
  <c r="F182" i="3" s="1"/>
  <c r="G182" i="3" s="1"/>
  <c r="A183" i="3" s="1"/>
  <c r="B183" i="3" l="1"/>
  <c r="C183" i="3"/>
  <c r="E183" i="3"/>
  <c r="H183" i="3" l="1"/>
  <c r="D183" i="3" s="1"/>
  <c r="F183" i="3" s="1"/>
  <c r="G183" i="3" s="1"/>
  <c r="A184" i="3" s="1"/>
  <c r="C184" i="3" l="1"/>
  <c r="E184" i="3" s="1"/>
  <c r="H184" i="3" s="1"/>
  <c r="B184" i="3"/>
  <c r="D184" i="3" l="1"/>
  <c r="F184" i="3" s="1"/>
  <c r="G184" i="3" s="1"/>
  <c r="A185" i="3" s="1"/>
  <c r="C185" i="3" l="1"/>
  <c r="E185" i="3" s="1"/>
  <c r="H185" i="3" s="1"/>
  <c r="D185" i="3" s="1"/>
  <c r="F185" i="3" s="1"/>
  <c r="G185" i="3" s="1"/>
  <c r="A186" i="3" s="1"/>
  <c r="B185" i="3"/>
  <c r="B186" i="3" l="1"/>
  <c r="C186" i="3"/>
  <c r="E186" i="3" l="1"/>
  <c r="H186" i="3" s="1"/>
  <c r="D186" i="3" l="1"/>
  <c r="F186" i="3" s="1"/>
  <c r="G186" i="3" s="1"/>
  <c r="A187" i="3" s="1"/>
  <c r="C187" i="3" l="1"/>
  <c r="E187" i="3" s="1"/>
  <c r="B187" i="3"/>
  <c r="H187" i="3" l="1"/>
  <c r="D187" i="3" s="1"/>
  <c r="F187" i="3" s="1"/>
  <c r="G187" i="3" s="1"/>
  <c r="A188" i="3" s="1"/>
  <c r="C188" i="3" l="1"/>
  <c r="E188" i="3"/>
  <c r="H188" i="3"/>
  <c r="D188" i="3" s="1"/>
  <c r="F188" i="3" s="1"/>
  <c r="G188" i="3" s="1"/>
  <c r="A189" i="3" s="1"/>
  <c r="B188" i="3"/>
  <c r="C189" i="3" l="1"/>
  <c r="B189" i="3"/>
  <c r="E189" i="3"/>
  <c r="H189" i="3" l="1"/>
  <c r="D189" i="3"/>
  <c r="F189" i="3" s="1"/>
  <c r="G189" i="3" s="1"/>
  <c r="A190" i="3" s="1"/>
  <c r="B190" i="3" l="1"/>
  <c r="C190" i="3"/>
  <c r="E190" i="3" l="1"/>
  <c r="H190" i="3" l="1"/>
  <c r="D190" i="3" s="1"/>
  <c r="F190" i="3" s="1"/>
  <c r="G190" i="3" s="1"/>
  <c r="A191" i="3" s="1"/>
  <c r="C191" i="3" l="1"/>
  <c r="E191" i="3"/>
  <c r="H191" i="3" s="1"/>
  <c r="D191" i="3" s="1"/>
  <c r="F191" i="3" s="1"/>
  <c r="G191" i="3" s="1"/>
  <c r="A192" i="3" s="1"/>
  <c r="B191" i="3"/>
  <c r="C192" i="3" l="1"/>
  <c r="B192" i="3"/>
  <c r="E192" i="3" l="1"/>
  <c r="H192" i="3" s="1"/>
  <c r="D192" i="3" l="1"/>
  <c r="F192" i="3" s="1"/>
  <c r="G192" i="3" s="1"/>
  <c r="A193" i="3" s="1"/>
  <c r="C193" i="3" l="1"/>
  <c r="B193" i="3"/>
  <c r="E193" i="3" l="1"/>
  <c r="H193" i="3" s="1"/>
  <c r="D193" i="3" l="1"/>
  <c r="F193" i="3" s="1"/>
  <c r="G193" i="3" s="1"/>
  <c r="A194" i="3" s="1"/>
  <c r="C194" i="3" l="1"/>
  <c r="B194" i="3"/>
  <c r="E194" i="3" l="1"/>
  <c r="H194" i="3" s="1"/>
  <c r="D194" i="3" s="1"/>
  <c r="F194" i="3" s="1"/>
  <c r="G194" i="3" s="1"/>
  <c r="A195" i="3" s="1"/>
  <c r="B195" i="3" l="1"/>
  <c r="C195" i="3"/>
  <c r="E195" i="3" l="1"/>
  <c r="H195" i="3" s="1"/>
  <c r="D195" i="3" s="1"/>
  <c r="F195" i="3" s="1"/>
  <c r="G195" i="3" s="1"/>
  <c r="A196" i="3" s="1"/>
  <c r="B196" i="3" l="1"/>
  <c r="C196" i="3"/>
  <c r="E196" i="3" l="1"/>
  <c r="H196" i="3" s="1"/>
  <c r="D196" i="3" l="1"/>
  <c r="F196" i="3" s="1"/>
  <c r="G196" i="3" s="1"/>
  <c r="A197" i="3" s="1"/>
  <c r="C197" i="3" l="1"/>
  <c r="E197" i="3"/>
  <c r="H197" i="3" s="1"/>
  <c r="D197" i="3" s="1"/>
  <c r="F197" i="3" s="1"/>
  <c r="G197" i="3" s="1"/>
  <c r="A198" i="3" s="1"/>
  <c r="B197" i="3"/>
  <c r="C198" i="3" l="1"/>
  <c r="B198" i="3"/>
  <c r="E198" i="3"/>
  <c r="H198" i="3" s="1"/>
  <c r="D198" i="3" l="1"/>
  <c r="F198" i="3" s="1"/>
  <c r="G198" i="3" s="1"/>
  <c r="A199" i="3" s="1"/>
  <c r="C199" i="3" l="1"/>
  <c r="B199" i="3"/>
  <c r="E199" i="3"/>
  <c r="H199" i="3" s="1"/>
  <c r="D199" i="3" l="1"/>
  <c r="F199" i="3" s="1"/>
  <c r="G199" i="3" s="1"/>
  <c r="A200" i="3" s="1"/>
  <c r="C200" i="3" l="1"/>
  <c r="B200" i="3"/>
  <c r="E200" i="3"/>
  <c r="H200" i="3" s="1"/>
  <c r="D200" i="3" s="1"/>
  <c r="F200" i="3" s="1"/>
  <c r="G200" i="3" s="1"/>
  <c r="A201" i="3" s="1"/>
  <c r="B201" i="3" l="1"/>
  <c r="C201" i="3"/>
  <c r="E201" i="3" s="1"/>
  <c r="H201" i="3" l="1"/>
  <c r="D201" i="3"/>
  <c r="F201" i="3" s="1"/>
  <c r="G201" i="3" s="1"/>
  <c r="A202" i="3" s="1"/>
  <c r="C202" i="3" l="1"/>
  <c r="B202" i="3"/>
  <c r="E202" i="3" l="1"/>
  <c r="H202" i="3" l="1"/>
  <c r="D202" i="3" s="1"/>
  <c r="F202" i="3" s="1"/>
  <c r="G202" i="3" s="1"/>
  <c r="A203" i="3" s="1"/>
  <c r="C203" i="3" l="1"/>
  <c r="B203" i="3"/>
  <c r="E203" i="3"/>
  <c r="H203" i="3" l="1"/>
  <c r="D203" i="3" s="1"/>
  <c r="F203" i="3" s="1"/>
  <c r="G203" i="3" s="1"/>
  <c r="A204" i="3" s="1"/>
  <c r="C204" i="3" l="1"/>
  <c r="B204" i="3"/>
  <c r="E204" i="3"/>
  <c r="H204" i="3" l="1"/>
  <c r="D204" i="3" s="1"/>
  <c r="F204" i="3" s="1"/>
  <c r="G204" i="3" s="1"/>
  <c r="A205" i="3" s="1"/>
  <c r="C205" i="3" l="1"/>
  <c r="E205" i="3" s="1"/>
  <c r="B205" i="3"/>
  <c r="H205" i="3" l="1"/>
  <c r="D205" i="3" s="1"/>
  <c r="F205" i="3" s="1"/>
  <c r="G205" i="3" s="1"/>
  <c r="A206" i="3" s="1"/>
  <c r="C206" i="3" l="1"/>
  <c r="E206" i="3" s="1"/>
  <c r="H206" i="3" s="1"/>
  <c r="B206" i="3"/>
  <c r="D206" i="3" l="1"/>
  <c r="F206" i="3" s="1"/>
  <c r="G206" i="3" s="1"/>
  <c r="A207" i="3" s="1"/>
  <c r="C207" i="3" l="1"/>
  <c r="B207" i="3"/>
  <c r="E207" i="3"/>
  <c r="H207" i="3" s="1"/>
  <c r="D207" i="3" l="1"/>
  <c r="F207" i="3" s="1"/>
  <c r="G207" i="3" s="1"/>
  <c r="A208" i="3" s="1"/>
  <c r="B208" i="3" l="1"/>
  <c r="C208" i="3"/>
  <c r="E208" i="3" l="1"/>
  <c r="H208" i="3" l="1"/>
  <c r="D208" i="3" s="1"/>
  <c r="F208" i="3" s="1"/>
  <c r="G208" i="3" s="1"/>
  <c r="A209" i="3" s="1"/>
  <c r="C209" i="3" l="1"/>
  <c r="E209" i="3" s="1"/>
  <c r="B209" i="3"/>
  <c r="H209" i="3" l="1"/>
  <c r="D209" i="3" s="1"/>
  <c r="F209" i="3" s="1"/>
  <c r="G209" i="3" s="1"/>
  <c r="A210" i="3" s="1"/>
  <c r="C210" i="3" l="1"/>
  <c r="E210" i="3" s="1"/>
  <c r="H210" i="3" s="1"/>
  <c r="B210" i="3"/>
  <c r="D210" i="3" l="1"/>
  <c r="F210" i="3" s="1"/>
  <c r="G210" i="3" s="1"/>
  <c r="A211" i="3" s="1"/>
  <c r="C211" i="3" l="1"/>
  <c r="B211" i="3"/>
  <c r="E211" i="3" l="1"/>
  <c r="H211" i="3" s="1"/>
  <c r="D211" i="3" s="1"/>
  <c r="F211" i="3" s="1"/>
  <c r="G211" i="3" s="1"/>
  <c r="A212" i="3" s="1"/>
  <c r="C212" i="3" l="1"/>
  <c r="B212" i="3"/>
  <c r="E212" i="3"/>
  <c r="H212" i="3" l="1"/>
  <c r="D212" i="3" s="1"/>
  <c r="F212" i="3" s="1"/>
  <c r="G212" i="3" s="1"/>
  <c r="A213" i="3" s="1"/>
  <c r="B213" i="3" l="1"/>
  <c r="C213" i="3"/>
  <c r="E213" i="3" s="1"/>
  <c r="H213" i="3" l="1"/>
  <c r="D213" i="3" s="1"/>
  <c r="F213" i="3" s="1"/>
  <c r="G213" i="3" s="1"/>
  <c r="A214" i="3" s="1"/>
  <c r="C214" i="3" l="1"/>
  <c r="B214" i="3"/>
  <c r="E214" i="3" l="1"/>
  <c r="H214" i="3" s="1"/>
  <c r="D214" i="3" s="1"/>
  <c r="F214" i="3" s="1"/>
  <c r="G214" i="3" s="1"/>
  <c r="A215" i="3" s="1"/>
  <c r="C215" i="3" l="1"/>
  <c r="E215" i="3"/>
  <c r="H215" i="3" s="1"/>
  <c r="D215" i="3" s="1"/>
  <c r="F215" i="3" s="1"/>
  <c r="G215" i="3" s="1"/>
  <c r="A216" i="3" s="1"/>
  <c r="B215" i="3"/>
  <c r="C216" i="3" l="1"/>
  <c r="B216" i="3"/>
  <c r="E216" i="3" l="1"/>
  <c r="H216" i="3" s="1"/>
  <c r="D216" i="3" l="1"/>
  <c r="F216" i="3" s="1"/>
  <c r="G216" i="3" s="1"/>
  <c r="A217" i="3" s="1"/>
  <c r="B217" i="3" l="1"/>
  <c r="C217" i="3"/>
  <c r="E217" i="3" l="1"/>
  <c r="H217" i="3" s="1"/>
  <c r="D217" i="3" s="1"/>
  <c r="F217" i="3" s="1"/>
  <c r="G217" i="3" s="1"/>
  <c r="A218" i="3" s="1"/>
  <c r="C218" i="3" l="1"/>
  <c r="E218" i="3"/>
  <c r="H218" i="3" s="1"/>
  <c r="B218" i="3"/>
  <c r="D218" i="3" l="1"/>
  <c r="F218" i="3" s="1"/>
  <c r="G218" i="3" s="1"/>
  <c r="A219" i="3" s="1"/>
  <c r="C219" i="3" l="1"/>
  <c r="E219" i="3" s="1"/>
  <c r="B219" i="3"/>
  <c r="H219" i="3" l="1"/>
  <c r="D219" i="3" s="1"/>
  <c r="F219" i="3" s="1"/>
  <c r="G219" i="3" s="1"/>
  <c r="A220" i="3" s="1"/>
  <c r="C220" i="3" l="1"/>
  <c r="B220" i="3"/>
  <c r="E220" i="3"/>
  <c r="H220" i="3" l="1"/>
  <c r="D220" i="3"/>
  <c r="F220" i="3" s="1"/>
  <c r="G220" i="3" s="1"/>
  <c r="A221" i="3" s="1"/>
  <c r="C221" i="3" l="1"/>
  <c r="E221" i="3" s="1"/>
  <c r="H221" i="3" s="1"/>
  <c r="B221" i="3"/>
  <c r="D221" i="3" l="1"/>
  <c r="F221" i="3" s="1"/>
  <c r="G221" i="3" s="1"/>
  <c r="A222" i="3" s="1"/>
  <c r="B222" i="3" l="1"/>
  <c r="C222" i="3"/>
  <c r="E222" i="3" l="1"/>
  <c r="H222" i="3" s="1"/>
  <c r="D222" i="3" l="1"/>
  <c r="F222" i="3" s="1"/>
  <c r="G222" i="3" s="1"/>
  <c r="A223" i="3" s="1"/>
  <c r="C223" i="3" l="1"/>
  <c r="B223" i="3"/>
  <c r="E223" i="3" l="1"/>
  <c r="H223" i="3" s="1"/>
  <c r="D223" i="3" l="1"/>
  <c r="F223" i="3" s="1"/>
  <c r="G223" i="3" s="1"/>
  <c r="A224" i="3" s="1"/>
  <c r="C224" i="3" s="1"/>
  <c r="B224" i="3" l="1"/>
  <c r="E224" i="3"/>
  <c r="H224" i="3"/>
  <c r="D224" i="3" s="1"/>
  <c r="F224" i="3" s="1"/>
  <c r="G224" i="3" s="1"/>
  <c r="A225" i="3" s="1"/>
  <c r="C225" i="3" l="1"/>
  <c r="B225" i="3"/>
  <c r="E225" i="3"/>
  <c r="H225" i="3" l="1"/>
  <c r="D225" i="3" s="1"/>
  <c r="F225" i="3" s="1"/>
  <c r="G225" i="3" s="1"/>
  <c r="A226" i="3" s="1"/>
  <c r="B226" i="3" s="1"/>
  <c r="C226" i="3" l="1"/>
  <c r="E226" i="3"/>
  <c r="H226" i="3" l="1"/>
  <c r="D226" i="3" s="1"/>
  <c r="F226" i="3" s="1"/>
  <c r="G226" i="3" s="1"/>
  <c r="A227" i="3" s="1"/>
  <c r="C227" i="3" l="1"/>
  <c r="E227" i="3"/>
  <c r="H227" i="3" s="1"/>
  <c r="D227" i="3" s="1"/>
  <c r="F227" i="3" s="1"/>
  <c r="G227" i="3" s="1"/>
  <c r="A228" i="3" s="1"/>
  <c r="B227" i="3"/>
  <c r="C228" i="3" l="1"/>
  <c r="B228" i="3"/>
  <c r="E228" i="3"/>
  <c r="H228" i="3" l="1"/>
  <c r="D228" i="3" s="1"/>
  <c r="F228" i="3" s="1"/>
  <c r="G228" i="3" s="1"/>
  <c r="A229" i="3" s="1"/>
  <c r="C229" i="3" l="1"/>
  <c r="B229" i="3"/>
  <c r="E229" i="3"/>
  <c r="H229" i="3" s="1"/>
  <c r="D229" i="3" l="1"/>
  <c r="F229" i="3" s="1"/>
  <c r="G229" i="3" s="1"/>
  <c r="A230" i="3" s="1"/>
  <c r="C230" i="3" l="1"/>
  <c r="B230" i="3"/>
  <c r="E230" i="3"/>
  <c r="H230" i="3" s="1"/>
  <c r="D230" i="3" s="1"/>
  <c r="F230" i="3" s="1"/>
  <c r="G230" i="3" s="1"/>
  <c r="A231" i="3" s="1"/>
  <c r="C231" i="3" l="1"/>
  <c r="B231" i="3"/>
  <c r="E231" i="3" l="1"/>
  <c r="H231" i="3" s="1"/>
  <c r="D231" i="3" s="1"/>
  <c r="F231" i="3" s="1"/>
  <c r="G231" i="3" s="1"/>
  <c r="A232" i="3" s="1"/>
  <c r="C232" i="3" l="1"/>
  <c r="E232" i="3" s="1"/>
  <c r="B232" i="3"/>
  <c r="H232" i="3" l="1"/>
  <c r="D232" i="3"/>
  <c r="F232" i="3" s="1"/>
  <c r="G232" i="3" s="1"/>
  <c r="A233" i="3" s="1"/>
  <c r="C233" i="3" s="1"/>
  <c r="B233" i="3" l="1"/>
  <c r="E233" i="3"/>
  <c r="H233" i="3" s="1"/>
  <c r="D233" i="3" s="1"/>
  <c r="F233" i="3" s="1"/>
  <c r="G233" i="3" s="1"/>
  <c r="A234" i="3" s="1"/>
  <c r="C234" i="3" s="1"/>
  <c r="E234" i="3" s="1"/>
  <c r="H234" i="3" s="1"/>
  <c r="B234" i="3" l="1"/>
  <c r="D234" i="3"/>
  <c r="F234" i="3" s="1"/>
  <c r="G234" i="3" s="1"/>
  <c r="A235" i="3" s="1"/>
  <c r="C235" i="3" l="1"/>
  <c r="E235" i="3" s="1"/>
  <c r="B235" i="3"/>
  <c r="H235" i="3" l="1"/>
  <c r="D235" i="3" s="1"/>
  <c r="F235" i="3" s="1"/>
  <c r="G235" i="3" s="1"/>
  <c r="A236" i="3" s="1"/>
  <c r="C236" i="3" l="1"/>
  <c r="E236" i="3"/>
  <c r="H236" i="3" s="1"/>
  <c r="D236" i="3" s="1"/>
  <c r="F236" i="3" s="1"/>
  <c r="G236" i="3" s="1"/>
  <c r="A237" i="3" s="1"/>
  <c r="B236" i="3"/>
  <c r="B237" i="3" l="1"/>
  <c r="C237" i="3"/>
  <c r="E237" i="3" l="1"/>
  <c r="H237" i="3" l="1"/>
  <c r="D237" i="3" s="1"/>
  <c r="F237" i="3" s="1"/>
  <c r="G237" i="3" s="1"/>
  <c r="A238" i="3" s="1"/>
  <c r="B238" i="3" l="1"/>
  <c r="C238" i="3"/>
  <c r="E238" i="3" l="1"/>
  <c r="H238" i="3" l="1"/>
  <c r="D238" i="3" s="1"/>
  <c r="F238" i="3" s="1"/>
  <c r="G238" i="3" s="1"/>
  <c r="A239" i="3" s="1"/>
  <c r="C239" i="3" l="1"/>
  <c r="E239" i="3" s="1"/>
  <c r="B239" i="3"/>
  <c r="H239" i="3" l="1"/>
  <c r="D239" i="3" s="1"/>
  <c r="F239" i="3" s="1"/>
  <c r="G239" i="3" s="1"/>
  <c r="A240" i="3" s="1"/>
  <c r="C240" i="3" s="1"/>
  <c r="B240" i="3" l="1"/>
  <c r="E240" i="3"/>
  <c r="H240" i="3" s="1"/>
  <c r="D240" i="3" l="1"/>
  <c r="F240" i="3" s="1"/>
  <c r="G240" i="3" s="1"/>
  <c r="A241" i="3" s="1"/>
  <c r="C241" i="3" l="1"/>
  <c r="B241" i="3"/>
  <c r="E241" i="3" l="1"/>
  <c r="H241" i="3" l="1"/>
  <c r="D241" i="3" s="1"/>
  <c r="F241" i="3" s="1"/>
  <c r="G241" i="3" s="1"/>
  <c r="A242" i="3" s="1"/>
  <c r="C242" i="3" l="1"/>
  <c r="E242" i="3" s="1"/>
  <c r="H242" i="3" s="1"/>
  <c r="B242" i="3"/>
  <c r="D242" i="3" l="1"/>
  <c r="F242" i="3" s="1"/>
  <c r="G242" i="3" s="1"/>
  <c r="A243" i="3" s="1"/>
  <c r="B243" i="3" l="1"/>
  <c r="C243" i="3"/>
  <c r="E243" i="3" l="1"/>
  <c r="H243" i="3" s="1"/>
  <c r="D243" i="3" s="1"/>
  <c r="F243" i="3" s="1"/>
  <c r="G243" i="3" s="1"/>
  <c r="A244" i="3" s="1"/>
  <c r="C244" i="3" l="1"/>
  <c r="B244" i="3"/>
  <c r="E244" i="3" l="1"/>
  <c r="H244" i="3" l="1"/>
  <c r="D244" i="3" s="1"/>
  <c r="F244" i="3" s="1"/>
  <c r="G244" i="3" s="1"/>
  <c r="A245" i="3" s="1"/>
  <c r="C245" i="3" l="1"/>
  <c r="E245" i="3" s="1"/>
  <c r="H245" i="3" s="1"/>
  <c r="D245" i="3" s="1"/>
  <c r="F245" i="3" s="1"/>
  <c r="G245" i="3" s="1"/>
  <c r="A246" i="3" s="1"/>
  <c r="B245" i="3"/>
  <c r="C246" i="3" l="1"/>
  <c r="B246" i="3"/>
  <c r="E246" i="3"/>
  <c r="H246" i="3" s="1"/>
  <c r="D246" i="3" l="1"/>
  <c r="F246" i="3" s="1"/>
  <c r="G246" i="3" s="1"/>
  <c r="A247" i="3" s="1"/>
  <c r="C247" i="3" l="1"/>
  <c r="B247" i="3"/>
  <c r="E247" i="3"/>
  <c r="H247" i="3" l="1"/>
  <c r="D247" i="3" s="1"/>
  <c r="F247" i="3" s="1"/>
  <c r="G247" i="3" s="1"/>
  <c r="A248" i="3" s="1"/>
  <c r="B248" i="3" s="1"/>
  <c r="C248" i="3" l="1"/>
  <c r="E248" i="3" s="1"/>
  <c r="H248" i="3" s="1"/>
  <c r="D248" i="3" s="1"/>
  <c r="F248" i="3" s="1"/>
  <c r="G248" i="3" s="1"/>
  <c r="A249" i="3" s="1"/>
  <c r="C249" i="3" s="1"/>
  <c r="E249" i="3" s="1"/>
  <c r="H249" i="3" s="1"/>
  <c r="D249" i="3" s="1"/>
  <c r="F249" i="3" s="1"/>
  <c r="G249" i="3" s="1"/>
  <c r="A250" i="3" s="1"/>
  <c r="B249" i="3" l="1"/>
  <c r="C250" i="3"/>
  <c r="B250" i="3"/>
  <c r="E250" i="3"/>
  <c r="H250" i="3" l="1"/>
  <c r="D250" i="3" s="1"/>
  <c r="F250" i="3" s="1"/>
  <c r="G250" i="3" s="1"/>
  <c r="A251" i="3" s="1"/>
  <c r="C251" i="3" s="1"/>
  <c r="E251" i="3" l="1"/>
  <c r="H251" i="3" s="1"/>
  <c r="D251" i="3" s="1"/>
  <c r="F251" i="3" s="1"/>
  <c r="G251" i="3" s="1"/>
  <c r="A252" i="3" s="1"/>
  <c r="C252" i="3" s="1"/>
  <c r="E252" i="3" s="1"/>
  <c r="B251" i="3"/>
  <c r="B252" i="3" l="1"/>
  <c r="H252" i="3"/>
  <c r="D252" i="3" s="1"/>
  <c r="F252" i="3" s="1"/>
  <c r="G252" i="3" s="1"/>
  <c r="A253" i="3" s="1"/>
  <c r="C253" i="3" l="1"/>
  <c r="E253" i="3" s="1"/>
  <c r="H253" i="3" s="1"/>
  <c r="B253" i="3"/>
  <c r="D253" i="3" l="1"/>
  <c r="F253" i="3" s="1"/>
  <c r="G253" i="3" s="1"/>
  <c r="A254" i="3" s="1"/>
  <c r="C254" i="3" l="1"/>
  <c r="E254" i="3" s="1"/>
  <c r="B254" i="3"/>
  <c r="H254" i="3" l="1"/>
  <c r="D254" i="3" s="1"/>
  <c r="F254" i="3" s="1"/>
  <c r="G254" i="3" s="1"/>
  <c r="A255" i="3" s="1"/>
  <c r="B255" i="3" s="1"/>
  <c r="C255" i="3" l="1"/>
  <c r="E255" i="3"/>
  <c r="H255" i="3" l="1"/>
  <c r="D255" i="3" s="1"/>
  <c r="F255" i="3" s="1"/>
  <c r="G255" i="3" s="1"/>
  <c r="A256" i="3" s="1"/>
  <c r="B256" i="3" l="1"/>
  <c r="C256" i="3"/>
  <c r="E256" i="3" s="1"/>
  <c r="H256" i="3" s="1"/>
  <c r="D256" i="3" l="1"/>
  <c r="F256" i="3" s="1"/>
  <c r="G256" i="3" s="1"/>
  <c r="A257" i="3" s="1"/>
  <c r="C257" i="3" l="1"/>
  <c r="E257" i="3"/>
  <c r="B257" i="3"/>
  <c r="H257" i="3"/>
  <c r="D257" i="3" s="1"/>
  <c r="F257" i="3" s="1"/>
  <c r="G257" i="3" s="1"/>
  <c r="A258" i="3" s="1"/>
  <c r="C258" i="3" l="1"/>
  <c r="B258" i="3"/>
  <c r="E258" i="3" l="1"/>
  <c r="H258" i="3" s="1"/>
  <c r="D258" i="3" l="1"/>
  <c r="F258" i="3" s="1"/>
  <c r="G258" i="3" s="1"/>
  <c r="A259" i="3" s="1"/>
  <c r="C259" i="3" l="1"/>
  <c r="B259" i="3"/>
  <c r="E259" i="3"/>
  <c r="H259" i="3" l="1"/>
  <c r="D259" i="3" s="1"/>
  <c r="F259" i="3" s="1"/>
  <c r="G259" i="3" s="1"/>
  <c r="A260" i="3" s="1"/>
  <c r="C260" i="3" l="1"/>
  <c r="E260" i="3"/>
  <c r="H260" i="3" s="1"/>
  <c r="D260" i="3" s="1"/>
  <c r="F260" i="3" s="1"/>
  <c r="G260" i="3" s="1"/>
  <c r="A261" i="3" s="1"/>
  <c r="B260" i="3"/>
  <c r="C261" i="3" l="1"/>
  <c r="E261" i="3"/>
  <c r="H261" i="3" s="1"/>
  <c r="D261" i="3" s="1"/>
  <c r="F261" i="3" s="1"/>
  <c r="G261" i="3" s="1"/>
  <c r="A262" i="3" s="1"/>
  <c r="B261" i="3"/>
  <c r="C262" i="3" l="1"/>
  <c r="E262" i="3"/>
  <c r="H262" i="3" s="1"/>
  <c r="D262" i="3" s="1"/>
  <c r="F262" i="3" s="1"/>
  <c r="G262" i="3" s="1"/>
  <c r="A263" i="3" s="1"/>
  <c r="B262" i="3"/>
  <c r="C263" i="3" l="1"/>
  <c r="B263" i="3"/>
  <c r="E263" i="3"/>
  <c r="H263" i="3" l="1"/>
  <c r="D263" i="3" s="1"/>
  <c r="F263" i="3" s="1"/>
  <c r="G263" i="3" s="1"/>
  <c r="A264" i="3" s="1"/>
  <c r="B264" i="3" l="1"/>
  <c r="C264" i="3"/>
  <c r="E264" i="3" s="1"/>
  <c r="H264" i="3" l="1"/>
  <c r="D264" i="3"/>
  <c r="F264" i="3" s="1"/>
  <c r="G264" i="3" s="1"/>
  <c r="A265" i="3" s="1"/>
  <c r="C265" i="3" s="1"/>
  <c r="E265" i="3" s="1"/>
  <c r="B265" i="3" l="1"/>
  <c r="H265" i="3"/>
  <c r="D265" i="3" s="1"/>
  <c r="F265" i="3" s="1"/>
  <c r="G265" i="3" s="1"/>
  <c r="A266" i="3" s="1"/>
  <c r="C266" i="3" l="1"/>
  <c r="E266" i="3" s="1"/>
  <c r="B266" i="3"/>
  <c r="H266" i="3" l="1"/>
  <c r="D266" i="3" s="1"/>
  <c r="F266" i="3" s="1"/>
  <c r="G266" i="3" s="1"/>
  <c r="A267" i="3" s="1"/>
  <c r="C267" i="3" l="1"/>
  <c r="E267" i="3" s="1"/>
  <c r="H267" i="3" s="1"/>
  <c r="B267" i="3"/>
  <c r="D267" i="3" l="1"/>
  <c r="F267" i="3" s="1"/>
  <c r="G267" i="3" s="1"/>
  <c r="A268" i="3" s="1"/>
  <c r="C268" i="3" s="1"/>
  <c r="B268" i="3" l="1"/>
  <c r="E268" i="3"/>
  <c r="H268" i="3" s="1"/>
  <c r="D268" i="3" l="1"/>
  <c r="F268" i="3" s="1"/>
  <c r="G268" i="3" s="1"/>
  <c r="A269" i="3" s="1"/>
  <c r="C269" i="3" l="1"/>
  <c r="E269" i="3" s="1"/>
  <c r="H269" i="3" s="1"/>
  <c r="D269" i="3" s="1"/>
  <c r="F269" i="3" s="1"/>
  <c r="G269" i="3" s="1"/>
  <c r="A270" i="3" s="1"/>
  <c r="B269" i="3"/>
  <c r="C270" i="3" l="1"/>
  <c r="B270" i="3"/>
  <c r="E270" i="3" l="1"/>
  <c r="H270" i="3" l="1"/>
  <c r="D270" i="3" s="1"/>
  <c r="F270" i="3" s="1"/>
  <c r="G270" i="3" s="1"/>
  <c r="A271" i="3" s="1"/>
  <c r="C271" i="3" l="1"/>
  <c r="B271" i="3"/>
  <c r="E271" i="3" l="1"/>
  <c r="H271" i="3" l="1"/>
  <c r="D271" i="3" s="1"/>
  <c r="F271" i="3" s="1"/>
  <c r="G271" i="3" s="1"/>
  <c r="A272" i="3" s="1"/>
  <c r="C272" i="3" l="1"/>
  <c r="B272" i="3"/>
  <c r="E272" i="3"/>
  <c r="H272" i="3" s="1"/>
  <c r="D272" i="3" s="1"/>
  <c r="F272" i="3" s="1"/>
  <c r="G272" i="3" s="1"/>
  <c r="A273" i="3" s="1"/>
  <c r="B273" i="3" l="1"/>
  <c r="C273" i="3"/>
  <c r="E273" i="3" l="1"/>
  <c r="H273" i="3" l="1"/>
  <c r="D273" i="3" s="1"/>
  <c r="F273" i="3" s="1"/>
  <c r="G273" i="3" s="1"/>
  <c r="A274" i="3" s="1"/>
  <c r="C274" i="3" l="1"/>
  <c r="B274" i="3"/>
  <c r="E274" i="3" l="1"/>
  <c r="H274" i="3" s="1"/>
  <c r="D274" i="3" l="1"/>
  <c r="F274" i="3" s="1"/>
  <c r="G274" i="3" s="1"/>
  <c r="A275" i="3" s="1"/>
  <c r="C275" i="3" l="1"/>
  <c r="E275" i="3" s="1"/>
  <c r="H275" i="3" s="1"/>
  <c r="B275" i="3"/>
  <c r="D275" i="3" l="1"/>
  <c r="F275" i="3" s="1"/>
  <c r="G275" i="3" s="1"/>
  <c r="A276" i="3" s="1"/>
  <c r="C276" i="3" s="1"/>
  <c r="B276" i="3" l="1"/>
  <c r="E276" i="3"/>
  <c r="H276" i="3" s="1"/>
  <c r="D276" i="3" l="1"/>
  <c r="F276" i="3" s="1"/>
  <c r="G276" i="3" s="1"/>
  <c r="A277" i="3" s="1"/>
  <c r="C277" i="3" s="1"/>
  <c r="E277" i="3" s="1"/>
  <c r="H277" i="3" s="1"/>
  <c r="D277" i="3" s="1"/>
  <c r="F277" i="3" s="1"/>
  <c r="G277" i="3" s="1"/>
  <c r="A278" i="3" s="1"/>
  <c r="B277" i="3" l="1"/>
  <c r="C278" i="3"/>
  <c r="B278" i="3"/>
  <c r="E278" i="3"/>
  <c r="H278" i="3" s="1"/>
  <c r="D278" i="3" s="1"/>
  <c r="F278" i="3" s="1"/>
  <c r="G278" i="3" s="1"/>
  <c r="A279" i="3" s="1"/>
  <c r="C279" i="3" l="1"/>
  <c r="E279" i="3" s="1"/>
  <c r="B279" i="3"/>
  <c r="H279" i="3" l="1"/>
  <c r="D279" i="3" s="1"/>
  <c r="F279" i="3" s="1"/>
  <c r="G279" i="3" s="1"/>
  <c r="A280" i="3" s="1"/>
  <c r="C280" i="3" l="1"/>
  <c r="E280" i="3" s="1"/>
  <c r="H280" i="3" s="1"/>
  <c r="B280" i="3"/>
  <c r="D280" i="3" l="1"/>
  <c r="F280" i="3" s="1"/>
  <c r="G280" i="3" s="1"/>
  <c r="A281" i="3" s="1"/>
  <c r="C281" i="3" l="1"/>
  <c r="B281" i="3"/>
  <c r="E281" i="3" l="1"/>
  <c r="H281" i="3" s="1"/>
  <c r="D281" i="3" l="1"/>
  <c r="F281" i="3" s="1"/>
  <c r="G281" i="3" s="1"/>
  <c r="A282" i="3" s="1"/>
  <c r="C282" i="3" l="1"/>
  <c r="E282" i="3" s="1"/>
  <c r="B282" i="3"/>
  <c r="H282" i="3" l="1"/>
  <c r="D282" i="3"/>
  <c r="F282" i="3" s="1"/>
  <c r="G282" i="3" s="1"/>
  <c r="A283" i="3" s="1"/>
  <c r="C283" i="3" l="1"/>
  <c r="B283" i="3"/>
  <c r="E283" i="3" l="1"/>
  <c r="H283" i="3" l="1"/>
  <c r="D283" i="3" s="1"/>
  <c r="F283" i="3" s="1"/>
  <c r="G283" i="3" s="1"/>
  <c r="A284" i="3" s="1"/>
  <c r="C284" i="3" l="1"/>
  <c r="E284" i="3"/>
  <c r="B284" i="3"/>
  <c r="H284" i="3"/>
  <c r="D284" i="3" l="1"/>
  <c r="F284" i="3" s="1"/>
  <c r="G284" i="3" s="1"/>
  <c r="A285" i="3" s="1"/>
  <c r="C285" i="3" s="1"/>
  <c r="B285" i="3" l="1"/>
  <c r="E285" i="3"/>
  <c r="H285" i="3" l="1"/>
  <c r="D285" i="3" s="1"/>
  <c r="F285" i="3" s="1"/>
  <c r="G285" i="3" s="1"/>
  <c r="A286" i="3" s="1"/>
  <c r="B286" i="3" l="1"/>
  <c r="C286" i="3"/>
  <c r="E286" i="3" l="1"/>
  <c r="H286" i="3" s="1"/>
  <c r="D286" i="3" l="1"/>
  <c r="F286" i="3" s="1"/>
  <c r="G286" i="3" s="1"/>
  <c r="A287" i="3" s="1"/>
  <c r="C287" i="3" l="1"/>
  <c r="B287" i="3"/>
  <c r="E287" i="3"/>
  <c r="H287" i="3" s="1"/>
  <c r="D287" i="3" s="1"/>
  <c r="F287" i="3" s="1"/>
  <c r="G287" i="3" s="1"/>
  <c r="A288" i="3" s="1"/>
  <c r="C288" i="3" l="1"/>
  <c r="E288" i="3" s="1"/>
  <c r="B288" i="3"/>
  <c r="H288" i="3" l="1"/>
  <c r="D288" i="3" s="1"/>
  <c r="F288" i="3" s="1"/>
  <c r="G288" i="3" s="1"/>
  <c r="A289" i="3" s="1"/>
  <c r="C289" i="3" l="1"/>
  <c r="B289" i="3"/>
  <c r="E289" i="3" l="1"/>
  <c r="H289" i="3" s="1"/>
  <c r="D289" i="3" l="1"/>
  <c r="F289" i="3" s="1"/>
  <c r="G289" i="3" s="1"/>
  <c r="A290" i="3" s="1"/>
  <c r="C290" i="3" l="1"/>
  <c r="B290" i="3"/>
  <c r="E290" i="3"/>
  <c r="H290" i="3" s="1"/>
  <c r="D290" i="3" s="1"/>
  <c r="F290" i="3" s="1"/>
  <c r="G290" i="3" s="1"/>
  <c r="A291" i="3" s="1"/>
  <c r="C291" i="3" l="1"/>
  <c r="B291" i="3"/>
  <c r="E291" i="3" l="1"/>
  <c r="H291" i="3" l="1"/>
  <c r="D291" i="3" s="1"/>
  <c r="F291" i="3" s="1"/>
  <c r="G291" i="3" s="1"/>
  <c r="A292" i="3" s="1"/>
  <c r="C292" i="3" l="1"/>
  <c r="B292" i="3"/>
  <c r="E292" i="3" l="1"/>
  <c r="H292" i="3" s="1"/>
  <c r="D292" i="3" s="1"/>
  <c r="F292" i="3" s="1"/>
  <c r="G292" i="3" s="1"/>
  <c r="A293" i="3" s="1"/>
  <c r="C293" i="3" l="1"/>
  <c r="B293" i="3"/>
  <c r="E293" i="3"/>
  <c r="H293" i="3" l="1"/>
  <c r="D293" i="3" s="1"/>
  <c r="F293" i="3" s="1"/>
  <c r="G293" i="3" s="1"/>
  <c r="A294" i="3" s="1"/>
  <c r="C294" i="3" l="1"/>
  <c r="B294" i="3"/>
  <c r="E294" i="3"/>
  <c r="H294" i="3" s="1"/>
  <c r="D294" i="3" s="1"/>
  <c r="F294" i="3" s="1"/>
  <c r="G294" i="3" s="1"/>
  <c r="A295" i="3" s="1"/>
  <c r="C295" i="3" l="1"/>
  <c r="B295" i="3"/>
  <c r="E295" i="3" l="1"/>
  <c r="H295" i="3" s="1"/>
  <c r="D295" i="3" l="1"/>
  <c r="F295" i="3" s="1"/>
  <c r="G295" i="3" s="1"/>
  <c r="A296" i="3" s="1"/>
  <c r="C296" i="3" l="1"/>
  <c r="E296" i="3" s="1"/>
  <c r="B296" i="3"/>
  <c r="H296" i="3" l="1"/>
  <c r="D296" i="3" s="1"/>
  <c r="F296" i="3" s="1"/>
  <c r="G296" i="3" s="1"/>
  <c r="A297" i="3" s="1"/>
  <c r="C297" i="3" l="1"/>
  <c r="B297" i="3"/>
  <c r="E297" i="3" l="1"/>
  <c r="H297" i="3" l="1"/>
  <c r="D297" i="3"/>
  <c r="F297" i="3" s="1"/>
  <c r="G297" i="3" s="1"/>
  <c r="A298" i="3" s="1"/>
  <c r="B298" i="3" l="1"/>
  <c r="C298" i="3"/>
  <c r="E298" i="3" l="1"/>
  <c r="H298" i="3" s="1"/>
  <c r="D298" i="3" l="1"/>
  <c r="F298" i="3" s="1"/>
  <c r="G298" i="3" s="1"/>
  <c r="A299" i="3" s="1"/>
  <c r="C299" i="3" l="1"/>
  <c r="B299" i="3"/>
  <c r="E299" i="3"/>
  <c r="H299" i="3" s="1"/>
  <c r="D299" i="3" s="1"/>
  <c r="F299" i="3" s="1"/>
  <c r="G299" i="3" s="1"/>
  <c r="A300" i="3" s="1"/>
  <c r="C300" i="3" l="1"/>
  <c r="E300" i="3" s="1"/>
  <c r="H300" i="3" s="1"/>
  <c r="B300" i="3"/>
  <c r="D300" i="3" l="1"/>
  <c r="F300" i="3" s="1"/>
  <c r="G300" i="3" s="1"/>
  <c r="A301" i="3" s="1"/>
  <c r="C301" i="3" l="1"/>
  <c r="B301" i="3"/>
  <c r="E301" i="3"/>
  <c r="H301" i="3" l="1"/>
  <c r="D301" i="3" s="1"/>
  <c r="F301" i="3" s="1"/>
  <c r="G301" i="3" s="1"/>
  <c r="A302" i="3" s="1"/>
  <c r="B302" i="3" l="1"/>
  <c r="C302" i="3"/>
  <c r="E302" i="3" s="1"/>
  <c r="H302" i="3" l="1"/>
  <c r="D302" i="3" s="1"/>
  <c r="F302" i="3" s="1"/>
  <c r="G302" i="3" s="1"/>
  <c r="A303" i="3" s="1"/>
  <c r="C303" i="3" l="1"/>
  <c r="B303" i="3"/>
  <c r="E303" i="3"/>
  <c r="H303" i="3" l="1"/>
  <c r="D303" i="3" s="1"/>
  <c r="F303" i="3" s="1"/>
  <c r="G303" i="3" s="1"/>
  <c r="A304" i="3" s="1"/>
  <c r="C304" i="3" l="1"/>
  <c r="E304" i="3" s="1"/>
  <c r="B304" i="3"/>
  <c r="H304" i="3"/>
  <c r="D304" i="3" s="1"/>
  <c r="F304" i="3" s="1"/>
  <c r="G304" i="3" s="1"/>
  <c r="A305" i="3" s="1"/>
  <c r="C305" i="3" l="1"/>
  <c r="B305" i="3"/>
  <c r="E305" i="3"/>
  <c r="H305" i="3" s="1"/>
  <c r="D305" i="3" s="1"/>
  <c r="F305" i="3" s="1"/>
  <c r="G305" i="3" s="1"/>
  <c r="A306" i="3" s="1"/>
  <c r="C306" i="3" l="1"/>
  <c r="E306" i="3" s="1"/>
  <c r="B306" i="3"/>
  <c r="H306" i="3" l="1"/>
  <c r="D306" i="3" s="1"/>
  <c r="F306" i="3" s="1"/>
  <c r="G306" i="3" s="1"/>
  <c r="A307" i="3" s="1"/>
  <c r="C307" i="3" l="1"/>
  <c r="B307" i="3"/>
  <c r="E307" i="3"/>
  <c r="H307" i="3" l="1"/>
  <c r="D307" i="3" s="1"/>
  <c r="F307" i="3" s="1"/>
  <c r="G307" i="3" s="1"/>
  <c r="A308" i="3" s="1"/>
  <c r="C308" i="3" l="1"/>
  <c r="B308" i="3"/>
  <c r="E308" i="3"/>
  <c r="H308" i="3" s="1"/>
  <c r="D308" i="3" s="1"/>
  <c r="F308" i="3" s="1"/>
  <c r="G308" i="3" s="1"/>
  <c r="A309" i="3" s="1"/>
  <c r="B309" i="3" l="1"/>
  <c r="C309" i="3"/>
  <c r="E309" i="3" l="1"/>
  <c r="H309" i="3" s="1"/>
  <c r="D309" i="3" l="1"/>
  <c r="F309" i="3" s="1"/>
  <c r="G309" i="3" s="1"/>
  <c r="A310" i="3" s="1"/>
  <c r="C310" i="3" l="1"/>
  <c r="B310" i="3"/>
  <c r="E310" i="3" l="1"/>
  <c r="H310" i="3" l="1"/>
  <c r="D310" i="3" s="1"/>
  <c r="F310" i="3" s="1"/>
  <c r="G310" i="3" s="1"/>
  <c r="A311" i="3" s="1"/>
  <c r="C311" i="3" l="1"/>
  <c r="B311" i="3"/>
  <c r="E311" i="3"/>
  <c r="H311" i="3" l="1"/>
  <c r="D311" i="3" s="1"/>
  <c r="F311" i="3" s="1"/>
  <c r="G311" i="3" s="1"/>
  <c r="A312" i="3" s="1"/>
  <c r="B312" i="3" l="1"/>
  <c r="C312" i="3"/>
  <c r="E312" i="3" s="1"/>
  <c r="H312" i="3" s="1"/>
  <c r="D312" i="3" s="1"/>
  <c r="F312" i="3" s="1"/>
  <c r="G312" i="3" s="1"/>
  <c r="A313" i="3" s="1"/>
  <c r="B313" i="3" l="1"/>
  <c r="C313" i="3"/>
  <c r="E313" i="3" s="1"/>
  <c r="H313" i="3" l="1"/>
  <c r="D313" i="3" s="1"/>
  <c r="F313" i="3" s="1"/>
  <c r="G313" i="3" s="1"/>
  <c r="A314" i="3" s="1"/>
  <c r="C314" i="3" l="1"/>
  <c r="B314" i="3"/>
  <c r="E314" i="3"/>
  <c r="H314" i="3" s="1"/>
  <c r="D314" i="3" s="1"/>
  <c r="F314" i="3" s="1"/>
  <c r="G314" i="3" s="1"/>
  <c r="A315" i="3" s="1"/>
  <c r="C315" i="3" l="1"/>
  <c r="B315" i="3"/>
  <c r="E315" i="3" l="1"/>
  <c r="H315" i="3" l="1"/>
  <c r="D315" i="3" s="1"/>
  <c r="F315" i="3" s="1"/>
  <c r="G315" i="3" s="1"/>
  <c r="A316" i="3" s="1"/>
  <c r="B316" i="3" l="1"/>
  <c r="C316" i="3"/>
  <c r="E316" i="3" l="1"/>
  <c r="H316" i="3" s="1"/>
  <c r="D316" i="3" s="1"/>
  <c r="F316" i="3" s="1"/>
  <c r="G316" i="3" s="1"/>
  <c r="A317" i="3" s="1"/>
  <c r="C317" i="3" l="1"/>
  <c r="E317" i="3" s="1"/>
  <c r="H317" i="3" s="1"/>
  <c r="D317" i="3" s="1"/>
  <c r="F317" i="3" s="1"/>
  <c r="G317" i="3" s="1"/>
  <c r="A318" i="3" s="1"/>
  <c r="B317" i="3"/>
  <c r="C318" i="3" l="1"/>
  <c r="E318" i="3" s="1"/>
  <c r="H318" i="3" s="1"/>
  <c r="B318" i="3"/>
  <c r="D318" i="3" l="1"/>
  <c r="F318" i="3" s="1"/>
  <c r="G318" i="3" s="1"/>
  <c r="A319" i="3" s="1"/>
  <c r="C319" i="3" l="1"/>
  <c r="B319" i="3"/>
  <c r="E319" i="3"/>
  <c r="H319" i="3" l="1"/>
  <c r="D319" i="3" s="1"/>
  <c r="F319" i="3" s="1"/>
  <c r="G319" i="3" s="1"/>
  <c r="A320" i="3" s="1"/>
  <c r="C320" i="3" l="1"/>
  <c r="B320" i="3"/>
  <c r="E320" i="3"/>
  <c r="H320" i="3" s="1"/>
  <c r="D320" i="3" s="1"/>
  <c r="F320" i="3" s="1"/>
  <c r="G320" i="3" s="1"/>
  <c r="A321" i="3" s="1"/>
  <c r="C321" i="3" s="1"/>
  <c r="B321" i="3" l="1"/>
  <c r="E321" i="3"/>
  <c r="H321" i="3" s="1"/>
  <c r="D321" i="3" l="1"/>
  <c r="F321" i="3" s="1"/>
  <c r="G321" i="3" s="1"/>
  <c r="A322" i="3" s="1"/>
  <c r="C322" i="3" l="1"/>
  <c r="B322" i="3"/>
  <c r="E322" i="3" l="1"/>
  <c r="H322" i="3" l="1"/>
  <c r="D322" i="3" s="1"/>
  <c r="F322" i="3" s="1"/>
  <c r="G322" i="3" s="1"/>
  <c r="A323" i="3" s="1"/>
  <c r="C323" i="3" l="1"/>
  <c r="B323" i="3"/>
  <c r="E323" i="3"/>
  <c r="H323" i="3" l="1"/>
  <c r="D323" i="3" s="1"/>
  <c r="F323" i="3" s="1"/>
  <c r="G323" i="3" s="1"/>
  <c r="A324" i="3" s="1"/>
  <c r="B324" i="3" l="1"/>
  <c r="C324" i="3"/>
  <c r="E324" i="3" s="1"/>
  <c r="H324" i="3" s="1"/>
  <c r="D324" i="3" l="1"/>
  <c r="F324" i="3" s="1"/>
  <c r="G324" i="3" s="1"/>
  <c r="A325" i="3" s="1"/>
  <c r="C325" i="3" l="1"/>
  <c r="E325" i="3" s="1"/>
  <c r="B325" i="3"/>
  <c r="H325" i="3" l="1"/>
  <c r="D325" i="3" s="1"/>
  <c r="F325" i="3" s="1"/>
  <c r="G325" i="3" s="1"/>
  <c r="A326" i="3" s="1"/>
  <c r="C326" i="3" l="1"/>
  <c r="E326" i="3" s="1"/>
  <c r="H326" i="3" s="1"/>
  <c r="D326" i="3" s="1"/>
  <c r="F326" i="3" s="1"/>
  <c r="G326" i="3" s="1"/>
  <c r="A327" i="3" s="1"/>
  <c r="B326" i="3"/>
  <c r="B327" i="3" l="1"/>
  <c r="C327" i="3"/>
  <c r="E327" i="3" s="1"/>
  <c r="H327" i="3" s="1"/>
  <c r="D327" i="3" l="1"/>
  <c r="F327" i="3" s="1"/>
  <c r="G327" i="3" s="1"/>
  <c r="A328" i="3" s="1"/>
  <c r="C328" i="3" l="1"/>
  <c r="B328" i="3"/>
  <c r="E328" i="3" l="1"/>
  <c r="H328" i="3" s="1"/>
  <c r="D328" i="3" l="1"/>
  <c r="F328" i="3" s="1"/>
  <c r="G328" i="3" s="1"/>
  <c r="A329" i="3" s="1"/>
  <c r="C329" i="3" l="1"/>
  <c r="E329" i="3" s="1"/>
  <c r="B329" i="3"/>
  <c r="H329" i="3" l="1"/>
  <c r="D329" i="3" s="1"/>
  <c r="F329" i="3" s="1"/>
  <c r="G329" i="3" s="1"/>
  <c r="A330" i="3" s="1"/>
  <c r="C330" i="3" l="1"/>
  <c r="B330" i="3"/>
  <c r="E330" i="3"/>
  <c r="H330" i="3" s="1"/>
  <c r="D330" i="3" l="1"/>
  <c r="F330" i="3" s="1"/>
  <c r="G330" i="3" s="1"/>
  <c r="A331" i="3" s="1"/>
  <c r="C331" i="3" s="1"/>
  <c r="B331" i="3" l="1"/>
  <c r="E331" i="3"/>
  <c r="H331" i="3" s="1"/>
  <c r="D331" i="3" l="1"/>
  <c r="F331" i="3" s="1"/>
  <c r="G331" i="3" s="1"/>
  <c r="A332" i="3" s="1"/>
  <c r="C332" i="3" l="1"/>
  <c r="B332" i="3"/>
  <c r="E332" i="3"/>
  <c r="H332" i="3" s="1"/>
  <c r="D332" i="3" s="1"/>
  <c r="F332" i="3" s="1"/>
  <c r="G332" i="3" s="1"/>
  <c r="A333" i="3" s="1"/>
  <c r="C333" i="3" l="1"/>
  <c r="B333" i="3"/>
  <c r="E333" i="3" l="1"/>
  <c r="H333" i="3" l="1"/>
  <c r="D333" i="3" s="1"/>
  <c r="F333" i="3" s="1"/>
  <c r="G333" i="3" s="1"/>
  <c r="A334" i="3" s="1"/>
  <c r="C334" i="3" l="1"/>
  <c r="E334" i="3"/>
  <c r="B334" i="3"/>
  <c r="H334" i="3" l="1"/>
  <c r="D334" i="3" s="1"/>
  <c r="F334" i="3" s="1"/>
  <c r="G334" i="3" s="1"/>
  <c r="A335" i="3" s="1"/>
  <c r="C335" i="3" l="1"/>
  <c r="B335" i="3"/>
  <c r="E335" i="3"/>
  <c r="H335" i="3" s="1"/>
  <c r="D335" i="3" s="1"/>
  <c r="F335" i="3" s="1"/>
  <c r="G335" i="3" s="1"/>
  <c r="A336" i="3" s="1"/>
  <c r="C336" i="3" l="1"/>
  <c r="B336" i="3"/>
  <c r="E336" i="3"/>
  <c r="H336" i="3" s="1"/>
  <c r="D336" i="3" l="1"/>
  <c r="F336" i="3" s="1"/>
  <c r="G336" i="3" s="1"/>
  <c r="A337" i="3" s="1"/>
  <c r="C337" i="3" l="1"/>
  <c r="E337" i="3" s="1"/>
  <c r="B337" i="3"/>
  <c r="H337" i="3" l="1"/>
  <c r="D337" i="3" s="1"/>
  <c r="F337" i="3" s="1"/>
  <c r="G337" i="3" s="1"/>
  <c r="A338" i="3" s="1"/>
  <c r="B338" i="3" l="1"/>
  <c r="C338" i="3"/>
  <c r="E338" i="3" s="1"/>
  <c r="H338" i="3" s="1"/>
  <c r="D338" i="3" s="1"/>
  <c r="F338" i="3" s="1"/>
  <c r="G338" i="3" s="1"/>
  <c r="A339" i="3" s="1"/>
  <c r="C339" i="3" l="1"/>
  <c r="B339" i="3"/>
  <c r="E339" i="3"/>
  <c r="H339" i="3" s="1"/>
  <c r="D339" i="3" l="1"/>
  <c r="F339" i="3" s="1"/>
  <c r="G339" i="3" s="1"/>
  <c r="A340" i="3" s="1"/>
  <c r="C340" i="3" l="1"/>
  <c r="B340" i="3"/>
  <c r="E340" i="3" l="1"/>
  <c r="H340" i="3" l="1"/>
  <c r="D340" i="3" s="1"/>
  <c r="F340" i="3" s="1"/>
  <c r="G340" i="3" s="1"/>
  <c r="A341" i="3" s="1"/>
  <c r="C341" i="3" l="1"/>
  <c r="B341" i="3"/>
  <c r="E341" i="3"/>
  <c r="H341" i="3" s="1"/>
  <c r="D341" i="3" s="1"/>
  <c r="F341" i="3" s="1"/>
  <c r="G341" i="3" s="1"/>
  <c r="A342" i="3" s="1"/>
  <c r="B342" i="3" l="1"/>
  <c r="C342" i="3"/>
  <c r="E342" i="3" s="1"/>
  <c r="H342" i="3" l="1"/>
  <c r="D342" i="3" s="1"/>
  <c r="F342" i="3" s="1"/>
  <c r="G342" i="3" s="1"/>
  <c r="A343" i="3" s="1"/>
  <c r="C343" i="3" l="1"/>
  <c r="B343" i="3"/>
  <c r="E343" i="3"/>
  <c r="H343" i="3" l="1"/>
  <c r="D343" i="3" s="1"/>
  <c r="F343" i="3" s="1"/>
  <c r="G343" i="3" s="1"/>
  <c r="A344" i="3" s="1"/>
  <c r="C344" i="3" l="1"/>
  <c r="B344" i="3"/>
  <c r="E344" i="3"/>
  <c r="H344" i="3" s="1"/>
  <c r="D344" i="3" s="1"/>
  <c r="F344" i="3" s="1"/>
  <c r="G344" i="3" s="1"/>
  <c r="A345" i="3" s="1"/>
  <c r="B345" i="3" l="1"/>
  <c r="C345" i="3"/>
  <c r="E345" i="3" l="1"/>
  <c r="H345" i="3" s="1"/>
  <c r="D345" i="3" l="1"/>
  <c r="F345" i="3" s="1"/>
  <c r="G345" i="3" s="1"/>
  <c r="A346" i="3" s="1"/>
  <c r="C346" i="3" l="1"/>
  <c r="B346" i="3"/>
  <c r="E346" i="3" l="1"/>
  <c r="H346" i="3" s="1"/>
  <c r="D346" i="3" s="1"/>
  <c r="F346" i="3" s="1"/>
  <c r="G346" i="3" s="1"/>
  <c r="A347" i="3" s="1"/>
  <c r="C347" i="3" l="1"/>
  <c r="E347" i="3" s="1"/>
  <c r="B347" i="3"/>
  <c r="H347" i="3" l="1"/>
  <c r="D347" i="3" s="1"/>
  <c r="F347" i="3" s="1"/>
  <c r="G347" i="3" s="1"/>
  <c r="A348" i="3" s="1"/>
  <c r="C348" i="3" l="1"/>
  <c r="E348" i="3" s="1"/>
  <c r="B348" i="3"/>
  <c r="H348" i="3" l="1"/>
  <c r="D348" i="3" s="1"/>
  <c r="F348" i="3" s="1"/>
  <c r="G348" i="3" s="1"/>
  <c r="A349" i="3" s="1"/>
  <c r="C349" i="3" l="1"/>
  <c r="B349" i="3"/>
  <c r="E349" i="3" l="1"/>
  <c r="H349" i="3" l="1"/>
  <c r="D349" i="3" s="1"/>
  <c r="F349" i="3" s="1"/>
  <c r="G349" i="3" s="1"/>
  <c r="A350" i="3" s="1"/>
  <c r="C350" i="3" l="1"/>
  <c r="B350" i="3"/>
  <c r="E350" i="3"/>
  <c r="H350" i="3" s="1"/>
  <c r="D350" i="3" s="1"/>
  <c r="F350" i="3" s="1"/>
  <c r="G350" i="3" s="1"/>
  <c r="A351" i="3" s="1"/>
  <c r="C351" i="3" l="1"/>
  <c r="B351" i="3"/>
  <c r="E351" i="3" l="1"/>
  <c r="H351" i="3" l="1"/>
  <c r="D351" i="3" s="1"/>
  <c r="F351" i="3" s="1"/>
  <c r="G351" i="3" s="1"/>
  <c r="A352" i="3" s="1"/>
  <c r="C352" i="3" l="1"/>
  <c r="B352" i="3"/>
  <c r="E352" i="3" l="1"/>
  <c r="H352" i="3" l="1"/>
  <c r="D352" i="3" s="1"/>
  <c r="F352" i="3" s="1"/>
  <c r="G352" i="3" s="1"/>
  <c r="A353" i="3" s="1"/>
  <c r="C353" i="3" l="1"/>
  <c r="B353" i="3"/>
  <c r="E353" i="3"/>
  <c r="H353" i="3" s="1"/>
  <c r="D353" i="3" l="1"/>
  <c r="F353" i="3" s="1"/>
  <c r="G353" i="3" s="1"/>
  <c r="A354" i="3" s="1"/>
  <c r="C354" i="3" s="1"/>
  <c r="E354" i="3" s="1"/>
  <c r="H354" i="3" s="1"/>
  <c r="B354" i="3" l="1"/>
  <c r="D354" i="3"/>
  <c r="F354" i="3" s="1"/>
  <c r="G354" i="3" s="1"/>
  <c r="A355" i="3" s="1"/>
  <c r="C355" i="3" l="1"/>
  <c r="B355" i="3"/>
  <c r="E355" i="3"/>
  <c r="H355" i="3" l="1"/>
  <c r="D355" i="3" s="1"/>
  <c r="F355" i="3" s="1"/>
  <c r="G355" i="3" s="1"/>
  <c r="A356" i="3" s="1"/>
  <c r="C356" i="3" l="1"/>
  <c r="H356" i="3" s="1"/>
  <c r="D356" i="3" s="1"/>
  <c r="F356" i="3" s="1"/>
  <c r="G356" i="3" s="1"/>
  <c r="A357" i="3" s="1"/>
  <c r="B357" i="3" s="1"/>
  <c r="E356" i="3"/>
  <c r="B356" i="3"/>
  <c r="C357" i="3" l="1"/>
  <c r="E357" i="3" s="1"/>
  <c r="H357" i="3" l="1"/>
  <c r="D357" i="3" s="1"/>
  <c r="F357" i="3" s="1"/>
  <c r="G357" i="3" s="1"/>
  <c r="A358" i="3" s="1"/>
  <c r="C358" i="3" l="1"/>
  <c r="B358" i="3"/>
  <c r="E358" i="3" l="1"/>
  <c r="H358" i="3" l="1"/>
  <c r="D358" i="3" s="1"/>
  <c r="F358" i="3" s="1"/>
  <c r="G358" i="3" s="1"/>
  <c r="A359" i="3" s="1"/>
  <c r="C359" i="3" l="1"/>
  <c r="B359" i="3"/>
  <c r="E359" i="3"/>
  <c r="H359" i="3" s="1"/>
  <c r="D359" i="3" s="1"/>
  <c r="F359" i="3" s="1"/>
  <c r="G359" i="3" s="1"/>
  <c r="A360" i="3" s="1"/>
  <c r="C360" i="3" l="1"/>
  <c r="E360" i="3" s="1"/>
  <c r="B360" i="3"/>
  <c r="H360" i="3" l="1"/>
  <c r="D360" i="3" s="1"/>
  <c r="F360" i="3" s="1"/>
  <c r="G360" i="3" s="1"/>
  <c r="A361" i="3" s="1"/>
  <c r="C361" i="3" l="1"/>
  <c r="B361" i="3"/>
  <c r="E361" i="3"/>
  <c r="H361" i="3" l="1"/>
  <c r="D361" i="3" s="1"/>
  <c r="F361" i="3" s="1"/>
  <c r="G361" i="3" s="1"/>
  <c r="A362" i="3" s="1"/>
  <c r="C362" i="3" l="1"/>
  <c r="B362" i="3"/>
  <c r="E362" i="3"/>
  <c r="H362" i="3" s="1"/>
  <c r="D362" i="3" s="1"/>
  <c r="F362" i="3" s="1"/>
  <c r="G362" i="3" s="1"/>
  <c r="A363" i="3" s="1"/>
  <c r="C363" i="3" l="1"/>
  <c r="E363" i="3"/>
  <c r="B363" i="3"/>
  <c r="H363" i="3" l="1"/>
  <c r="D363" i="3" s="1"/>
  <c r="F363" i="3" s="1"/>
  <c r="G363" i="3" s="1"/>
  <c r="A364" i="3" s="1"/>
  <c r="B364" i="3" l="1"/>
  <c r="C364" i="3"/>
  <c r="E364" i="3" l="1"/>
  <c r="H364" i="3" s="1"/>
  <c r="D364" i="3" l="1"/>
  <c r="F364" i="3" s="1"/>
  <c r="G364" i="3" s="1"/>
  <c r="A365" i="3" s="1"/>
  <c r="C365" i="3" l="1"/>
  <c r="B365" i="3"/>
  <c r="E365" i="3"/>
  <c r="H365" i="3" l="1"/>
  <c r="D365" i="3" s="1"/>
  <c r="F365" i="3" s="1"/>
  <c r="G365" i="3" s="1"/>
  <c r="A366" i="3" s="1"/>
  <c r="C366" i="3" l="1"/>
  <c r="E366" i="3" s="1"/>
  <c r="H366" i="3" s="1"/>
  <c r="D366" i="3" s="1"/>
  <c r="F366" i="3" s="1"/>
  <c r="G366" i="3" s="1"/>
  <c r="A367" i="3" s="1"/>
  <c r="H367" i="3" s="1"/>
  <c r="B366" i="3"/>
  <c r="F367" i="3" l="1"/>
  <c r="G367" i="3"/>
  <c r="A368" i="3" s="1"/>
  <c r="C368" i="3" s="1"/>
  <c r="B367" i="3"/>
  <c r="C367" i="3"/>
  <c r="D367" i="3"/>
  <c r="E367" i="3"/>
  <c r="D368" i="3" l="1"/>
  <c r="E368" i="3"/>
  <c r="F368" i="3"/>
  <c r="G368" i="3"/>
  <c r="A369" i="3" s="1"/>
  <c r="G369" i="3" s="1"/>
  <c r="A370" i="3" s="1"/>
  <c r="H368" i="3"/>
  <c r="B368" i="3"/>
  <c r="C369" i="3" l="1"/>
  <c r="D369" i="3"/>
  <c r="H369" i="3"/>
  <c r="B369" i="3"/>
  <c r="E369" i="3"/>
  <c r="F369" i="3"/>
  <c r="B370" i="3"/>
  <c r="G370" i="3"/>
  <c r="A371" i="3" s="1"/>
  <c r="F370" i="3"/>
  <c r="E370" i="3"/>
  <c r="D370" i="3"/>
  <c r="C370" i="3"/>
  <c r="H370" i="3"/>
  <c r="D371" i="3" l="1"/>
  <c r="C371" i="3"/>
  <c r="B371" i="3"/>
  <c r="F371" i="3"/>
  <c r="G371" i="3"/>
  <c r="A372" i="3" s="1"/>
  <c r="E371" i="3"/>
  <c r="H371" i="3"/>
  <c r="H372" i="3" l="1"/>
  <c r="E372" i="3"/>
  <c r="D372" i="3"/>
  <c r="C372" i="3"/>
  <c r="B372" i="3"/>
  <c r="G372" i="3"/>
  <c r="A373" i="3" s="1"/>
  <c r="F372" i="3"/>
  <c r="B373" i="3" l="1"/>
  <c r="E373" i="3"/>
  <c r="D373" i="3"/>
  <c r="C373" i="3"/>
  <c r="H373" i="3"/>
  <c r="G373" i="3"/>
  <c r="A374" i="3" s="1"/>
  <c r="F373" i="3"/>
  <c r="E374" i="3" l="1"/>
  <c r="D374" i="3"/>
  <c r="C374" i="3"/>
  <c r="B374" i="3"/>
  <c r="H374" i="3"/>
  <c r="G374" i="3"/>
  <c r="A375" i="3" s="1"/>
  <c r="F374" i="3"/>
  <c r="H375" i="3" l="1"/>
  <c r="G375" i="3"/>
  <c r="A376" i="3" s="1"/>
  <c r="C375" i="3"/>
  <c r="F375" i="3"/>
  <c r="E375" i="3"/>
  <c r="D375" i="3"/>
  <c r="B375" i="3"/>
  <c r="B376" i="3" l="1"/>
  <c r="H376" i="3"/>
  <c r="F376" i="3"/>
  <c r="C376" i="3"/>
  <c r="D376" i="3"/>
  <c r="G376" i="3"/>
  <c r="A377" i="3" s="1"/>
  <c r="E376" i="3"/>
  <c r="F377" i="3" l="1"/>
  <c r="E377" i="3"/>
  <c r="D377" i="3"/>
  <c r="C377" i="3"/>
  <c r="B377" i="3"/>
  <c r="G377" i="3"/>
  <c r="A378" i="3" s="1"/>
  <c r="H377" i="3"/>
  <c r="H378" i="3" l="1"/>
  <c r="G378" i="3"/>
  <c r="A379" i="3" s="1"/>
  <c r="E378" i="3"/>
  <c r="D378" i="3"/>
  <c r="B378" i="3"/>
  <c r="C378" i="3"/>
  <c r="F378" i="3"/>
  <c r="B379" i="3" l="1"/>
  <c r="H379" i="3"/>
  <c r="G379" i="3"/>
  <c r="A380" i="3" s="1"/>
  <c r="F379" i="3"/>
  <c r="E379" i="3"/>
  <c r="D379" i="3"/>
  <c r="C379" i="3"/>
  <c r="G380" i="3" l="1"/>
  <c r="A381" i="3" s="1"/>
  <c r="F380" i="3"/>
  <c r="E380" i="3"/>
  <c r="D380" i="3"/>
  <c r="C380" i="3"/>
  <c r="H380" i="3"/>
  <c r="B380" i="3"/>
  <c r="C381" i="3" l="1"/>
  <c r="B381" i="3"/>
  <c r="D381" i="3"/>
  <c r="H381" i="3"/>
  <c r="G381" i="3"/>
  <c r="A382" i="3" s="1"/>
  <c r="F381" i="3"/>
  <c r="E381" i="3"/>
  <c r="B382" i="3" l="1"/>
  <c r="F382" i="3"/>
  <c r="G382" i="3"/>
  <c r="A383" i="3" s="1"/>
  <c r="E382" i="3"/>
  <c r="D382" i="3"/>
  <c r="C382" i="3"/>
  <c r="H382" i="3"/>
  <c r="H383" i="3" l="1"/>
  <c r="G383" i="3"/>
  <c r="A384" i="3" s="1"/>
  <c r="F383" i="3"/>
  <c r="E383" i="3"/>
  <c r="D383" i="3"/>
  <c r="C383" i="3"/>
  <c r="B383" i="3"/>
  <c r="H384" i="3" l="1"/>
  <c r="G384" i="3"/>
  <c r="A385" i="3" s="1"/>
  <c r="F384" i="3"/>
  <c r="D384" i="3"/>
  <c r="E384" i="3"/>
  <c r="C384" i="3"/>
  <c r="B384" i="3"/>
  <c r="B385" i="3" l="1"/>
  <c r="G385" i="3"/>
  <c r="A386" i="3" s="1"/>
  <c r="D385" i="3"/>
  <c r="F385" i="3"/>
  <c r="E385" i="3"/>
  <c r="C385" i="3"/>
  <c r="H385" i="3"/>
  <c r="H386" i="3" l="1"/>
  <c r="G386" i="3"/>
  <c r="A387" i="3" s="1"/>
  <c r="F386" i="3"/>
  <c r="C386" i="3"/>
  <c r="B386" i="3"/>
  <c r="E386" i="3"/>
  <c r="D386" i="3"/>
  <c r="F387" i="3" l="1"/>
  <c r="E387" i="3"/>
  <c r="D387" i="3"/>
  <c r="C387" i="3"/>
  <c r="H387" i="3"/>
  <c r="G387" i="3"/>
  <c r="A388" i="3" s="1"/>
  <c r="B387" i="3"/>
  <c r="B388" i="3" l="1"/>
  <c r="F388" i="3"/>
  <c r="E388" i="3"/>
  <c r="D388" i="3"/>
  <c r="H388" i="3"/>
  <c r="G388" i="3"/>
  <c r="A389" i="3" s="1"/>
  <c r="C388" i="3"/>
  <c r="H389" i="3" l="1"/>
  <c r="G389" i="3"/>
  <c r="A390" i="3" s="1"/>
  <c r="C389" i="3"/>
  <c r="B389" i="3"/>
  <c r="E389" i="3"/>
  <c r="F389" i="3"/>
  <c r="D389" i="3"/>
  <c r="B390" i="3" l="1"/>
  <c r="H390" i="3"/>
  <c r="D390" i="3"/>
  <c r="C390" i="3"/>
  <c r="G390" i="3"/>
  <c r="A391" i="3" s="1"/>
  <c r="F390" i="3"/>
  <c r="E390" i="3"/>
  <c r="B391" i="3" l="1"/>
  <c r="G391" i="3"/>
  <c r="A392" i="3" s="1"/>
  <c r="E391" i="3"/>
  <c r="D391" i="3"/>
  <c r="C391" i="3"/>
  <c r="H391" i="3"/>
  <c r="F391" i="3"/>
  <c r="H392" i="3" l="1"/>
  <c r="C392" i="3"/>
  <c r="B392" i="3"/>
  <c r="F392" i="3"/>
  <c r="E392" i="3"/>
  <c r="D392" i="3"/>
  <c r="G392" i="3"/>
  <c r="A393" i="3" s="1"/>
  <c r="C393" i="3" l="1"/>
  <c r="B393" i="3"/>
  <c r="H393" i="3"/>
  <c r="F393" i="3"/>
  <c r="G393" i="3"/>
  <c r="A394" i="3" s="1"/>
  <c r="D393" i="3"/>
  <c r="E393" i="3"/>
  <c r="B394" i="3" l="1"/>
  <c r="H394" i="3"/>
  <c r="G394" i="3"/>
  <c r="A395" i="3" s="1"/>
  <c r="F394" i="3"/>
  <c r="E394" i="3"/>
  <c r="D394" i="3"/>
  <c r="C394" i="3"/>
  <c r="H395" i="3" l="1"/>
  <c r="G395" i="3"/>
  <c r="A396" i="3" s="1"/>
  <c r="F395" i="3"/>
  <c r="D395" i="3"/>
  <c r="B395" i="3"/>
  <c r="E395" i="3"/>
  <c r="C395" i="3"/>
  <c r="D396" i="3" l="1"/>
  <c r="C396" i="3"/>
  <c r="B396" i="3"/>
  <c r="G396" i="3"/>
  <c r="A397" i="3" s="1"/>
  <c r="F396" i="3"/>
  <c r="E396" i="3"/>
  <c r="H396" i="3"/>
  <c r="B397" i="3" l="1"/>
  <c r="G397" i="3"/>
  <c r="A398" i="3" s="1"/>
  <c r="F397" i="3"/>
  <c r="H397" i="3"/>
  <c r="E397" i="3"/>
  <c r="D397" i="3"/>
  <c r="C397" i="3"/>
  <c r="G398" i="3" l="1"/>
  <c r="A399" i="3" s="1"/>
  <c r="F398" i="3"/>
  <c r="E398" i="3"/>
  <c r="D398" i="3"/>
  <c r="C398" i="3"/>
  <c r="B398" i="3"/>
  <c r="H398" i="3"/>
  <c r="E399" i="3" l="1"/>
  <c r="D399" i="3"/>
  <c r="C399" i="3"/>
  <c r="B399" i="3"/>
  <c r="H399" i="3"/>
  <c r="G399" i="3"/>
  <c r="A400" i="3" s="1"/>
  <c r="F399" i="3"/>
  <c r="B400" i="3" l="1"/>
  <c r="H400" i="3"/>
  <c r="G400" i="3"/>
  <c r="A401" i="3" s="1"/>
  <c r="C400" i="3"/>
  <c r="D400" i="3"/>
  <c r="E400" i="3"/>
  <c r="F400" i="3"/>
  <c r="E401" i="3" l="1"/>
  <c r="D401" i="3"/>
  <c r="H401" i="3"/>
  <c r="G401" i="3"/>
  <c r="A402" i="3" s="1"/>
  <c r="F401" i="3"/>
  <c r="C401" i="3"/>
  <c r="B401" i="3"/>
  <c r="H402" i="3" l="1"/>
  <c r="F402" i="3"/>
  <c r="E402" i="3"/>
  <c r="D402" i="3"/>
  <c r="C402" i="3"/>
  <c r="G402" i="3"/>
  <c r="A403" i="3" s="1"/>
  <c r="B402" i="3"/>
  <c r="B403" i="3" l="1"/>
  <c r="H403" i="3"/>
  <c r="G403" i="3"/>
  <c r="A404" i="3" s="1"/>
  <c r="E403" i="3"/>
  <c r="C403" i="3"/>
  <c r="F403" i="3"/>
  <c r="D403" i="3"/>
  <c r="B404" i="3" l="1"/>
  <c r="C404" i="3"/>
  <c r="D404" i="3"/>
  <c r="H404" i="3"/>
  <c r="G404" i="3"/>
  <c r="A405" i="3" s="1"/>
  <c r="F404" i="3"/>
  <c r="E404" i="3"/>
  <c r="H405" i="3" l="1"/>
  <c r="G405" i="3"/>
  <c r="A406" i="3" s="1"/>
  <c r="F405" i="3"/>
  <c r="E405" i="3"/>
  <c r="D405" i="3"/>
  <c r="C405" i="3"/>
  <c r="B405" i="3"/>
  <c r="B406" i="3" l="1"/>
  <c r="H406" i="3"/>
  <c r="G406" i="3"/>
  <c r="A407" i="3" s="1"/>
  <c r="F406" i="3"/>
  <c r="E406" i="3"/>
  <c r="D406" i="3"/>
  <c r="C406" i="3"/>
  <c r="D407" i="3" l="1"/>
  <c r="H407" i="3"/>
  <c r="G407" i="3"/>
  <c r="A408" i="3" s="1"/>
  <c r="E407" i="3"/>
  <c r="B407" i="3"/>
  <c r="C407" i="3"/>
  <c r="F407" i="3"/>
  <c r="H408" i="3" l="1"/>
  <c r="G408" i="3"/>
  <c r="A409" i="3" s="1"/>
  <c r="D408" i="3"/>
  <c r="F408" i="3"/>
  <c r="E408" i="3"/>
  <c r="C408" i="3"/>
  <c r="B408" i="3"/>
  <c r="B409" i="3" l="1"/>
  <c r="D409" i="3"/>
  <c r="C409" i="3"/>
  <c r="H409" i="3"/>
  <c r="G409" i="3"/>
  <c r="A410" i="3" s="1"/>
  <c r="F409" i="3"/>
  <c r="E409" i="3"/>
  <c r="F410" i="3" l="1"/>
  <c r="H410" i="3"/>
  <c r="G410" i="3"/>
  <c r="A411" i="3" s="1"/>
  <c r="E410" i="3"/>
  <c r="D410" i="3"/>
  <c r="C410" i="3"/>
  <c r="B410" i="3"/>
  <c r="H411" i="3" l="1"/>
  <c r="G411" i="3"/>
  <c r="A412" i="3" s="1"/>
  <c r="F411" i="3"/>
  <c r="D411" i="3"/>
  <c r="B411" i="3"/>
  <c r="C411" i="3"/>
  <c r="E411" i="3"/>
  <c r="B412" i="3" l="1"/>
  <c r="F412" i="3"/>
  <c r="E412" i="3"/>
  <c r="D412" i="3"/>
  <c r="C412" i="3"/>
  <c r="G412" i="3"/>
  <c r="A413" i="3" s="1"/>
  <c r="H412" i="3"/>
  <c r="H413" i="3" l="1"/>
  <c r="G413" i="3"/>
  <c r="A414" i="3" s="1"/>
  <c r="E413" i="3"/>
  <c r="F413" i="3"/>
  <c r="D413" i="3"/>
  <c r="C413" i="3"/>
  <c r="B413" i="3"/>
  <c r="H414" i="3" l="1"/>
  <c r="G414" i="3"/>
  <c r="A415" i="3" s="1"/>
  <c r="F414" i="3"/>
  <c r="E414" i="3"/>
  <c r="C414" i="3"/>
  <c r="B414" i="3"/>
  <c r="D414" i="3"/>
  <c r="B415" i="3" l="1"/>
  <c r="H415" i="3"/>
  <c r="G415" i="3"/>
  <c r="A416" i="3" s="1"/>
  <c r="F415" i="3"/>
  <c r="E415" i="3"/>
  <c r="C415" i="3"/>
  <c r="D415" i="3"/>
  <c r="E416" i="3" l="1"/>
  <c r="D416" i="3"/>
  <c r="C416" i="3"/>
  <c r="F416" i="3"/>
  <c r="H416" i="3"/>
  <c r="G416" i="3"/>
  <c r="A417" i="3" s="1"/>
  <c r="B416" i="3"/>
  <c r="H417" i="3" l="1"/>
  <c r="B417" i="3"/>
  <c r="G417" i="3"/>
  <c r="A418" i="3" s="1"/>
  <c r="F417" i="3"/>
  <c r="E417" i="3"/>
  <c r="D417" i="3"/>
  <c r="C417" i="3"/>
  <c r="B418" i="3" l="1"/>
  <c r="H418" i="3"/>
  <c r="G418" i="3"/>
  <c r="A419" i="3" s="1"/>
  <c r="F418" i="3"/>
  <c r="D418" i="3"/>
  <c r="C418" i="3"/>
  <c r="E418" i="3"/>
  <c r="B419" i="3" l="1"/>
  <c r="H419" i="3"/>
  <c r="F419" i="3"/>
  <c r="E419" i="3"/>
  <c r="D419" i="3"/>
  <c r="C419" i="3"/>
  <c r="G419" i="3"/>
  <c r="A420" i="3" s="1"/>
  <c r="H420" i="3" l="1"/>
  <c r="D420" i="3"/>
  <c r="E420" i="3"/>
  <c r="C420" i="3"/>
  <c r="B420" i="3"/>
  <c r="G420" i="3"/>
  <c r="A421" i="3" s="1"/>
  <c r="F420" i="3"/>
  <c r="B421" i="3" l="1"/>
  <c r="H421" i="3"/>
  <c r="G421" i="3"/>
  <c r="A422" i="3" s="1"/>
  <c r="F421" i="3"/>
  <c r="E421" i="3"/>
  <c r="D421" i="3"/>
  <c r="C421" i="3"/>
  <c r="D422" i="3" l="1"/>
  <c r="C422" i="3"/>
  <c r="B422" i="3"/>
  <c r="E422" i="3"/>
  <c r="H422" i="3"/>
  <c r="G422" i="3"/>
  <c r="A423" i="3" s="1"/>
  <c r="F422" i="3"/>
  <c r="H423" i="3" l="1"/>
  <c r="F423" i="3"/>
  <c r="E423" i="3"/>
  <c r="D423" i="3"/>
  <c r="C423" i="3"/>
  <c r="B423" i="3"/>
  <c r="G423" i="3"/>
  <c r="A424" i="3" s="1"/>
  <c r="B424" i="3" l="1"/>
  <c r="F424" i="3"/>
  <c r="E424" i="3"/>
  <c r="D424" i="3"/>
  <c r="H424" i="3"/>
  <c r="G424" i="3"/>
  <c r="A425" i="3" s="1"/>
  <c r="C424" i="3"/>
  <c r="F425" i="3" l="1"/>
  <c r="E425" i="3"/>
  <c r="D425" i="3"/>
  <c r="C425" i="3"/>
  <c r="H425" i="3"/>
  <c r="G425" i="3"/>
  <c r="A426" i="3" s="1"/>
  <c r="B425" i="3"/>
  <c r="H426" i="3" l="1"/>
  <c r="D426" i="3"/>
  <c r="C426" i="3"/>
  <c r="B426" i="3"/>
  <c r="G426" i="3"/>
  <c r="A427" i="3" s="1"/>
  <c r="F426" i="3"/>
  <c r="E426" i="3"/>
  <c r="B427" i="3" l="1"/>
  <c r="H427" i="3"/>
  <c r="G427" i="3"/>
  <c r="A428" i="3" s="1"/>
  <c r="F427" i="3"/>
  <c r="E427" i="3"/>
  <c r="D427" i="3"/>
  <c r="C427" i="3"/>
  <c r="H428" i="3" l="1"/>
  <c r="G428" i="3"/>
  <c r="A429" i="3" s="1"/>
  <c r="F428" i="3"/>
  <c r="E428" i="3"/>
  <c r="D428" i="3"/>
  <c r="C428" i="3"/>
  <c r="B428" i="3"/>
  <c r="H429" i="3" l="1"/>
  <c r="G429" i="3"/>
  <c r="A430" i="3" s="1"/>
  <c r="E429" i="3"/>
  <c r="F429" i="3"/>
  <c r="D429" i="3"/>
  <c r="C429" i="3"/>
  <c r="B429" i="3"/>
  <c r="B430" i="3" l="1"/>
  <c r="D430" i="3"/>
  <c r="F430" i="3"/>
  <c r="E430" i="3"/>
  <c r="C430" i="3"/>
  <c r="G430" i="3"/>
  <c r="A431" i="3" s="1"/>
  <c r="H430" i="3"/>
  <c r="H431" i="3" l="1"/>
  <c r="G431" i="3"/>
  <c r="A432" i="3" s="1"/>
  <c r="F431" i="3"/>
  <c r="E431" i="3"/>
  <c r="D431" i="3"/>
  <c r="C431" i="3"/>
  <c r="B431" i="3"/>
  <c r="H432" i="3" l="1"/>
  <c r="B432" i="3"/>
  <c r="G432" i="3"/>
  <c r="A433" i="3" s="1"/>
  <c r="F432" i="3"/>
  <c r="D432" i="3"/>
  <c r="C432" i="3"/>
  <c r="E432" i="3"/>
  <c r="B433" i="3" l="1"/>
  <c r="F433" i="3"/>
  <c r="H433" i="3"/>
  <c r="G433" i="3"/>
  <c r="A434" i="3" s="1"/>
  <c r="E433" i="3"/>
  <c r="D433" i="3"/>
  <c r="C433" i="3"/>
  <c r="E434" i="3" l="1"/>
  <c r="D434" i="3"/>
  <c r="C434" i="3"/>
  <c r="B434" i="3"/>
  <c r="H434" i="3"/>
  <c r="G434" i="3"/>
  <c r="A435" i="3" s="1"/>
  <c r="F434" i="3"/>
  <c r="H435" i="3" l="1"/>
  <c r="D435" i="3"/>
  <c r="C435" i="3"/>
  <c r="B435" i="3"/>
  <c r="G435" i="3"/>
  <c r="A436" i="3" s="1"/>
  <c r="F435" i="3"/>
  <c r="E435" i="3"/>
  <c r="B436" i="3" l="1"/>
  <c r="H436" i="3"/>
  <c r="F436" i="3"/>
  <c r="E436" i="3"/>
  <c r="D436" i="3"/>
  <c r="C436" i="3"/>
  <c r="G436" i="3"/>
  <c r="A437" i="3" s="1"/>
  <c r="C437" i="3" l="1"/>
  <c r="B437" i="3"/>
  <c r="G437" i="3"/>
  <c r="A438" i="3" s="1"/>
  <c r="H437" i="3"/>
  <c r="F437" i="3"/>
  <c r="E437" i="3"/>
  <c r="D437" i="3"/>
  <c r="H438" i="3" l="1"/>
  <c r="G438" i="3"/>
  <c r="A439" i="3" s="1"/>
  <c r="F438" i="3"/>
  <c r="E438" i="3"/>
  <c r="D438" i="3"/>
  <c r="B438" i="3"/>
  <c r="C438" i="3"/>
  <c r="B439" i="3" l="1"/>
  <c r="H439" i="3"/>
  <c r="D439" i="3"/>
  <c r="C439" i="3"/>
  <c r="G439" i="3"/>
  <c r="A440" i="3" s="1"/>
  <c r="E439" i="3"/>
  <c r="F439" i="3"/>
  <c r="D440" i="3" l="1"/>
  <c r="G440" i="3"/>
  <c r="A441" i="3" s="1"/>
  <c r="F440" i="3"/>
  <c r="E440" i="3"/>
  <c r="C440" i="3"/>
  <c r="B440" i="3"/>
  <c r="H440" i="3"/>
  <c r="H441" i="3" l="1"/>
  <c r="D441" i="3"/>
  <c r="C441" i="3"/>
  <c r="B441" i="3"/>
  <c r="G441" i="3"/>
  <c r="A442" i="3" s="1"/>
  <c r="F441" i="3"/>
  <c r="E441" i="3"/>
  <c r="B442" i="3" l="1"/>
  <c r="F442" i="3"/>
  <c r="E442" i="3"/>
  <c r="D442" i="3"/>
  <c r="C442" i="3"/>
  <c r="H442" i="3"/>
  <c r="G442" i="3"/>
  <c r="A443" i="3" s="1"/>
  <c r="H443" i="3" l="1"/>
  <c r="E443" i="3"/>
  <c r="D443" i="3"/>
  <c r="C443" i="3"/>
  <c r="B443" i="3"/>
  <c r="G443" i="3"/>
  <c r="A444" i="3" s="1"/>
  <c r="F443" i="3"/>
  <c r="H444" i="3" l="1"/>
  <c r="D444" i="3"/>
  <c r="G444" i="3"/>
  <c r="A445" i="3" s="1"/>
  <c r="F444" i="3"/>
  <c r="E444" i="3"/>
  <c r="C444" i="3"/>
  <c r="B444" i="3"/>
  <c r="B445" i="3" l="1"/>
  <c r="H445" i="3"/>
  <c r="G445" i="3"/>
  <c r="A446" i="3" s="1"/>
  <c r="F445" i="3"/>
  <c r="D445" i="3"/>
  <c r="C445" i="3"/>
  <c r="E445" i="3"/>
  <c r="B446" i="3" l="1"/>
  <c r="D446" i="3"/>
  <c r="C446" i="3"/>
  <c r="H446" i="3"/>
  <c r="G446" i="3"/>
  <c r="A447" i="3" s="1"/>
  <c r="F446" i="3"/>
  <c r="E446" i="3"/>
  <c r="H447" i="3" l="1"/>
  <c r="D447" i="3"/>
  <c r="E447" i="3"/>
  <c r="G447" i="3"/>
  <c r="A448" i="3" s="1"/>
  <c r="C447" i="3"/>
  <c r="B447" i="3"/>
  <c r="F447" i="3"/>
  <c r="B448" i="3" l="1"/>
  <c r="H448" i="3"/>
  <c r="G448" i="3"/>
  <c r="A449" i="3" s="1"/>
  <c r="C448" i="3"/>
  <c r="F448" i="3"/>
  <c r="D448" i="3"/>
  <c r="E448" i="3"/>
  <c r="F449" i="3" l="1"/>
  <c r="E449" i="3"/>
  <c r="D449" i="3"/>
  <c r="C449" i="3"/>
  <c r="H449" i="3"/>
  <c r="G449" i="3"/>
  <c r="A450" i="3" s="1"/>
  <c r="B449" i="3"/>
  <c r="H450" i="3" l="1"/>
  <c r="D450" i="3"/>
  <c r="F450" i="3"/>
  <c r="E450" i="3"/>
  <c r="C450" i="3"/>
  <c r="G450" i="3"/>
  <c r="A451" i="3" s="1"/>
  <c r="B450" i="3"/>
  <c r="B451" i="3" l="1"/>
  <c r="D451" i="3"/>
  <c r="H451" i="3"/>
  <c r="G451" i="3"/>
  <c r="A452" i="3" s="1"/>
  <c r="F451" i="3"/>
  <c r="E451" i="3"/>
  <c r="C451" i="3"/>
  <c r="H452" i="3" l="1"/>
  <c r="G452" i="3"/>
  <c r="A453" i="3" s="1"/>
  <c r="D452" i="3"/>
  <c r="C452" i="3"/>
  <c r="B452" i="3"/>
  <c r="E452" i="3"/>
  <c r="F452" i="3"/>
  <c r="H453" i="3" l="1"/>
  <c r="D453" i="3"/>
  <c r="B453" i="3"/>
  <c r="G453" i="3"/>
  <c r="A454" i="3" s="1"/>
  <c r="F453" i="3"/>
  <c r="E453" i="3"/>
  <c r="C453" i="3"/>
  <c r="B454" i="3" l="1"/>
  <c r="H454" i="3"/>
  <c r="F454" i="3"/>
  <c r="E454" i="3"/>
  <c r="D454" i="3"/>
  <c r="C454" i="3"/>
  <c r="G454" i="3"/>
  <c r="A455" i="3" s="1"/>
  <c r="C455" i="3" l="1"/>
  <c r="B455" i="3"/>
  <c r="G455" i="3"/>
  <c r="A456" i="3" s="1"/>
  <c r="H455" i="3"/>
  <c r="E455" i="3"/>
  <c r="F455" i="3"/>
  <c r="D455" i="3"/>
  <c r="H456" i="3" l="1"/>
  <c r="D456" i="3"/>
  <c r="G456" i="3"/>
  <c r="A457" i="3" s="1"/>
  <c r="F456" i="3"/>
  <c r="E456" i="3"/>
  <c r="C456" i="3"/>
  <c r="B456" i="3"/>
  <c r="B457" i="3" l="1"/>
  <c r="F457" i="3"/>
  <c r="E457" i="3"/>
  <c r="C457" i="3"/>
  <c r="H457" i="3"/>
  <c r="G457" i="3"/>
  <c r="A458" i="3" s="1"/>
  <c r="D457" i="3"/>
  <c r="D458" i="3" l="1"/>
  <c r="H458" i="3"/>
  <c r="G458" i="3"/>
  <c r="A459" i="3" s="1"/>
  <c r="F458" i="3"/>
  <c r="E458" i="3"/>
  <c r="C458" i="3"/>
  <c r="B458" i="3"/>
  <c r="H459" i="3" l="1"/>
  <c r="D459" i="3"/>
  <c r="G459" i="3"/>
  <c r="A460" i="3" s="1"/>
  <c r="F459" i="3"/>
  <c r="E459" i="3"/>
  <c r="C459" i="3"/>
  <c r="B459" i="3"/>
  <c r="B460" i="3" l="1"/>
  <c r="F460" i="3"/>
  <c r="E460" i="3"/>
  <c r="D460" i="3"/>
  <c r="C460" i="3"/>
  <c r="H460" i="3"/>
  <c r="G460" i="3"/>
  <c r="A461" i="3" s="1"/>
  <c r="H461" i="3" l="1"/>
  <c r="G461" i="3"/>
  <c r="A462" i="3" s="1"/>
  <c r="F461" i="3"/>
  <c r="C461" i="3"/>
  <c r="E461" i="3"/>
  <c r="D461" i="3"/>
  <c r="B461" i="3"/>
  <c r="H462" i="3" l="1"/>
  <c r="D462" i="3"/>
  <c r="G462" i="3"/>
  <c r="A463" i="3" s="1"/>
  <c r="F462" i="3"/>
  <c r="B462" i="3"/>
  <c r="C462" i="3"/>
  <c r="E462" i="3"/>
  <c r="B463" i="3" l="1"/>
  <c r="H463" i="3"/>
  <c r="G463" i="3"/>
  <c r="A464" i="3" s="1"/>
  <c r="F463" i="3"/>
  <c r="E463" i="3"/>
  <c r="D463" i="3"/>
  <c r="C463" i="3"/>
  <c r="B464" i="3" l="1"/>
  <c r="H464" i="3"/>
  <c r="F464" i="3"/>
  <c r="E464" i="3"/>
  <c r="D464" i="3"/>
  <c r="C464" i="3"/>
  <c r="G464" i="3"/>
  <c r="A465" i="3" s="1"/>
  <c r="H465" i="3" l="1"/>
  <c r="D465" i="3"/>
  <c r="E465" i="3"/>
  <c r="B465" i="3"/>
  <c r="G465" i="3"/>
  <c r="A466" i="3" s="1"/>
  <c r="F465" i="3"/>
  <c r="C465" i="3"/>
  <c r="B466" i="3" l="1"/>
  <c r="F466" i="3"/>
  <c r="G466" i="3"/>
  <c r="A467" i="3" s="1"/>
  <c r="E466" i="3"/>
  <c r="D466" i="3"/>
  <c r="C466" i="3"/>
  <c r="H466" i="3"/>
  <c r="F467" i="3" l="1"/>
  <c r="E467" i="3"/>
  <c r="D467" i="3"/>
  <c r="C467" i="3"/>
  <c r="B467" i="3"/>
  <c r="H467" i="3"/>
  <c r="G467" i="3"/>
  <c r="A468" i="3" s="1"/>
  <c r="H468" i="3" l="1"/>
  <c r="D468" i="3"/>
  <c r="G468" i="3"/>
  <c r="A469" i="3" s="1"/>
  <c r="F468" i="3"/>
  <c r="E468" i="3"/>
  <c r="C468" i="3"/>
  <c r="B468" i="3"/>
  <c r="B469" i="3" l="1"/>
  <c r="D469" i="3"/>
  <c r="G469" i="3"/>
  <c r="A470" i="3" s="1"/>
  <c r="F469" i="3"/>
  <c r="E469" i="3"/>
  <c r="C469" i="3"/>
  <c r="H469" i="3"/>
  <c r="H470" i="3" l="1"/>
  <c r="G470" i="3"/>
  <c r="A471" i="3" s="1"/>
  <c r="F470" i="3"/>
  <c r="E470" i="3"/>
  <c r="B470" i="3"/>
  <c r="D470" i="3"/>
  <c r="C470" i="3"/>
  <c r="H471" i="3" l="1"/>
  <c r="D471" i="3"/>
  <c r="B471" i="3"/>
  <c r="G471" i="3"/>
  <c r="A472" i="3" s="1"/>
  <c r="F471" i="3"/>
  <c r="E471" i="3"/>
  <c r="C471" i="3"/>
  <c r="B472" i="3" l="1"/>
  <c r="H472" i="3"/>
  <c r="G472" i="3"/>
  <c r="A473" i="3" s="1"/>
  <c r="F472" i="3"/>
  <c r="E472" i="3"/>
  <c r="D472" i="3"/>
  <c r="C472" i="3"/>
  <c r="F473" i="3" l="1"/>
  <c r="H473" i="3"/>
  <c r="G473" i="3"/>
  <c r="A474" i="3" s="1"/>
  <c r="E473" i="3"/>
  <c r="C473" i="3"/>
  <c r="B473" i="3"/>
  <c r="D473" i="3"/>
  <c r="H474" i="3" l="1"/>
  <c r="D474" i="3"/>
  <c r="G474" i="3"/>
  <c r="A475" i="3" s="1"/>
  <c r="F474" i="3"/>
  <c r="E474" i="3"/>
  <c r="C474" i="3"/>
  <c r="B474" i="3"/>
  <c r="B475" i="3" l="1"/>
  <c r="H475" i="3"/>
  <c r="F475" i="3"/>
  <c r="E475" i="3"/>
  <c r="D475" i="3"/>
  <c r="C475" i="3"/>
  <c r="G475" i="3"/>
  <c r="A476" i="3" s="1"/>
  <c r="D476" i="3" l="1"/>
  <c r="B476" i="3"/>
  <c r="G476" i="3"/>
  <c r="A477" i="3" s="1"/>
  <c r="H476" i="3"/>
  <c r="E476" i="3"/>
  <c r="F476" i="3"/>
  <c r="C476" i="3"/>
  <c r="H477" i="3" l="1"/>
  <c r="D477" i="3"/>
  <c r="G477" i="3"/>
  <c r="A478" i="3" s="1"/>
  <c r="F477" i="3"/>
  <c r="B477" i="3"/>
  <c r="C477" i="3"/>
  <c r="E477" i="3"/>
  <c r="B478" i="3" l="1"/>
  <c r="F478" i="3"/>
  <c r="E478" i="3"/>
  <c r="D478" i="3"/>
  <c r="C478" i="3"/>
  <c r="H478" i="3"/>
  <c r="G478" i="3"/>
  <c r="A479" i="3" s="1"/>
  <c r="H479" i="3" l="1"/>
  <c r="G479" i="3"/>
  <c r="A480" i="3" s="1"/>
  <c r="F479" i="3"/>
  <c r="E479" i="3"/>
  <c r="D479" i="3"/>
  <c r="C479" i="3"/>
  <c r="B479" i="3"/>
  <c r="H480" i="3" l="1"/>
  <c r="D480" i="3"/>
  <c r="G480" i="3"/>
  <c r="A481" i="3" s="1"/>
  <c r="F480" i="3"/>
  <c r="C480" i="3"/>
  <c r="B480" i="3"/>
  <c r="E480" i="3"/>
  <c r="B481" i="3" l="1"/>
  <c r="H481" i="3"/>
  <c r="G481" i="3"/>
  <c r="A482" i="3" s="1"/>
  <c r="F481" i="3"/>
  <c r="E481" i="3"/>
  <c r="D481" i="3"/>
  <c r="C481" i="3"/>
  <c r="B482" i="3" l="1"/>
  <c r="G482" i="3"/>
  <c r="A483" i="3" s="1"/>
  <c r="H482" i="3"/>
  <c r="F482" i="3"/>
  <c r="E482" i="3"/>
  <c r="D482" i="3"/>
  <c r="C482" i="3"/>
  <c r="H483" i="3" l="1"/>
  <c r="D483" i="3"/>
  <c r="E483" i="3"/>
  <c r="F483" i="3"/>
  <c r="C483" i="3"/>
  <c r="B483" i="3"/>
  <c r="G483" i="3"/>
  <c r="A484" i="3" s="1"/>
  <c r="B484" i="3" l="1"/>
  <c r="G484" i="3"/>
  <c r="A485" i="3" s="1"/>
  <c r="F484" i="3"/>
  <c r="H484" i="3"/>
  <c r="E484" i="3"/>
  <c r="D484" i="3"/>
  <c r="C484" i="3"/>
  <c r="F485" i="3" l="1"/>
  <c r="E485" i="3"/>
  <c r="D485" i="3"/>
  <c r="C485" i="3"/>
  <c r="B485" i="3"/>
  <c r="H485" i="3"/>
  <c r="G485" i="3"/>
  <c r="A486" i="3" s="1"/>
  <c r="H486" i="3" l="1"/>
  <c r="D486" i="3"/>
  <c r="G486" i="3"/>
  <c r="A487" i="3" s="1"/>
  <c r="F486" i="3"/>
  <c r="C486" i="3"/>
  <c r="B486" i="3"/>
  <c r="E486" i="3"/>
  <c r="B487" i="3" l="1"/>
  <c r="D487" i="3"/>
  <c r="C487" i="3"/>
  <c r="H487" i="3"/>
  <c r="E487" i="3"/>
  <c r="G487" i="3"/>
  <c r="A488" i="3" s="1"/>
  <c r="F487" i="3"/>
  <c r="H488" i="3" l="1"/>
  <c r="G488" i="3"/>
  <c r="A489" i="3" s="1"/>
  <c r="F488" i="3"/>
  <c r="E488" i="3"/>
  <c r="C488" i="3"/>
  <c r="B488" i="3"/>
  <c r="D488" i="3"/>
  <c r="H489" i="3" l="1"/>
  <c r="D489" i="3"/>
  <c r="B489" i="3"/>
  <c r="G489" i="3"/>
  <c r="A490" i="3" s="1"/>
  <c r="F489" i="3"/>
  <c r="C489" i="3"/>
  <c r="E489" i="3"/>
  <c r="B490" i="3" l="1"/>
  <c r="H490" i="3"/>
  <c r="G490" i="3"/>
  <c r="A491" i="3" s="1"/>
  <c r="F490" i="3"/>
  <c r="E490" i="3"/>
  <c r="D490" i="3"/>
  <c r="C490" i="3"/>
  <c r="H491" i="3" l="1"/>
  <c r="G491" i="3"/>
  <c r="A492" i="3" s="1"/>
  <c r="F491" i="3"/>
  <c r="E491" i="3"/>
  <c r="D491" i="3"/>
  <c r="C491" i="3"/>
  <c r="B491" i="3"/>
  <c r="H492" i="3" l="1"/>
  <c r="D492" i="3"/>
  <c r="G492" i="3"/>
  <c r="A493" i="3" s="1"/>
  <c r="F492" i="3"/>
  <c r="E492" i="3"/>
  <c r="C492" i="3"/>
  <c r="B492" i="3"/>
  <c r="B493" i="3" l="1"/>
  <c r="F493" i="3"/>
  <c r="E493" i="3"/>
  <c r="D493" i="3"/>
  <c r="H493" i="3"/>
  <c r="G493" i="3"/>
  <c r="A494" i="3" s="1"/>
  <c r="C493" i="3"/>
  <c r="D494" i="3" l="1"/>
  <c r="H494" i="3"/>
  <c r="G494" i="3"/>
  <c r="A495" i="3" s="1"/>
  <c r="F494" i="3"/>
  <c r="E494" i="3"/>
  <c r="C494" i="3"/>
  <c r="B494" i="3"/>
  <c r="H495" i="3" l="1"/>
  <c r="D495" i="3"/>
  <c r="G495" i="3"/>
  <c r="A496" i="3" s="1"/>
  <c r="F495" i="3"/>
  <c r="E495" i="3"/>
  <c r="C495" i="3"/>
  <c r="B495" i="3"/>
  <c r="B496" i="3" l="1"/>
  <c r="F496" i="3"/>
  <c r="E496" i="3"/>
  <c r="D496" i="3"/>
  <c r="C496" i="3"/>
  <c r="H496" i="3"/>
  <c r="G496" i="3"/>
  <c r="A497" i="3" s="1"/>
  <c r="H497" i="3" l="1"/>
  <c r="G497" i="3"/>
  <c r="A498" i="3" s="1"/>
  <c r="F497" i="3"/>
  <c r="E497" i="3"/>
  <c r="D497" i="3"/>
  <c r="C497" i="3"/>
  <c r="B497" i="3"/>
  <c r="H498" i="3" l="1"/>
  <c r="D498" i="3"/>
  <c r="G498" i="3"/>
  <c r="A499" i="3" s="1"/>
  <c r="F498" i="3"/>
  <c r="E498" i="3"/>
  <c r="C498" i="3"/>
  <c r="B498" i="3"/>
  <c r="B499" i="3" l="1"/>
  <c r="H499" i="3"/>
  <c r="G499" i="3"/>
  <c r="A500" i="3" s="1"/>
  <c r="F499" i="3"/>
  <c r="E499" i="3"/>
  <c r="D499" i="3"/>
  <c r="C499" i="3"/>
  <c r="B500" i="3" l="1"/>
  <c r="F500" i="3"/>
  <c r="H500" i="3"/>
  <c r="G500" i="3"/>
  <c r="A501" i="3" s="1"/>
  <c r="D500" i="3"/>
  <c r="C500" i="3"/>
  <c r="E500" i="3"/>
  <c r="H501" i="3" l="1"/>
  <c r="D501" i="3"/>
  <c r="F501" i="3"/>
  <c r="E501" i="3"/>
  <c r="C501" i="3"/>
  <c r="G501" i="3"/>
  <c r="A502" i="3" s="1"/>
  <c r="B501" i="3"/>
  <c r="B502" i="3" l="1"/>
  <c r="H502" i="3"/>
  <c r="G502" i="3"/>
  <c r="A503" i="3" s="1"/>
  <c r="F502" i="3"/>
  <c r="C502" i="3"/>
  <c r="E502" i="3"/>
  <c r="D502" i="3"/>
  <c r="F503" i="3" l="1"/>
  <c r="E503" i="3"/>
  <c r="D503" i="3"/>
  <c r="C503" i="3"/>
  <c r="B503" i="3"/>
  <c r="H503" i="3"/>
  <c r="G503" i="3"/>
  <c r="A504" i="3" s="1"/>
  <c r="H504" i="3" l="1"/>
  <c r="D504" i="3"/>
  <c r="G504" i="3"/>
  <c r="A505" i="3" s="1"/>
  <c r="F504" i="3"/>
  <c r="E504" i="3"/>
  <c r="C504" i="3"/>
  <c r="B504" i="3"/>
  <c r="B505" i="3" l="1"/>
  <c r="E505" i="3"/>
  <c r="D505" i="3"/>
  <c r="C505" i="3"/>
  <c r="H505" i="3"/>
  <c r="G505" i="3"/>
  <c r="A506" i="3" s="1"/>
  <c r="F505" i="3"/>
  <c r="H506" i="3" l="1"/>
  <c r="G506" i="3"/>
  <c r="A507" i="3" s="1"/>
  <c r="F506" i="3"/>
  <c r="E506" i="3"/>
  <c r="D506" i="3"/>
  <c r="C506" i="3"/>
  <c r="B506" i="3"/>
  <c r="H507" i="3" l="1"/>
  <c r="D507" i="3"/>
  <c r="B507" i="3"/>
  <c r="G507" i="3"/>
  <c r="A508" i="3" s="1"/>
  <c r="F507" i="3"/>
  <c r="E507" i="3"/>
  <c r="C507" i="3"/>
  <c r="B508" i="3" l="1"/>
  <c r="H508" i="3"/>
  <c r="G508" i="3"/>
  <c r="A509" i="3" s="1"/>
  <c r="F508" i="3"/>
  <c r="E508" i="3"/>
  <c r="D508" i="3"/>
  <c r="C508" i="3"/>
  <c r="H509" i="3" l="1"/>
  <c r="G509" i="3"/>
  <c r="A510" i="3" s="1"/>
  <c r="F509" i="3"/>
  <c r="C509" i="3"/>
  <c r="B509" i="3"/>
  <c r="D509" i="3"/>
  <c r="E509" i="3"/>
  <c r="H510" i="3" l="1"/>
  <c r="D510" i="3"/>
  <c r="G510" i="3"/>
  <c r="A511" i="3" s="1"/>
  <c r="F510" i="3"/>
  <c r="E510" i="3"/>
  <c r="C510" i="3"/>
  <c r="B510" i="3"/>
  <c r="B511" i="3" l="1"/>
  <c r="H511" i="3"/>
  <c r="G511" i="3"/>
  <c r="A512" i="3" s="1"/>
  <c r="F511" i="3"/>
  <c r="E511" i="3"/>
  <c r="D511" i="3"/>
  <c r="C511" i="3"/>
  <c r="E512" i="3" l="1"/>
  <c r="D512" i="3"/>
  <c r="C512" i="3"/>
  <c r="H512" i="3"/>
  <c r="G512" i="3"/>
  <c r="A513" i="3" s="1"/>
  <c r="B512" i="3"/>
  <c r="F512" i="3"/>
  <c r="H513" i="3" l="1"/>
  <c r="D513" i="3"/>
  <c r="G513" i="3"/>
  <c r="A514" i="3" s="1"/>
  <c r="F513" i="3"/>
  <c r="E513" i="3"/>
  <c r="C513" i="3"/>
  <c r="B513" i="3"/>
  <c r="B514" i="3" l="1"/>
  <c r="F514" i="3"/>
  <c r="E514" i="3"/>
  <c r="D514" i="3"/>
  <c r="C514" i="3"/>
  <c r="H514" i="3"/>
  <c r="G514" i="3"/>
  <c r="A515" i="3" s="1"/>
  <c r="H515" i="3" l="1"/>
  <c r="G515" i="3"/>
  <c r="A516" i="3" s="1"/>
  <c r="E515" i="3"/>
  <c r="D515" i="3"/>
  <c r="C515" i="3"/>
  <c r="B515" i="3"/>
  <c r="F515" i="3"/>
  <c r="H516" i="3" l="1"/>
  <c r="D516" i="3"/>
  <c r="G516" i="3"/>
  <c r="A517" i="3" s="1"/>
  <c r="C516" i="3"/>
  <c r="B516" i="3"/>
  <c r="E516" i="3"/>
  <c r="F516" i="3"/>
  <c r="B517" i="3" l="1"/>
  <c r="H517" i="3"/>
  <c r="G517" i="3"/>
  <c r="A518" i="3" s="1"/>
  <c r="F517" i="3"/>
  <c r="E517" i="3"/>
  <c r="D517" i="3"/>
  <c r="C517" i="3"/>
  <c r="B518" i="3" l="1"/>
  <c r="H518" i="3"/>
  <c r="G518" i="3"/>
  <c r="A519" i="3" s="1"/>
  <c r="F518" i="3"/>
  <c r="E518" i="3"/>
  <c r="D518" i="3"/>
  <c r="C518" i="3"/>
  <c r="H519" i="3" l="1"/>
  <c r="D519" i="3"/>
  <c r="F519" i="3"/>
  <c r="E519" i="3"/>
  <c r="C519" i="3"/>
  <c r="B519" i="3"/>
  <c r="G519" i="3"/>
  <c r="A520" i="3" s="1"/>
  <c r="B520" i="3" l="1"/>
  <c r="H520" i="3"/>
  <c r="G520" i="3"/>
  <c r="A521" i="3" s="1"/>
  <c r="F520" i="3"/>
  <c r="E520" i="3"/>
  <c r="D520" i="3"/>
  <c r="C520" i="3"/>
  <c r="F521" i="3" l="1"/>
  <c r="E521" i="3"/>
  <c r="D521" i="3"/>
  <c r="C521" i="3"/>
  <c r="B521" i="3"/>
  <c r="H521" i="3"/>
  <c r="G521" i="3"/>
  <c r="A522" i="3" s="1"/>
  <c r="H522" i="3" l="1"/>
  <c r="D522" i="3"/>
  <c r="G522" i="3"/>
  <c r="A523" i="3" s="1"/>
  <c r="C522" i="3"/>
  <c r="F522" i="3"/>
  <c r="E522" i="3"/>
  <c r="B522" i="3"/>
  <c r="B523" i="3" l="1"/>
  <c r="E523" i="3"/>
  <c r="D523" i="3"/>
  <c r="C523" i="3"/>
  <c r="G523" i="3"/>
  <c r="A524" i="3" s="1"/>
  <c r="F523" i="3"/>
  <c r="H523" i="3"/>
  <c r="H524" i="3" l="1"/>
  <c r="G524" i="3"/>
  <c r="A525" i="3" s="1"/>
  <c r="F524" i="3"/>
  <c r="E524" i="3"/>
  <c r="D524" i="3"/>
  <c r="C524" i="3"/>
  <c r="B524" i="3"/>
  <c r="H525" i="3" l="1"/>
  <c r="D525" i="3"/>
  <c r="B525" i="3"/>
  <c r="G525" i="3"/>
  <c r="A526" i="3" s="1"/>
  <c r="F525" i="3"/>
  <c r="E525" i="3"/>
  <c r="C525" i="3"/>
  <c r="B526" i="3" l="1"/>
  <c r="H526" i="3"/>
  <c r="G526" i="3"/>
  <c r="A527" i="3" s="1"/>
  <c r="F526" i="3"/>
  <c r="E526" i="3"/>
  <c r="D526" i="3"/>
  <c r="C526" i="3"/>
  <c r="H527" i="3" l="1"/>
  <c r="G527" i="3"/>
  <c r="A528" i="3" s="1"/>
  <c r="F527" i="3"/>
  <c r="E527" i="3"/>
  <c r="D527" i="3"/>
  <c r="C527" i="3"/>
  <c r="B527" i="3"/>
  <c r="H528" i="3" l="1"/>
  <c r="D528" i="3"/>
  <c r="G528" i="3"/>
  <c r="A529" i="3" s="1"/>
  <c r="F528" i="3"/>
  <c r="E528" i="3"/>
  <c r="C528" i="3"/>
  <c r="B528" i="3"/>
  <c r="B529" i="3" l="1"/>
  <c r="F529" i="3"/>
  <c r="H529" i="3"/>
  <c r="G529" i="3"/>
  <c r="A530" i="3" s="1"/>
  <c r="E529" i="3"/>
  <c r="C529" i="3"/>
  <c r="D529" i="3"/>
  <c r="E530" i="3" l="1"/>
  <c r="D530" i="3"/>
  <c r="C530" i="3"/>
  <c r="G530" i="3"/>
  <c r="A531" i="3" s="1"/>
  <c r="F530" i="3"/>
  <c r="H530" i="3"/>
  <c r="B530" i="3"/>
  <c r="H531" i="3" l="1"/>
  <c r="D531" i="3"/>
  <c r="G531" i="3"/>
  <c r="A532" i="3" s="1"/>
  <c r="F531" i="3"/>
  <c r="E531" i="3"/>
  <c r="C531" i="3"/>
  <c r="B531" i="3"/>
  <c r="B532" i="3" l="1"/>
  <c r="F532" i="3"/>
  <c r="E532" i="3"/>
  <c r="D532" i="3"/>
  <c r="C532" i="3"/>
  <c r="H532" i="3"/>
  <c r="G532" i="3"/>
  <c r="A533" i="3" s="1"/>
  <c r="H533" i="3" l="1"/>
  <c r="G533" i="3"/>
  <c r="A534" i="3" s="1"/>
  <c r="F533" i="3"/>
  <c r="E533" i="3"/>
  <c r="D533" i="3"/>
  <c r="C533" i="3"/>
  <c r="B533" i="3"/>
  <c r="H534" i="3" l="1"/>
  <c r="D534" i="3"/>
  <c r="G534" i="3"/>
  <c r="A535" i="3" s="1"/>
  <c r="F534" i="3"/>
  <c r="E534" i="3"/>
  <c r="C534" i="3"/>
  <c r="B534" i="3"/>
  <c r="B535" i="3" l="1"/>
  <c r="H535" i="3"/>
  <c r="G535" i="3"/>
  <c r="A536" i="3" s="1"/>
  <c r="F535" i="3"/>
  <c r="E535" i="3"/>
  <c r="D535" i="3"/>
  <c r="C535" i="3"/>
  <c r="B536" i="3" l="1"/>
  <c r="H536" i="3"/>
  <c r="G536" i="3"/>
  <c r="A537" i="3" s="1"/>
  <c r="F536" i="3"/>
  <c r="E536" i="3"/>
  <c r="D536" i="3"/>
  <c r="C536" i="3"/>
  <c r="H537" i="3" l="1"/>
  <c r="D537" i="3"/>
  <c r="F537" i="3"/>
  <c r="E537" i="3"/>
  <c r="C537" i="3"/>
  <c r="G537" i="3"/>
  <c r="A538" i="3" s="1"/>
  <c r="B537" i="3"/>
  <c r="B538" i="3" l="1"/>
  <c r="H538" i="3"/>
  <c r="G538" i="3"/>
  <c r="A539" i="3" s="1"/>
  <c r="F538" i="3"/>
  <c r="C538" i="3"/>
  <c r="D538" i="3"/>
  <c r="E538" i="3"/>
  <c r="F539" i="3" l="1"/>
  <c r="E539" i="3"/>
  <c r="D539" i="3"/>
  <c r="C539" i="3"/>
  <c r="B539" i="3"/>
  <c r="H539" i="3"/>
  <c r="G539" i="3"/>
  <c r="A540" i="3" s="1"/>
  <c r="H540" i="3" l="1"/>
  <c r="D540" i="3"/>
  <c r="G540" i="3"/>
  <c r="A541" i="3" s="1"/>
  <c r="F540" i="3"/>
  <c r="E540" i="3"/>
  <c r="C540" i="3"/>
  <c r="B540" i="3"/>
  <c r="B541" i="3" l="1"/>
  <c r="E541" i="3"/>
  <c r="D541" i="3"/>
  <c r="C541" i="3"/>
  <c r="H541" i="3"/>
  <c r="G541" i="3"/>
  <c r="A542" i="3" s="1"/>
  <c r="F541" i="3"/>
  <c r="H542" i="3" l="1"/>
  <c r="G542" i="3"/>
  <c r="A543" i="3" s="1"/>
  <c r="F542" i="3"/>
  <c r="E542" i="3"/>
  <c r="D542" i="3"/>
  <c r="C542" i="3"/>
  <c r="B542" i="3"/>
  <c r="H543" i="3" l="1"/>
  <c r="D543" i="3"/>
  <c r="B543" i="3"/>
  <c r="G543" i="3"/>
  <c r="A544" i="3" s="1"/>
  <c r="F543" i="3"/>
  <c r="E543" i="3"/>
  <c r="C543" i="3"/>
  <c r="B544" i="3" l="1"/>
  <c r="H544" i="3"/>
  <c r="G544" i="3"/>
  <c r="A545" i="3" s="1"/>
  <c r="E544" i="3"/>
  <c r="D544" i="3"/>
  <c r="C544" i="3"/>
  <c r="F544" i="3"/>
  <c r="H545" i="3" l="1"/>
  <c r="G545" i="3"/>
  <c r="A546" i="3" s="1"/>
  <c r="F545" i="3"/>
  <c r="C545" i="3"/>
  <c r="B545" i="3"/>
  <c r="E545" i="3"/>
  <c r="D545" i="3"/>
  <c r="H546" i="3" l="1"/>
  <c r="D546" i="3"/>
  <c r="G546" i="3"/>
  <c r="A547" i="3" s="1"/>
  <c r="F546" i="3"/>
  <c r="E546" i="3"/>
  <c r="C546" i="3"/>
  <c r="B546" i="3"/>
  <c r="H547" i="3" l="1"/>
  <c r="B547" i="3"/>
  <c r="G547" i="3"/>
  <c r="A548" i="3" s="1"/>
  <c r="F547" i="3"/>
  <c r="E547" i="3"/>
  <c r="D547" i="3"/>
  <c r="C547" i="3"/>
  <c r="F548" i="3" l="1"/>
  <c r="E548" i="3"/>
  <c r="D548" i="3"/>
  <c r="H548" i="3"/>
  <c r="C548" i="3"/>
  <c r="B548" i="3"/>
  <c r="G548" i="3"/>
  <c r="A549" i="3" s="1"/>
  <c r="E549" i="3" l="1"/>
  <c r="H549" i="3"/>
  <c r="G549" i="3"/>
  <c r="A550" i="3" s="1"/>
  <c r="F549" i="3"/>
  <c r="D549" i="3"/>
  <c r="C549" i="3"/>
  <c r="B549" i="3"/>
  <c r="H550" i="3" l="1"/>
  <c r="C550" i="3"/>
  <c r="B550" i="3"/>
  <c r="G550" i="3"/>
  <c r="A551" i="3" s="1"/>
  <c r="F550" i="3"/>
  <c r="E550" i="3"/>
  <c r="D550" i="3"/>
  <c r="H551" i="3" l="1"/>
  <c r="E551" i="3"/>
  <c r="G551" i="3"/>
  <c r="A552" i="3" s="1"/>
  <c r="F551" i="3"/>
  <c r="D551" i="3"/>
  <c r="C551" i="3"/>
  <c r="B551" i="3"/>
  <c r="F552" i="3" l="1"/>
  <c r="C552" i="3"/>
  <c r="B552" i="3"/>
  <c r="G552" i="3"/>
  <c r="A553" i="3" s="1"/>
  <c r="E552" i="3"/>
  <c r="D552" i="3"/>
  <c r="H552" i="3"/>
  <c r="H553" i="3" l="1"/>
  <c r="D553" i="3"/>
  <c r="C553" i="3"/>
  <c r="B553" i="3"/>
  <c r="G553" i="3"/>
  <c r="A554" i="3" s="1"/>
  <c r="F553" i="3"/>
  <c r="E553" i="3"/>
  <c r="E554" i="3" l="1"/>
  <c r="D554" i="3"/>
  <c r="C554" i="3"/>
  <c r="B554" i="3"/>
  <c r="H554" i="3"/>
  <c r="G554" i="3"/>
  <c r="A555" i="3" s="1"/>
  <c r="F554" i="3"/>
  <c r="G555" i="3" l="1"/>
  <c r="A556" i="3" s="1"/>
  <c r="H555" i="3"/>
  <c r="F555" i="3"/>
  <c r="E555" i="3"/>
  <c r="D555" i="3"/>
  <c r="C555" i="3"/>
  <c r="B555" i="3"/>
  <c r="H556" i="3" l="1"/>
  <c r="E556" i="3"/>
  <c r="D556" i="3"/>
  <c r="C556" i="3"/>
  <c r="G556" i="3"/>
  <c r="A557" i="3" s="1"/>
  <c r="F556" i="3"/>
  <c r="B556" i="3"/>
  <c r="H557" i="3" l="1"/>
  <c r="G557" i="3"/>
  <c r="A558" i="3" s="1"/>
  <c r="F557" i="3"/>
  <c r="E557" i="3"/>
  <c r="D557" i="3"/>
  <c r="C557" i="3"/>
  <c r="B557" i="3"/>
  <c r="H558" i="3" l="1"/>
  <c r="C558" i="3"/>
  <c r="B558" i="3"/>
  <c r="D558" i="3"/>
  <c r="G558" i="3"/>
  <c r="A559" i="3" s="1"/>
  <c r="F558" i="3"/>
  <c r="E558" i="3"/>
  <c r="H559" i="3" l="1"/>
  <c r="F559" i="3"/>
  <c r="E559" i="3"/>
  <c r="D559" i="3"/>
  <c r="G559" i="3"/>
  <c r="A560" i="3" s="1"/>
  <c r="C559" i="3"/>
  <c r="B559" i="3"/>
  <c r="H560" i="3" l="1"/>
  <c r="C560" i="3"/>
  <c r="B560" i="3"/>
  <c r="F560" i="3"/>
  <c r="E560" i="3"/>
  <c r="D560" i="3"/>
  <c r="G560" i="3"/>
  <c r="A561" i="3" s="1"/>
  <c r="H561" i="3" l="1"/>
  <c r="G561" i="3"/>
  <c r="A562" i="3" s="1"/>
  <c r="F561" i="3"/>
  <c r="E561" i="3"/>
  <c r="D561" i="3"/>
  <c r="C561" i="3"/>
  <c r="B561" i="3"/>
  <c r="H562" i="3" l="1"/>
  <c r="G562" i="3"/>
  <c r="A563" i="3" s="1"/>
  <c r="F562" i="3"/>
  <c r="E562" i="3"/>
  <c r="B562" i="3"/>
  <c r="D562" i="3"/>
  <c r="C562" i="3"/>
  <c r="H563" i="3" l="1"/>
  <c r="G563" i="3"/>
  <c r="A564" i="3" s="1"/>
  <c r="F563" i="3"/>
  <c r="E563" i="3"/>
  <c r="D563" i="3"/>
  <c r="C563" i="3"/>
  <c r="B563" i="3"/>
  <c r="C564" i="3" l="1"/>
  <c r="H564" i="3"/>
  <c r="B564" i="3"/>
  <c r="G564" i="3"/>
  <c r="A565" i="3" s="1"/>
  <c r="F564" i="3"/>
  <c r="E564" i="3"/>
  <c r="D564" i="3"/>
  <c r="H565" i="3" l="1"/>
  <c r="G565" i="3"/>
  <c r="A566" i="3" s="1"/>
  <c r="C565" i="3"/>
  <c r="F565" i="3"/>
  <c r="E565" i="3"/>
  <c r="D565" i="3"/>
  <c r="B565" i="3"/>
  <c r="B566" i="3" l="1"/>
  <c r="C566" i="3"/>
  <c r="F566" i="3"/>
  <c r="E566" i="3"/>
  <c r="D566" i="3"/>
  <c r="G566" i="3"/>
  <c r="A567" i="3" s="1"/>
  <c r="H566" i="3"/>
  <c r="E567" i="3" l="1"/>
  <c r="H567" i="3"/>
  <c r="G567" i="3"/>
  <c r="A568" i="3" s="1"/>
  <c r="F567" i="3"/>
  <c r="D567" i="3"/>
  <c r="C567" i="3"/>
  <c r="B567" i="3"/>
  <c r="H568" i="3" l="1"/>
  <c r="E568" i="3"/>
  <c r="B568" i="3"/>
  <c r="F568" i="3"/>
  <c r="D568" i="3"/>
  <c r="C568" i="3"/>
  <c r="G568" i="3"/>
  <c r="A569" i="3" s="1"/>
  <c r="C569" i="3" l="1"/>
  <c r="E569" i="3"/>
  <c r="D569" i="3"/>
  <c r="B569" i="3"/>
  <c r="H569" i="3"/>
  <c r="G569" i="3"/>
  <c r="A570" i="3" s="1"/>
  <c r="F569" i="3"/>
  <c r="G570" i="3" l="1"/>
  <c r="A571" i="3" s="1"/>
  <c r="E570" i="3"/>
  <c r="D570" i="3"/>
  <c r="C570" i="3"/>
  <c r="B570" i="3"/>
  <c r="H570" i="3"/>
  <c r="F570" i="3"/>
  <c r="H571" i="3" l="1"/>
  <c r="G571" i="3"/>
  <c r="A572" i="3" s="1"/>
  <c r="F571" i="3"/>
  <c r="E571" i="3"/>
  <c r="D571" i="3"/>
  <c r="C571" i="3"/>
  <c r="B571" i="3"/>
  <c r="D572" i="3" l="1"/>
  <c r="G572" i="3"/>
  <c r="A573" i="3" s="1"/>
  <c r="F572" i="3"/>
  <c r="E572" i="3"/>
  <c r="C572" i="3"/>
  <c r="B572" i="3"/>
  <c r="H572" i="3"/>
  <c r="H573" i="3" l="1"/>
  <c r="G573" i="3"/>
  <c r="A574" i="3" s="1"/>
  <c r="F573" i="3"/>
  <c r="E573" i="3"/>
  <c r="D573" i="3"/>
  <c r="C573" i="3"/>
  <c r="B573" i="3"/>
  <c r="H574" i="3" l="1"/>
  <c r="E574" i="3"/>
  <c r="D574" i="3"/>
  <c r="C574" i="3"/>
  <c r="B574" i="3"/>
  <c r="G574" i="3"/>
  <c r="A575" i="3" s="1"/>
  <c r="F574" i="3"/>
  <c r="E575" i="3" l="1"/>
  <c r="H575" i="3"/>
  <c r="G575" i="3"/>
  <c r="A576" i="3" s="1"/>
  <c r="B575" i="3"/>
  <c r="D575" i="3"/>
  <c r="C575" i="3"/>
  <c r="F575" i="3"/>
  <c r="F576" i="3" l="1"/>
  <c r="E576" i="3"/>
  <c r="D576" i="3"/>
  <c r="H576" i="3"/>
  <c r="G576" i="3"/>
  <c r="A577" i="3" s="1"/>
  <c r="B576" i="3"/>
  <c r="C576" i="3"/>
  <c r="H577" i="3" l="1"/>
  <c r="C577" i="3"/>
  <c r="G577" i="3"/>
  <c r="A578" i="3" s="1"/>
  <c r="F577" i="3"/>
  <c r="E577" i="3"/>
  <c r="D577" i="3"/>
  <c r="B577" i="3"/>
  <c r="F578" i="3" l="1"/>
  <c r="D578" i="3"/>
  <c r="G578" i="3"/>
  <c r="A579" i="3" s="1"/>
  <c r="E578" i="3"/>
  <c r="C578" i="3"/>
  <c r="B578" i="3"/>
  <c r="H578" i="3"/>
  <c r="C579" i="3" l="1"/>
  <c r="B579" i="3"/>
  <c r="H579" i="3"/>
  <c r="G579" i="3"/>
  <c r="A580" i="3" s="1"/>
  <c r="F579" i="3"/>
  <c r="E579" i="3"/>
  <c r="D579" i="3"/>
  <c r="H580" i="3" l="1"/>
  <c r="E580" i="3"/>
  <c r="F580" i="3"/>
  <c r="D580" i="3"/>
  <c r="C580" i="3"/>
  <c r="B580" i="3"/>
  <c r="G580" i="3"/>
  <c r="A581" i="3" s="1"/>
  <c r="G581" i="3" l="1"/>
  <c r="A582" i="3" s="1"/>
  <c r="F581" i="3"/>
  <c r="H581" i="3"/>
  <c r="E581" i="3"/>
  <c r="D581" i="3"/>
  <c r="C581" i="3"/>
  <c r="B581" i="3"/>
  <c r="E582" i="3" l="1"/>
  <c r="D582" i="3"/>
  <c r="C582" i="3"/>
  <c r="H582" i="3"/>
  <c r="G582" i="3"/>
  <c r="A583" i="3" s="1"/>
  <c r="F582" i="3"/>
  <c r="B582" i="3"/>
  <c r="H583" i="3" l="1"/>
  <c r="G583" i="3"/>
  <c r="A584" i="3" s="1"/>
  <c r="D583" i="3"/>
  <c r="F583" i="3"/>
  <c r="E583" i="3"/>
  <c r="B583" i="3"/>
  <c r="C583" i="3"/>
  <c r="H584" i="3" l="1"/>
  <c r="F584" i="3"/>
  <c r="E584" i="3"/>
  <c r="D584" i="3"/>
  <c r="G584" i="3"/>
  <c r="A585" i="3" s="1"/>
  <c r="C584" i="3"/>
  <c r="B584" i="3"/>
  <c r="G585" i="3" l="1"/>
  <c r="A586" i="3" s="1"/>
  <c r="F585" i="3"/>
  <c r="E585" i="3"/>
  <c r="H585" i="3"/>
  <c r="C585" i="3"/>
  <c r="B585" i="3"/>
  <c r="D585" i="3"/>
  <c r="H586" i="3" l="1"/>
  <c r="G586" i="3"/>
  <c r="A587" i="3" s="1"/>
  <c r="F586" i="3"/>
  <c r="E586" i="3"/>
  <c r="D586" i="3"/>
  <c r="C586" i="3"/>
  <c r="B586" i="3"/>
  <c r="B587" i="3" l="1"/>
  <c r="H587" i="3"/>
  <c r="G587" i="3"/>
  <c r="A588" i="3" s="1"/>
  <c r="F587" i="3"/>
  <c r="E587" i="3"/>
  <c r="D587" i="3"/>
  <c r="C587" i="3"/>
  <c r="H588" i="3" l="1"/>
  <c r="G588" i="3"/>
  <c r="A589" i="3" s="1"/>
  <c r="C588" i="3"/>
  <c r="F588" i="3"/>
  <c r="E588" i="3"/>
  <c r="D588" i="3"/>
  <c r="B588" i="3"/>
  <c r="H589" i="3" l="1"/>
  <c r="G589" i="3"/>
  <c r="A590" i="3" s="1"/>
  <c r="B589" i="3"/>
  <c r="F589" i="3"/>
  <c r="E589" i="3"/>
  <c r="D589" i="3"/>
  <c r="C589" i="3"/>
  <c r="D590" i="3" l="1"/>
  <c r="H590" i="3"/>
  <c r="G590" i="3"/>
  <c r="A591" i="3" s="1"/>
  <c r="F590" i="3"/>
  <c r="E590" i="3"/>
  <c r="C590" i="3"/>
  <c r="B590" i="3"/>
  <c r="B591" i="3" l="1"/>
  <c r="E591" i="3"/>
  <c r="C591" i="3"/>
  <c r="H591" i="3"/>
  <c r="G591" i="3"/>
  <c r="A592" i="3" s="1"/>
  <c r="F591" i="3"/>
  <c r="D591" i="3"/>
  <c r="H592" i="3" l="1"/>
  <c r="C592" i="3"/>
  <c r="B592" i="3"/>
  <c r="G592" i="3"/>
  <c r="A593" i="3" s="1"/>
  <c r="E592" i="3"/>
  <c r="F592" i="3"/>
  <c r="D592" i="3"/>
  <c r="F593" i="3" l="1"/>
  <c r="H593" i="3"/>
  <c r="B593" i="3"/>
  <c r="E593" i="3"/>
  <c r="D593" i="3"/>
  <c r="C593" i="3"/>
  <c r="G593" i="3"/>
  <c r="A594" i="3" s="1"/>
  <c r="C594" i="3" l="1"/>
  <c r="G594" i="3"/>
  <c r="A595" i="3" s="1"/>
  <c r="H594" i="3"/>
  <c r="F594" i="3"/>
  <c r="E594" i="3"/>
  <c r="D594" i="3"/>
  <c r="B594" i="3"/>
  <c r="H595" i="3" l="1"/>
  <c r="E595" i="3"/>
  <c r="D595" i="3"/>
  <c r="C595" i="3"/>
  <c r="B595" i="3"/>
  <c r="G595" i="3"/>
  <c r="A596" i="3" s="1"/>
  <c r="F595" i="3"/>
  <c r="H596" i="3" l="1"/>
  <c r="G596" i="3"/>
  <c r="A597" i="3" s="1"/>
  <c r="F596" i="3"/>
  <c r="E596" i="3"/>
  <c r="D596" i="3"/>
  <c r="C596" i="3"/>
  <c r="B596" i="3"/>
  <c r="D597" i="3" l="1"/>
  <c r="H597" i="3"/>
  <c r="B597" i="3"/>
  <c r="G597" i="3"/>
  <c r="A598" i="3" s="1"/>
  <c r="F597" i="3"/>
  <c r="E597" i="3"/>
  <c r="C597" i="3"/>
  <c r="H598" i="3" l="1"/>
  <c r="G598" i="3"/>
  <c r="A599" i="3" s="1"/>
  <c r="F598" i="3"/>
  <c r="E598" i="3"/>
  <c r="D598" i="3"/>
  <c r="C598" i="3"/>
  <c r="B598" i="3"/>
  <c r="E599" i="3" l="1"/>
  <c r="D599" i="3"/>
  <c r="C599" i="3"/>
  <c r="B599" i="3"/>
  <c r="F599" i="3"/>
  <c r="G599" i="3"/>
  <c r="A600" i="3" s="1"/>
  <c r="H599" i="3"/>
  <c r="E600" i="3" l="1"/>
  <c r="B600" i="3"/>
  <c r="H600" i="3"/>
  <c r="C600" i="3"/>
  <c r="G600" i="3"/>
  <c r="A601" i="3" s="1"/>
  <c r="F600" i="3"/>
  <c r="D600" i="3"/>
  <c r="H601" i="3" l="1"/>
  <c r="G601" i="3"/>
  <c r="A602" i="3" s="1"/>
  <c r="C601" i="3"/>
  <c r="D601" i="3"/>
  <c r="B601" i="3"/>
  <c r="F601" i="3"/>
  <c r="E601" i="3"/>
  <c r="B602" i="3" l="1"/>
  <c r="H602" i="3"/>
  <c r="G602" i="3"/>
  <c r="A603" i="3" s="1"/>
  <c r="F602" i="3"/>
  <c r="E602" i="3"/>
  <c r="C602" i="3"/>
  <c r="D602" i="3"/>
  <c r="F603" i="3" l="1"/>
  <c r="D603" i="3"/>
  <c r="G603" i="3"/>
  <c r="A604" i="3" s="1"/>
  <c r="E603" i="3"/>
  <c r="C603" i="3"/>
  <c r="B603" i="3"/>
  <c r="H603" i="3"/>
  <c r="H604" i="3" l="1"/>
  <c r="E604" i="3"/>
  <c r="C604" i="3"/>
  <c r="G604" i="3"/>
  <c r="A605" i="3" s="1"/>
  <c r="F604" i="3"/>
  <c r="D604" i="3"/>
  <c r="B604" i="3"/>
  <c r="D605" i="3" l="1"/>
  <c r="C605" i="3"/>
  <c r="B605" i="3"/>
  <c r="H605" i="3"/>
  <c r="G605" i="3"/>
  <c r="A606" i="3" s="1"/>
  <c r="F605" i="3"/>
  <c r="E605" i="3"/>
  <c r="G606" i="3" l="1"/>
  <c r="A607" i="3" s="1"/>
  <c r="F606" i="3"/>
  <c r="H606" i="3"/>
  <c r="E606" i="3"/>
  <c r="D606" i="3"/>
  <c r="C606" i="3"/>
  <c r="B606" i="3"/>
  <c r="H607" i="3" l="1"/>
  <c r="G607" i="3"/>
  <c r="A608" i="3" s="1"/>
  <c r="E607" i="3"/>
  <c r="F607" i="3"/>
  <c r="D607" i="3"/>
  <c r="C607" i="3"/>
  <c r="B607" i="3"/>
  <c r="F608" i="3" l="1"/>
  <c r="E608" i="3"/>
  <c r="D608" i="3"/>
  <c r="B608" i="3"/>
  <c r="H608" i="3"/>
  <c r="G608" i="3"/>
  <c r="A609" i="3" s="1"/>
  <c r="C608" i="3"/>
  <c r="H609" i="3" l="1"/>
  <c r="G609" i="3"/>
  <c r="A610" i="3" s="1"/>
  <c r="F609" i="3"/>
  <c r="E609" i="3"/>
  <c r="C609" i="3"/>
  <c r="D609" i="3"/>
  <c r="B609" i="3"/>
  <c r="H610" i="3" l="1"/>
  <c r="G610" i="3"/>
  <c r="A611" i="3" s="1"/>
  <c r="B610" i="3"/>
  <c r="E610" i="3"/>
  <c r="D610" i="3"/>
  <c r="C610" i="3"/>
  <c r="F610" i="3"/>
  <c r="H611" i="3" l="1"/>
  <c r="G611" i="3"/>
  <c r="A612" i="3" s="1"/>
  <c r="F611" i="3"/>
  <c r="B611" i="3"/>
  <c r="E611" i="3"/>
  <c r="D611" i="3"/>
  <c r="C611" i="3"/>
  <c r="E612" i="3" l="1"/>
  <c r="D612" i="3"/>
  <c r="C612" i="3"/>
  <c r="B612" i="3"/>
  <c r="H612" i="3"/>
  <c r="G612" i="3"/>
  <c r="A613" i="3" s="1"/>
  <c r="F612" i="3"/>
  <c r="H613" i="3" l="1"/>
  <c r="E613" i="3"/>
  <c r="C613" i="3"/>
  <c r="G613" i="3"/>
  <c r="A614" i="3" s="1"/>
  <c r="F613" i="3"/>
  <c r="D613" i="3"/>
  <c r="B613" i="3"/>
  <c r="G614" i="3" l="1"/>
  <c r="A615" i="3" s="1"/>
  <c r="F614" i="3"/>
  <c r="E614" i="3"/>
  <c r="C614" i="3"/>
  <c r="H614" i="3"/>
  <c r="D614" i="3"/>
  <c r="B614" i="3"/>
  <c r="C615" i="3" l="1"/>
  <c r="B615" i="3"/>
  <c r="H615" i="3"/>
  <c r="G615" i="3"/>
  <c r="A616" i="3" s="1"/>
  <c r="F615" i="3"/>
  <c r="E615" i="3"/>
  <c r="D615" i="3"/>
  <c r="H616" i="3" l="1"/>
  <c r="E616" i="3"/>
  <c r="C616" i="3"/>
  <c r="G616" i="3"/>
  <c r="A617" i="3" s="1"/>
  <c r="F616" i="3"/>
  <c r="D616" i="3"/>
  <c r="B616" i="3"/>
  <c r="H617" i="3" l="1"/>
  <c r="F617" i="3"/>
  <c r="D617" i="3"/>
  <c r="C617" i="3"/>
  <c r="B617" i="3"/>
  <c r="G617" i="3"/>
  <c r="A618" i="3" s="1"/>
  <c r="E617" i="3"/>
  <c r="F618" i="3" l="1"/>
  <c r="E618" i="3"/>
  <c r="D618" i="3"/>
  <c r="B618" i="3"/>
  <c r="C618" i="3"/>
  <c r="G618" i="3"/>
  <c r="A619" i="3" s="1"/>
  <c r="H618" i="3"/>
  <c r="H619" i="3" l="1"/>
  <c r="E619" i="3"/>
  <c r="F619" i="3"/>
  <c r="G619" i="3"/>
  <c r="A620" i="3" s="1"/>
  <c r="D619" i="3"/>
  <c r="B619" i="3"/>
  <c r="C619" i="3"/>
  <c r="C620" i="3" l="1"/>
  <c r="H620" i="3"/>
  <c r="G620" i="3"/>
  <c r="A621" i="3" s="1"/>
  <c r="E620" i="3"/>
  <c r="D620" i="3"/>
  <c r="B620" i="3"/>
  <c r="F620" i="3"/>
  <c r="H621" i="3" l="1"/>
  <c r="G621" i="3"/>
  <c r="A622" i="3" s="1"/>
  <c r="E621" i="3"/>
  <c r="D621" i="3"/>
  <c r="C621" i="3"/>
  <c r="F621" i="3"/>
  <c r="B621" i="3"/>
  <c r="H622" i="3" l="1"/>
  <c r="E622" i="3"/>
  <c r="G622" i="3"/>
  <c r="A623" i="3" s="1"/>
  <c r="F622" i="3"/>
  <c r="D622" i="3"/>
  <c r="C622" i="3"/>
  <c r="B622" i="3"/>
  <c r="F623" i="3" l="1"/>
  <c r="H623" i="3"/>
  <c r="G623" i="3"/>
  <c r="A624" i="3" s="1"/>
  <c r="E623" i="3"/>
  <c r="D623" i="3"/>
  <c r="C623" i="3"/>
  <c r="B623" i="3"/>
  <c r="H624" i="3" l="1"/>
  <c r="G624" i="3"/>
  <c r="A625" i="3" s="1"/>
  <c r="F624" i="3"/>
  <c r="D624" i="3"/>
  <c r="E624" i="3"/>
  <c r="C624" i="3"/>
  <c r="B624" i="3"/>
  <c r="H625" i="3" l="1"/>
  <c r="E625" i="3"/>
  <c r="D625" i="3"/>
  <c r="C625" i="3"/>
  <c r="B625" i="3"/>
  <c r="G625" i="3"/>
  <c r="A626" i="3" s="1"/>
  <c r="F625" i="3"/>
  <c r="C626" i="3" l="1"/>
  <c r="H626" i="3"/>
  <c r="G626" i="3"/>
  <c r="A627" i="3" s="1"/>
  <c r="F626" i="3"/>
  <c r="E626" i="3"/>
  <c r="D626" i="3"/>
  <c r="B626" i="3"/>
  <c r="G627" i="3" l="1"/>
  <c r="A628" i="3" s="1"/>
  <c r="E627" i="3"/>
  <c r="D627" i="3"/>
  <c r="C627" i="3"/>
  <c r="B627" i="3"/>
  <c r="H627" i="3"/>
  <c r="F627" i="3"/>
  <c r="H628" i="3" l="1"/>
  <c r="E628" i="3"/>
  <c r="G628" i="3"/>
  <c r="A629" i="3" s="1"/>
  <c r="F628" i="3"/>
  <c r="C628" i="3"/>
  <c r="B628" i="3"/>
  <c r="D628" i="3"/>
  <c r="E629" i="3" l="1"/>
  <c r="H629" i="3"/>
  <c r="C629" i="3"/>
  <c r="B629" i="3"/>
  <c r="D629" i="3"/>
  <c r="F629" i="3"/>
  <c r="G629" i="3"/>
  <c r="A630" i="3" s="1"/>
  <c r="D630" i="3" l="1"/>
  <c r="H630" i="3"/>
  <c r="B630" i="3"/>
  <c r="F630" i="3"/>
  <c r="E630" i="3"/>
  <c r="C630" i="3"/>
  <c r="G630" i="3"/>
  <c r="A631" i="3" s="1"/>
  <c r="H631" i="3" l="1"/>
  <c r="E631" i="3"/>
  <c r="G631" i="3"/>
  <c r="A632" i="3" s="1"/>
  <c r="F631" i="3"/>
  <c r="D631" i="3"/>
  <c r="B631" i="3"/>
  <c r="C631" i="3"/>
  <c r="G632" i="3" l="1"/>
  <c r="A633" i="3" s="1"/>
  <c r="D632" i="3"/>
  <c r="C632" i="3"/>
  <c r="B632" i="3"/>
  <c r="H632" i="3"/>
  <c r="F632" i="3"/>
  <c r="E632" i="3"/>
  <c r="G633" i="3" l="1"/>
  <c r="A634" i="3" s="1"/>
  <c r="B633" i="3"/>
  <c r="H633" i="3"/>
  <c r="F633" i="3"/>
  <c r="E633" i="3"/>
  <c r="D633" i="3"/>
  <c r="C633" i="3"/>
  <c r="H634" i="3" l="1"/>
  <c r="E634" i="3"/>
  <c r="F634" i="3"/>
  <c r="G634" i="3"/>
  <c r="A635" i="3" s="1"/>
  <c r="D634" i="3"/>
  <c r="C634" i="3"/>
  <c r="B634" i="3"/>
  <c r="G635" i="3" l="1"/>
  <c r="A636" i="3" s="1"/>
  <c r="H635" i="3"/>
  <c r="F635" i="3"/>
  <c r="E635" i="3"/>
  <c r="C635" i="3"/>
  <c r="B635" i="3"/>
  <c r="D635" i="3"/>
  <c r="H636" i="3" l="1"/>
  <c r="G636" i="3"/>
  <c r="A637" i="3" s="1"/>
  <c r="F636" i="3"/>
  <c r="E636" i="3"/>
  <c r="D636" i="3"/>
  <c r="C636" i="3"/>
  <c r="B636" i="3"/>
  <c r="H637" i="3" l="1"/>
  <c r="E637" i="3"/>
  <c r="C637" i="3"/>
  <c r="G637" i="3"/>
  <c r="A638" i="3" s="1"/>
  <c r="F637" i="3"/>
  <c r="D637" i="3"/>
  <c r="B637" i="3"/>
  <c r="G638" i="3" l="1"/>
  <c r="A639" i="3" s="1"/>
  <c r="F638" i="3"/>
  <c r="E638" i="3"/>
  <c r="C638" i="3"/>
  <c r="H638" i="3"/>
  <c r="D638" i="3"/>
  <c r="B638" i="3"/>
  <c r="C639" i="3" l="1"/>
  <c r="E639" i="3"/>
  <c r="D639" i="3"/>
  <c r="B639" i="3"/>
  <c r="G639" i="3"/>
  <c r="A640" i="3" s="1"/>
  <c r="F639" i="3"/>
  <c r="H639" i="3"/>
  <c r="H640" i="3" l="1"/>
  <c r="E640" i="3"/>
  <c r="F640" i="3"/>
  <c r="D640" i="3"/>
  <c r="C640" i="3"/>
  <c r="G640" i="3"/>
  <c r="A641" i="3" s="1"/>
  <c r="B640" i="3"/>
  <c r="H641" i="3" l="1"/>
  <c r="G641" i="3"/>
  <c r="A642" i="3" s="1"/>
  <c r="F641" i="3"/>
  <c r="E641" i="3"/>
  <c r="C641" i="3"/>
  <c r="B641" i="3"/>
  <c r="D641" i="3"/>
  <c r="E642" i="3" l="1"/>
  <c r="C642" i="3"/>
  <c r="H642" i="3"/>
  <c r="G642" i="3"/>
  <c r="A643" i="3" s="1"/>
  <c r="D642" i="3"/>
  <c r="B642" i="3"/>
  <c r="F642" i="3"/>
  <c r="H643" i="3" l="1"/>
  <c r="E643" i="3"/>
  <c r="G643" i="3"/>
  <c r="A644" i="3" s="1"/>
  <c r="F643" i="3"/>
  <c r="D643" i="3"/>
  <c r="C643" i="3"/>
  <c r="B643" i="3"/>
  <c r="E644" i="3" l="1"/>
  <c r="H644" i="3"/>
  <c r="G644" i="3"/>
  <c r="A645" i="3" s="1"/>
  <c r="F644" i="3"/>
  <c r="D644" i="3"/>
  <c r="C644" i="3"/>
  <c r="B644" i="3"/>
  <c r="G645" i="3" l="1"/>
  <c r="A646" i="3" s="1"/>
  <c r="E645" i="3"/>
  <c r="H645" i="3"/>
  <c r="F645" i="3"/>
  <c r="D645" i="3"/>
  <c r="C645" i="3"/>
  <c r="B645" i="3"/>
  <c r="H646" i="3" l="1"/>
  <c r="E646" i="3"/>
  <c r="F646" i="3"/>
  <c r="D646" i="3"/>
  <c r="C646" i="3"/>
  <c r="G646" i="3"/>
  <c r="A647" i="3" s="1"/>
  <c r="B646" i="3"/>
  <c r="H647" i="3" l="1"/>
  <c r="G647" i="3"/>
  <c r="A648" i="3" s="1"/>
  <c r="F647" i="3"/>
  <c r="E647" i="3"/>
  <c r="D647" i="3"/>
  <c r="C647" i="3"/>
  <c r="B647" i="3"/>
  <c r="G648" i="3" l="1"/>
  <c r="A649" i="3" s="1"/>
  <c r="H648" i="3"/>
  <c r="F648" i="3"/>
  <c r="E648" i="3"/>
  <c r="D648" i="3"/>
  <c r="C648" i="3"/>
  <c r="B648" i="3"/>
  <c r="H649" i="3" l="1"/>
  <c r="E649" i="3"/>
  <c r="F649" i="3"/>
  <c r="D649" i="3"/>
  <c r="C649" i="3"/>
  <c r="B649" i="3"/>
  <c r="G649" i="3"/>
  <c r="A650" i="3" s="1"/>
  <c r="C650" i="3" l="1"/>
  <c r="B650" i="3"/>
  <c r="H650" i="3"/>
  <c r="G650" i="3"/>
  <c r="A651" i="3" s="1"/>
  <c r="F650" i="3"/>
  <c r="E650" i="3"/>
  <c r="D650" i="3"/>
  <c r="E651" i="3" l="1"/>
  <c r="G651" i="3"/>
  <c r="A652" i="3" s="1"/>
  <c r="F651" i="3"/>
  <c r="D651" i="3"/>
  <c r="H651" i="3"/>
  <c r="B651" i="3"/>
  <c r="C651" i="3"/>
  <c r="H652" i="3" l="1"/>
  <c r="E652" i="3"/>
  <c r="C652" i="3"/>
  <c r="G652" i="3"/>
  <c r="A653" i="3" s="1"/>
  <c r="F652" i="3"/>
  <c r="D652" i="3"/>
  <c r="B652" i="3"/>
  <c r="G653" i="3" l="1"/>
  <c r="A654" i="3" s="1"/>
  <c r="F653" i="3"/>
  <c r="E653" i="3"/>
  <c r="C653" i="3"/>
  <c r="B653" i="3"/>
  <c r="H653" i="3"/>
  <c r="D653" i="3"/>
  <c r="H654" i="3" l="1"/>
  <c r="G654" i="3"/>
  <c r="A655" i="3" s="1"/>
  <c r="F654" i="3"/>
  <c r="E654" i="3"/>
  <c r="D654" i="3"/>
  <c r="C654" i="3"/>
  <c r="B654" i="3"/>
  <c r="H655" i="3" l="1"/>
  <c r="E655" i="3"/>
  <c r="F655" i="3"/>
  <c r="C655" i="3"/>
  <c r="B655" i="3"/>
  <c r="D655" i="3"/>
  <c r="G655" i="3"/>
  <c r="A656" i="3" s="1"/>
  <c r="G656" i="3" l="1"/>
  <c r="A657" i="3" s="1"/>
  <c r="F656" i="3"/>
  <c r="E656" i="3"/>
  <c r="D656" i="3"/>
  <c r="C656" i="3"/>
  <c r="H656" i="3"/>
  <c r="B656" i="3"/>
  <c r="C657" i="3" l="1"/>
  <c r="B657" i="3"/>
  <c r="H657" i="3"/>
  <c r="G657" i="3"/>
  <c r="A658" i="3" s="1"/>
  <c r="F657" i="3"/>
  <c r="E657" i="3"/>
  <c r="D657" i="3"/>
  <c r="H658" i="3" l="1"/>
  <c r="E658" i="3"/>
  <c r="F658" i="3"/>
  <c r="G658" i="3"/>
  <c r="A659" i="3" s="1"/>
  <c r="D658" i="3"/>
  <c r="B658" i="3"/>
  <c r="C658" i="3"/>
  <c r="H659" i="3" l="1"/>
  <c r="G659" i="3"/>
  <c r="A660" i="3" s="1"/>
  <c r="B659" i="3"/>
  <c r="F659" i="3"/>
  <c r="E659" i="3"/>
  <c r="D659" i="3"/>
  <c r="C659" i="3"/>
  <c r="G660" i="3" l="1"/>
  <c r="A661" i="3" s="1"/>
  <c r="F660" i="3"/>
  <c r="E660" i="3"/>
  <c r="C660" i="3"/>
  <c r="B660" i="3"/>
  <c r="H660" i="3"/>
  <c r="D660" i="3"/>
  <c r="H661" i="3" l="1"/>
  <c r="E661" i="3"/>
  <c r="G661" i="3"/>
  <c r="A662" i="3" s="1"/>
  <c r="F661" i="3"/>
  <c r="D661" i="3"/>
  <c r="C661" i="3"/>
  <c r="B661" i="3"/>
  <c r="C662" i="3" l="1"/>
  <c r="F662" i="3"/>
  <c r="E662" i="3"/>
  <c r="D662" i="3"/>
  <c r="H662" i="3"/>
  <c r="G662" i="3"/>
  <c r="A663" i="3" s="1"/>
  <c r="B662" i="3"/>
  <c r="G663" i="3" l="1"/>
  <c r="A664" i="3" s="1"/>
  <c r="F663" i="3"/>
  <c r="E663" i="3"/>
  <c r="D663" i="3"/>
  <c r="C663" i="3"/>
  <c r="H663" i="3"/>
  <c r="B663" i="3"/>
  <c r="H664" i="3" l="1"/>
  <c r="E664" i="3"/>
  <c r="C664" i="3"/>
  <c r="B664" i="3"/>
  <c r="G664" i="3"/>
  <c r="A665" i="3" s="1"/>
  <c r="D664" i="3"/>
  <c r="F664" i="3"/>
  <c r="E665" i="3" l="1"/>
  <c r="C665" i="3"/>
  <c r="H665" i="3"/>
  <c r="B665" i="3"/>
  <c r="G665" i="3"/>
  <c r="A666" i="3" s="1"/>
  <c r="F665" i="3"/>
  <c r="D665" i="3"/>
  <c r="H666" i="3" l="1"/>
  <c r="G666" i="3"/>
  <c r="A667" i="3" s="1"/>
  <c r="B666" i="3"/>
  <c r="F666" i="3"/>
  <c r="E666" i="3"/>
  <c r="D666" i="3"/>
  <c r="C666" i="3"/>
  <c r="H667" i="3" l="1"/>
  <c r="E667" i="3"/>
  <c r="G667" i="3"/>
  <c r="A668" i="3" s="1"/>
  <c r="F667" i="3"/>
  <c r="C667" i="3"/>
  <c r="B667" i="3"/>
  <c r="D667" i="3"/>
  <c r="G668" i="3" l="1"/>
  <c r="A669" i="3" s="1"/>
  <c r="E668" i="3"/>
  <c r="H668" i="3"/>
  <c r="F668" i="3"/>
  <c r="D668" i="3"/>
  <c r="C668" i="3"/>
  <c r="B668" i="3"/>
  <c r="F669" i="3" l="1"/>
  <c r="E669" i="3"/>
  <c r="D669" i="3"/>
  <c r="H669" i="3"/>
  <c r="G669" i="3"/>
  <c r="A670" i="3" s="1"/>
  <c r="C669" i="3"/>
  <c r="B669" i="3"/>
  <c r="H670" i="3" l="1"/>
  <c r="E670" i="3"/>
  <c r="G670" i="3"/>
  <c r="A671" i="3" s="1"/>
  <c r="F670" i="3"/>
  <c r="D670" i="3"/>
  <c r="C670" i="3"/>
  <c r="B670" i="3"/>
  <c r="G671" i="3" l="1"/>
  <c r="A672" i="3" s="1"/>
  <c r="E671" i="3"/>
  <c r="D671" i="3"/>
  <c r="C671" i="3"/>
  <c r="H671" i="3"/>
  <c r="F671" i="3"/>
  <c r="B671" i="3"/>
  <c r="H672" i="3" l="1"/>
  <c r="G672" i="3"/>
  <c r="A673" i="3" s="1"/>
  <c r="B672" i="3"/>
  <c r="F672" i="3"/>
  <c r="E672" i="3"/>
  <c r="D672" i="3"/>
  <c r="C672" i="3"/>
  <c r="H673" i="3" l="1"/>
  <c r="E673" i="3"/>
  <c r="B673" i="3"/>
  <c r="G673" i="3"/>
  <c r="A674" i="3" s="1"/>
  <c r="F673" i="3"/>
  <c r="D673" i="3"/>
  <c r="C673" i="3"/>
  <c r="B674" i="3" l="1"/>
  <c r="H674" i="3"/>
  <c r="F674" i="3"/>
  <c r="E674" i="3"/>
  <c r="D674" i="3"/>
  <c r="C674" i="3"/>
  <c r="G674" i="3"/>
  <c r="A675" i="3" s="1"/>
  <c r="C675" i="3" l="1"/>
  <c r="B675" i="3"/>
  <c r="E675" i="3"/>
  <c r="D675" i="3"/>
  <c r="H675" i="3"/>
  <c r="G675" i="3"/>
  <c r="A676" i="3" s="1"/>
  <c r="F675" i="3"/>
  <c r="H676" i="3" l="1"/>
  <c r="E676" i="3"/>
  <c r="G676" i="3"/>
  <c r="A677" i="3" s="1"/>
  <c r="F676" i="3"/>
  <c r="D676" i="3"/>
  <c r="C676" i="3"/>
  <c r="B676" i="3"/>
  <c r="D677" i="3" l="1"/>
  <c r="H677" i="3"/>
  <c r="B677" i="3"/>
  <c r="G677" i="3"/>
  <c r="A678" i="3" s="1"/>
  <c r="C677" i="3"/>
  <c r="F677" i="3"/>
  <c r="E677" i="3"/>
  <c r="E678" i="3" l="1"/>
  <c r="D678" i="3"/>
  <c r="C678" i="3"/>
  <c r="G678" i="3"/>
  <c r="A679" i="3" s="1"/>
  <c r="F678" i="3"/>
  <c r="B678" i="3"/>
  <c r="H678" i="3"/>
  <c r="H679" i="3" l="1"/>
  <c r="E679" i="3"/>
  <c r="C679" i="3"/>
  <c r="B679" i="3"/>
  <c r="D679" i="3"/>
  <c r="G679" i="3"/>
  <c r="A680" i="3" s="1"/>
  <c r="F679" i="3"/>
  <c r="F680" i="3" l="1"/>
  <c r="H680" i="3"/>
  <c r="G680" i="3"/>
  <c r="A681" i="3" s="1"/>
  <c r="E680" i="3"/>
  <c r="D680" i="3"/>
  <c r="C680" i="3"/>
  <c r="B680" i="3"/>
  <c r="G681" i="3" l="1"/>
  <c r="A682" i="3" s="1"/>
  <c r="F681" i="3"/>
  <c r="E681" i="3"/>
  <c r="H681" i="3"/>
  <c r="D681" i="3"/>
  <c r="C681" i="3"/>
  <c r="B681" i="3"/>
  <c r="H682" i="3" l="1"/>
  <c r="E682" i="3"/>
  <c r="F682" i="3"/>
  <c r="D682" i="3"/>
  <c r="C682" i="3"/>
  <c r="B682" i="3"/>
  <c r="G682" i="3"/>
  <c r="A683" i="3" s="1"/>
  <c r="H683" i="3" l="1"/>
  <c r="C683" i="3"/>
  <c r="B683" i="3"/>
  <c r="D683" i="3"/>
  <c r="G683" i="3"/>
  <c r="A684" i="3" s="1"/>
  <c r="F683" i="3"/>
  <c r="E683" i="3"/>
  <c r="H684" i="3" l="1"/>
  <c r="G684" i="3"/>
  <c r="A685" i="3" s="1"/>
  <c r="F684" i="3"/>
  <c r="E684" i="3"/>
  <c r="D684" i="3"/>
  <c r="C684" i="3"/>
  <c r="B684" i="3"/>
  <c r="H685" i="3" l="1"/>
  <c r="E685" i="3"/>
  <c r="B685" i="3"/>
  <c r="G685" i="3"/>
  <c r="A686" i="3" s="1"/>
  <c r="F685" i="3"/>
  <c r="D685" i="3"/>
  <c r="C685" i="3"/>
  <c r="H686" i="3" l="1"/>
  <c r="G686" i="3"/>
  <c r="A687" i="3" s="1"/>
  <c r="E686" i="3"/>
  <c r="D686" i="3"/>
  <c r="C686" i="3"/>
  <c r="B686" i="3"/>
  <c r="F686" i="3"/>
  <c r="B687" i="3" l="1"/>
  <c r="H687" i="3"/>
  <c r="G687" i="3"/>
  <c r="A688" i="3" s="1"/>
  <c r="F687" i="3"/>
  <c r="E687" i="3"/>
  <c r="D687" i="3"/>
  <c r="C687" i="3"/>
  <c r="H688" i="3" l="1"/>
  <c r="F688" i="3"/>
  <c r="E688" i="3"/>
  <c r="C688" i="3"/>
  <c r="B688" i="3"/>
  <c r="G688" i="3"/>
  <c r="A689" i="3" s="1"/>
  <c r="D688" i="3"/>
  <c r="H689" i="3" l="1"/>
  <c r="C689" i="3"/>
  <c r="B689" i="3"/>
  <c r="G689" i="3"/>
  <c r="A690" i="3" s="1"/>
  <c r="F689" i="3"/>
  <c r="E689" i="3"/>
  <c r="D689" i="3"/>
  <c r="E690" i="3" l="1"/>
  <c r="H690" i="3"/>
  <c r="G690" i="3"/>
  <c r="A691" i="3" s="1"/>
  <c r="D690" i="3"/>
  <c r="C690" i="3"/>
  <c r="B690" i="3"/>
  <c r="F690" i="3"/>
  <c r="H691" i="3" l="1"/>
  <c r="G691" i="3"/>
  <c r="A692" i="3" s="1"/>
  <c r="F691" i="3"/>
  <c r="E691" i="3"/>
  <c r="D691" i="3"/>
  <c r="C691" i="3"/>
  <c r="B691" i="3"/>
  <c r="B692" i="3" l="1"/>
  <c r="H692" i="3"/>
  <c r="E692" i="3"/>
  <c r="G692" i="3"/>
  <c r="A693" i="3" s="1"/>
  <c r="F692" i="3"/>
  <c r="D692" i="3"/>
  <c r="C692" i="3"/>
  <c r="H693" i="3" l="1"/>
  <c r="C693" i="3"/>
  <c r="B693" i="3"/>
  <c r="E693" i="3"/>
  <c r="D693" i="3"/>
  <c r="G693" i="3"/>
  <c r="A694" i="3" s="1"/>
  <c r="F693" i="3"/>
  <c r="H694" i="3" l="1"/>
  <c r="G694" i="3"/>
  <c r="A695" i="3" s="1"/>
  <c r="F694" i="3"/>
  <c r="E694" i="3"/>
  <c r="D694" i="3"/>
  <c r="C694" i="3"/>
  <c r="B694" i="3"/>
  <c r="F695" i="3" l="1"/>
  <c r="E695" i="3"/>
  <c r="D695" i="3"/>
  <c r="H695" i="3"/>
  <c r="G695" i="3"/>
  <c r="A696" i="3" s="1"/>
  <c r="C695" i="3"/>
  <c r="B695" i="3"/>
  <c r="H696" i="3" l="1"/>
  <c r="G696" i="3"/>
  <c r="A697" i="3" s="1"/>
  <c r="F696" i="3"/>
  <c r="E696" i="3"/>
  <c r="D696" i="3"/>
  <c r="C696" i="3"/>
  <c r="B696" i="3"/>
  <c r="H697" i="3" l="1"/>
  <c r="G697" i="3"/>
  <c r="A698" i="3" s="1"/>
  <c r="F697" i="3"/>
  <c r="E697" i="3"/>
  <c r="D697" i="3"/>
  <c r="C697" i="3"/>
  <c r="B697" i="3"/>
  <c r="H698" i="3" l="1"/>
  <c r="G698" i="3"/>
  <c r="A699" i="3" s="1"/>
  <c r="F698" i="3"/>
  <c r="C698" i="3"/>
  <c r="B698" i="3"/>
  <c r="E698" i="3"/>
  <c r="D698" i="3"/>
  <c r="B699" i="3" l="1"/>
  <c r="H699" i="3"/>
  <c r="G699" i="3"/>
  <c r="A700" i="3" s="1"/>
  <c r="E699" i="3"/>
  <c r="D699" i="3"/>
  <c r="C699" i="3"/>
  <c r="F699" i="3"/>
  <c r="H700" i="3" l="1"/>
  <c r="G700" i="3"/>
  <c r="A701" i="3" s="1"/>
  <c r="F700" i="3"/>
  <c r="E700" i="3"/>
  <c r="D700" i="3"/>
  <c r="C700" i="3"/>
  <c r="B700" i="3"/>
  <c r="E701" i="3" l="1"/>
  <c r="H701" i="3"/>
  <c r="G701" i="3"/>
  <c r="A702" i="3" s="1"/>
  <c r="F701" i="3"/>
  <c r="D701" i="3"/>
  <c r="C701" i="3"/>
  <c r="B701" i="3"/>
  <c r="F702" i="3" l="1"/>
  <c r="E702" i="3"/>
  <c r="D702" i="3"/>
  <c r="B702" i="3"/>
  <c r="H702" i="3"/>
  <c r="G702" i="3"/>
  <c r="A703" i="3" s="1"/>
  <c r="C702" i="3"/>
  <c r="H703" i="3" l="1"/>
  <c r="G703" i="3"/>
  <c r="A704" i="3" s="1"/>
  <c r="F703" i="3"/>
  <c r="E703" i="3"/>
  <c r="D703" i="3"/>
  <c r="C703" i="3"/>
  <c r="B703" i="3"/>
  <c r="D704" i="3" l="1"/>
  <c r="G704" i="3"/>
  <c r="A705" i="3" s="1"/>
  <c r="F704" i="3"/>
  <c r="E704" i="3"/>
  <c r="B704" i="3"/>
  <c r="H704" i="3"/>
  <c r="C704" i="3"/>
  <c r="H705" i="3" l="1"/>
  <c r="G705" i="3"/>
  <c r="A706" i="3" s="1"/>
  <c r="F705" i="3"/>
  <c r="E705" i="3"/>
  <c r="D705" i="3"/>
  <c r="C705" i="3"/>
  <c r="B705" i="3"/>
  <c r="H706" i="3" l="1"/>
  <c r="G706" i="3"/>
  <c r="A707" i="3" s="1"/>
  <c r="F706" i="3"/>
  <c r="E706" i="3"/>
  <c r="B706" i="3"/>
  <c r="D706" i="3"/>
  <c r="C706" i="3"/>
  <c r="H707" i="3" l="1"/>
  <c r="G707" i="3"/>
  <c r="A708" i="3" s="1"/>
  <c r="B707" i="3"/>
  <c r="F707" i="3"/>
  <c r="E707" i="3"/>
  <c r="D707" i="3"/>
  <c r="C707" i="3"/>
  <c r="E708" i="3" l="1"/>
  <c r="H708" i="3"/>
  <c r="G708" i="3"/>
  <c r="A709" i="3" s="1"/>
  <c r="D708" i="3"/>
  <c r="C708" i="3"/>
  <c r="B708" i="3"/>
  <c r="F708" i="3"/>
  <c r="H709" i="3" l="1"/>
  <c r="G709" i="3"/>
  <c r="A710" i="3" s="1"/>
  <c r="F709" i="3"/>
  <c r="E709" i="3"/>
  <c r="D709" i="3"/>
  <c r="C709" i="3"/>
  <c r="B709" i="3"/>
  <c r="B710" i="3" l="1"/>
  <c r="F710" i="3"/>
  <c r="E710" i="3"/>
  <c r="D710" i="3"/>
  <c r="H710" i="3"/>
  <c r="G710" i="3"/>
  <c r="A711" i="3" s="1"/>
  <c r="C710" i="3"/>
  <c r="D711" i="3" l="1"/>
  <c r="C711" i="3"/>
  <c r="B711" i="3"/>
  <c r="H711" i="3"/>
  <c r="G711" i="3"/>
  <c r="A712" i="3" s="1"/>
  <c r="E711" i="3"/>
  <c r="F711" i="3"/>
  <c r="H712" i="3" l="1"/>
  <c r="G712" i="3"/>
  <c r="A713" i="3" s="1"/>
  <c r="F712" i="3"/>
  <c r="E712" i="3"/>
  <c r="D712" i="3"/>
  <c r="C712" i="3"/>
  <c r="B712" i="3"/>
  <c r="F713" i="3" l="1"/>
  <c r="E713" i="3"/>
  <c r="D713" i="3"/>
  <c r="H713" i="3"/>
  <c r="G713" i="3"/>
  <c r="A714" i="3" s="1"/>
  <c r="B713" i="3"/>
  <c r="C713" i="3"/>
  <c r="H714" i="3" l="1"/>
  <c r="G714" i="3"/>
  <c r="A715" i="3" s="1"/>
  <c r="F714" i="3"/>
  <c r="E714" i="3"/>
  <c r="D714" i="3"/>
  <c r="C714" i="3"/>
  <c r="B714" i="3"/>
  <c r="H715" i="3" l="1"/>
  <c r="G715" i="3"/>
  <c r="A716" i="3" s="1"/>
  <c r="F715" i="3"/>
  <c r="E715" i="3"/>
  <c r="D715" i="3"/>
  <c r="C715" i="3"/>
  <c r="B715" i="3"/>
  <c r="H716" i="3" l="1"/>
  <c r="G716" i="3"/>
  <c r="A717" i="3" s="1"/>
  <c r="B716" i="3"/>
  <c r="F716" i="3"/>
  <c r="E716" i="3"/>
  <c r="D716" i="3"/>
  <c r="C716" i="3"/>
  <c r="B717" i="3" l="1"/>
  <c r="H717" i="3"/>
  <c r="F717" i="3"/>
  <c r="E717" i="3"/>
  <c r="D717" i="3"/>
  <c r="C717" i="3"/>
  <c r="G717" i="3"/>
  <c r="A718" i="3" s="1"/>
  <c r="H718" i="3" l="1"/>
  <c r="G718" i="3"/>
  <c r="A719" i="3" s="1"/>
  <c r="F718" i="3"/>
  <c r="E718" i="3"/>
  <c r="D718" i="3"/>
  <c r="B718" i="3"/>
  <c r="C718" i="3"/>
  <c r="E719" i="3" l="1"/>
  <c r="C719" i="3"/>
  <c r="B719" i="3"/>
  <c r="H719" i="3"/>
  <c r="G719" i="3"/>
  <c r="A720" i="3" s="1"/>
  <c r="F719" i="3"/>
  <c r="D719" i="3"/>
  <c r="F720" i="3" l="1"/>
  <c r="E720" i="3"/>
  <c r="D720" i="3"/>
  <c r="C720" i="3"/>
  <c r="B720" i="3"/>
  <c r="H720" i="3"/>
  <c r="G720" i="3"/>
  <c r="A721" i="3" s="1"/>
  <c r="H721" i="3" l="1"/>
  <c r="G721" i="3"/>
  <c r="A722" i="3" s="1"/>
  <c r="F721" i="3"/>
  <c r="E721" i="3"/>
  <c r="D721" i="3"/>
  <c r="C721" i="3"/>
  <c r="B721" i="3"/>
  <c r="D722" i="3" l="1"/>
  <c r="H722" i="3"/>
  <c r="G722" i="3"/>
  <c r="A723" i="3" s="1"/>
  <c r="F722" i="3"/>
  <c r="C722" i="3"/>
  <c r="B722" i="3"/>
  <c r="E722" i="3"/>
  <c r="H723" i="3" l="1"/>
  <c r="E723" i="3"/>
  <c r="D723" i="3"/>
  <c r="C723" i="3"/>
  <c r="B723" i="3"/>
  <c r="G723" i="3"/>
  <c r="A724" i="3" s="1"/>
  <c r="F723" i="3"/>
  <c r="H724" i="3" l="1"/>
  <c r="G724" i="3"/>
  <c r="A725" i="3" s="1"/>
  <c r="F724" i="3"/>
  <c r="E724" i="3"/>
  <c r="B724" i="3"/>
  <c r="C724" i="3"/>
  <c r="D724" i="3"/>
  <c r="H725" i="3" l="1"/>
  <c r="C725" i="3"/>
  <c r="B725" i="3"/>
  <c r="G725" i="3"/>
  <c r="A726" i="3" s="1"/>
  <c r="D725" i="3"/>
  <c r="F725" i="3"/>
  <c r="E725" i="3"/>
  <c r="E726" i="3" l="1"/>
  <c r="H726" i="3"/>
  <c r="F726" i="3"/>
  <c r="D726" i="3"/>
  <c r="C726" i="3"/>
  <c r="B726" i="3"/>
  <c r="G726" i="3"/>
  <c r="A727" i="3" s="1"/>
  <c r="H727" i="3" l="1"/>
  <c r="G727" i="3"/>
  <c r="A728" i="3" s="1"/>
  <c r="F727" i="3"/>
  <c r="E727" i="3"/>
  <c r="D727" i="3"/>
  <c r="B727" i="3"/>
  <c r="C727" i="3"/>
  <c r="B728" i="3" l="1"/>
  <c r="H728" i="3"/>
  <c r="C728" i="3"/>
  <c r="F728" i="3"/>
  <c r="E728" i="3"/>
  <c r="D728" i="3"/>
  <c r="G728" i="3"/>
  <c r="A729" i="3" s="1"/>
  <c r="D729" i="3" l="1"/>
  <c r="E729" i="3"/>
  <c r="C729" i="3"/>
  <c r="B729" i="3"/>
  <c r="H729" i="3"/>
  <c r="G729" i="3"/>
  <c r="A730" i="3" s="1"/>
  <c r="F729" i="3"/>
  <c r="H730" i="3" l="1"/>
  <c r="G730" i="3"/>
  <c r="A731" i="3" s="1"/>
  <c r="F730" i="3"/>
  <c r="E730" i="3"/>
  <c r="D730" i="3"/>
  <c r="C730" i="3"/>
  <c r="B730" i="3"/>
  <c r="F731" i="3" l="1"/>
  <c r="E731" i="3"/>
  <c r="D731" i="3"/>
  <c r="H731" i="3"/>
  <c r="C731" i="3"/>
  <c r="B731" i="3"/>
  <c r="G731" i="3"/>
  <c r="A732" i="3" s="1"/>
  <c r="H732" i="3" l="1"/>
  <c r="B732" i="3"/>
  <c r="D732" i="3"/>
  <c r="C732" i="3"/>
  <c r="G732" i="3"/>
  <c r="A733" i="3" s="1"/>
  <c r="F732" i="3"/>
  <c r="E732" i="3"/>
  <c r="H733" i="3" l="1"/>
  <c r="G733" i="3"/>
  <c r="A734" i="3" s="1"/>
  <c r="F733" i="3"/>
  <c r="E733" i="3"/>
  <c r="D733" i="3"/>
  <c r="C733" i="3"/>
  <c r="B733" i="3"/>
  <c r="H734" i="3" l="1"/>
  <c r="C734" i="3"/>
  <c r="B734" i="3"/>
  <c r="G734" i="3"/>
  <c r="A735" i="3" s="1"/>
  <c r="F734" i="3"/>
  <c r="E734" i="3"/>
  <c r="D734" i="3"/>
  <c r="B735" i="3" l="1"/>
  <c r="G735" i="3"/>
  <c r="A736" i="3" s="1"/>
  <c r="F735" i="3"/>
  <c r="E735" i="3"/>
  <c r="D735" i="3"/>
  <c r="C735" i="3"/>
  <c r="H735" i="3"/>
  <c r="C736" i="3" l="1"/>
  <c r="H736" i="3"/>
  <c r="G736" i="3"/>
  <c r="A737" i="3" s="1"/>
  <c r="F736" i="3"/>
  <c r="E736" i="3"/>
  <c r="D736" i="3"/>
  <c r="B736" i="3"/>
  <c r="F737" i="3" l="1"/>
  <c r="H737" i="3"/>
  <c r="G737" i="3"/>
  <c r="A738" i="3" s="1"/>
  <c r="E737" i="3"/>
  <c r="D737" i="3"/>
  <c r="C737" i="3"/>
  <c r="B737" i="3"/>
  <c r="G738" i="3" l="1"/>
  <c r="A739" i="3" s="1"/>
  <c r="F738" i="3"/>
  <c r="E738" i="3"/>
  <c r="H738" i="3"/>
  <c r="D738" i="3"/>
  <c r="C738" i="3"/>
  <c r="B738" i="3"/>
  <c r="C739" i="3" l="1"/>
  <c r="H739" i="3"/>
  <c r="G739" i="3"/>
  <c r="A740" i="3" s="1"/>
  <c r="F739" i="3"/>
  <c r="E739" i="3"/>
  <c r="D739" i="3"/>
  <c r="B739" i="3"/>
  <c r="B740" i="3" l="1"/>
  <c r="F740" i="3"/>
  <c r="G740" i="3"/>
  <c r="A741" i="3" s="1"/>
  <c r="E740" i="3"/>
  <c r="D740" i="3"/>
  <c r="C740" i="3"/>
  <c r="H740" i="3"/>
  <c r="C741" i="3" l="1"/>
  <c r="D741" i="3"/>
  <c r="B741" i="3"/>
  <c r="H741" i="3"/>
  <c r="G741" i="3"/>
  <c r="A742" i="3" s="1"/>
  <c r="F741" i="3"/>
  <c r="E741" i="3"/>
  <c r="C742" i="3" l="1"/>
  <c r="H742" i="3"/>
  <c r="E742" i="3"/>
  <c r="D742" i="3"/>
  <c r="B742" i="3"/>
  <c r="G742" i="3"/>
  <c r="A743" i="3" s="1"/>
  <c r="F742" i="3"/>
  <c r="C743" i="3" l="1"/>
  <c r="B743" i="3"/>
  <c r="G743" i="3"/>
  <c r="A744" i="3" s="1"/>
  <c r="F743" i="3"/>
  <c r="E743" i="3"/>
  <c r="H743" i="3"/>
  <c r="D743" i="3"/>
  <c r="H744" i="3" l="1"/>
  <c r="C744" i="3"/>
  <c r="G744" i="3"/>
  <c r="A745" i="3" s="1"/>
  <c r="F744" i="3"/>
  <c r="E744" i="3"/>
  <c r="B744" i="3"/>
  <c r="D744" i="3"/>
  <c r="C745" i="3" l="1"/>
  <c r="H745" i="3"/>
  <c r="G745" i="3"/>
  <c r="A746" i="3" s="1"/>
  <c r="F745" i="3"/>
  <c r="E745" i="3"/>
  <c r="B745" i="3"/>
  <c r="D745" i="3"/>
  <c r="D746" i="3" l="1"/>
  <c r="C746" i="3"/>
  <c r="B746" i="3"/>
  <c r="F746" i="3"/>
  <c r="E746" i="3"/>
  <c r="G746" i="3"/>
  <c r="A747" i="3" s="1"/>
  <c r="H746" i="3"/>
  <c r="H747" i="3" l="1"/>
  <c r="G747" i="3"/>
  <c r="A748" i="3" s="1"/>
  <c r="F747" i="3"/>
  <c r="E747" i="3"/>
  <c r="D747" i="3"/>
  <c r="C747" i="3"/>
  <c r="B747" i="3"/>
  <c r="C748" i="3" l="1"/>
  <c r="F748" i="3"/>
  <c r="B748" i="3"/>
  <c r="G748" i="3"/>
  <c r="A749" i="3" s="1"/>
  <c r="E748" i="3"/>
  <c r="D748" i="3"/>
  <c r="H748" i="3"/>
  <c r="E749" i="3" l="1"/>
  <c r="D749" i="3"/>
  <c r="C749" i="3"/>
  <c r="B749" i="3"/>
  <c r="H749" i="3"/>
  <c r="G749" i="3"/>
  <c r="A750" i="3" s="1"/>
  <c r="F749" i="3"/>
  <c r="C750" i="3" l="1"/>
  <c r="B750" i="3"/>
  <c r="H750" i="3"/>
  <c r="G750" i="3"/>
  <c r="A751" i="3" s="1"/>
  <c r="F750" i="3"/>
  <c r="D750" i="3"/>
  <c r="E750" i="3"/>
  <c r="C751" i="3" l="1"/>
  <c r="G751" i="3"/>
  <c r="A752" i="3" s="1"/>
  <c r="F751" i="3"/>
  <c r="H751" i="3"/>
  <c r="E751" i="3"/>
  <c r="D751" i="3"/>
  <c r="B751" i="3"/>
  <c r="F752" i="3" l="1"/>
  <c r="E752" i="3"/>
  <c r="D752" i="3"/>
  <c r="C752" i="3"/>
  <c r="G752" i="3"/>
  <c r="A753" i="3" s="1"/>
  <c r="H752" i="3"/>
  <c r="B752" i="3"/>
  <c r="H753" i="3" l="1"/>
  <c r="G753" i="3"/>
  <c r="A754" i="3" s="1"/>
  <c r="F753" i="3"/>
  <c r="C753" i="3"/>
  <c r="B753" i="3"/>
  <c r="D753" i="3"/>
  <c r="E753" i="3"/>
  <c r="C754" i="3" l="1"/>
  <c r="H754" i="3"/>
  <c r="G754" i="3"/>
  <c r="A755" i="3" s="1"/>
  <c r="F754" i="3"/>
  <c r="E754" i="3"/>
  <c r="D754" i="3"/>
  <c r="B754" i="3"/>
  <c r="G755" i="3" l="1"/>
  <c r="A756" i="3" s="1"/>
  <c r="F755" i="3"/>
  <c r="E755" i="3"/>
  <c r="D755" i="3"/>
  <c r="H755" i="3"/>
  <c r="C755" i="3"/>
  <c r="B755" i="3"/>
  <c r="D756" i="3" l="1"/>
  <c r="B756" i="3"/>
  <c r="H756" i="3"/>
  <c r="G756" i="3"/>
  <c r="A757" i="3" s="1"/>
  <c r="F756" i="3"/>
  <c r="E756" i="3"/>
  <c r="C756" i="3"/>
  <c r="C757" i="3" l="1"/>
  <c r="F757" i="3"/>
  <c r="E757" i="3"/>
  <c r="D757" i="3"/>
  <c r="H757" i="3"/>
  <c r="G757" i="3"/>
  <c r="A758" i="3" s="1"/>
  <c r="B757" i="3"/>
  <c r="H758" i="3" l="1"/>
  <c r="G758" i="3"/>
  <c r="A759" i="3" s="1"/>
  <c r="F758" i="3"/>
  <c r="E758" i="3"/>
  <c r="B758" i="3"/>
  <c r="C758" i="3"/>
  <c r="D758" i="3"/>
  <c r="E759" i="3" l="1"/>
  <c r="D759" i="3"/>
  <c r="H759" i="3"/>
  <c r="G759" i="3"/>
  <c r="A760" i="3" s="1"/>
  <c r="F759" i="3"/>
  <c r="C759" i="3"/>
  <c r="B759" i="3"/>
  <c r="C760" i="3" l="1"/>
  <c r="G760" i="3"/>
  <c r="A761" i="3" s="1"/>
  <c r="F760" i="3"/>
  <c r="E760" i="3"/>
  <c r="B760" i="3"/>
  <c r="H760" i="3"/>
  <c r="D760" i="3"/>
  <c r="H761" i="3" l="1"/>
  <c r="G761" i="3"/>
  <c r="A762" i="3" s="1"/>
  <c r="F761" i="3"/>
  <c r="C761" i="3"/>
  <c r="B761" i="3"/>
  <c r="D761" i="3"/>
  <c r="E761" i="3"/>
  <c r="H762" i="3" l="1"/>
  <c r="G762" i="3"/>
  <c r="A763" i="3" s="1"/>
  <c r="E762" i="3"/>
  <c r="D762" i="3"/>
  <c r="C762" i="3"/>
  <c r="F762" i="3"/>
  <c r="B762" i="3"/>
  <c r="C763" i="3" l="1"/>
  <c r="G763" i="3"/>
  <c r="A764" i="3" s="1"/>
  <c r="B763" i="3"/>
  <c r="D763" i="3"/>
  <c r="F763" i="3"/>
  <c r="E763" i="3"/>
  <c r="H763" i="3"/>
  <c r="H764" i="3" l="1"/>
  <c r="G764" i="3"/>
  <c r="A765" i="3" s="1"/>
  <c r="F764" i="3"/>
  <c r="E764" i="3"/>
  <c r="D764" i="3"/>
  <c r="C764" i="3"/>
  <c r="B764" i="3"/>
  <c r="B765" i="3" l="1"/>
  <c r="D765" i="3"/>
  <c r="C765" i="3"/>
  <c r="H765" i="3"/>
  <c r="G765" i="3"/>
  <c r="A766" i="3" s="1"/>
  <c r="E765" i="3"/>
  <c r="F765" i="3"/>
  <c r="C766" i="3" l="1"/>
  <c r="H766" i="3"/>
  <c r="G766" i="3"/>
  <c r="A767" i="3" s="1"/>
  <c r="F766" i="3"/>
  <c r="E766" i="3"/>
  <c r="D766" i="3"/>
  <c r="B766" i="3"/>
  <c r="H767" i="3" l="1"/>
  <c r="D767" i="3"/>
  <c r="G767" i="3"/>
  <c r="A768" i="3" s="1"/>
  <c r="F767" i="3"/>
  <c r="C767" i="3"/>
  <c r="B767" i="3"/>
  <c r="E767" i="3"/>
  <c r="C768" i="3" l="1"/>
  <c r="B768" i="3"/>
  <c r="H768" i="3"/>
  <c r="G768" i="3"/>
  <c r="A769" i="3" s="1"/>
  <c r="D768" i="3"/>
  <c r="F768" i="3"/>
  <c r="E768" i="3"/>
  <c r="C769" i="3" l="1"/>
  <c r="H769" i="3"/>
  <c r="G769" i="3"/>
  <c r="A770" i="3" s="1"/>
  <c r="F769" i="3"/>
  <c r="E769" i="3"/>
  <c r="D769" i="3"/>
  <c r="B769" i="3"/>
  <c r="E770" i="3" l="1"/>
  <c r="D770" i="3"/>
  <c r="G770" i="3"/>
  <c r="A771" i="3" s="1"/>
  <c r="F770" i="3"/>
  <c r="C770" i="3"/>
  <c r="H770" i="3"/>
  <c r="B770" i="3"/>
  <c r="D771" i="3" l="1"/>
  <c r="C771" i="3"/>
  <c r="B771" i="3"/>
  <c r="E771" i="3"/>
  <c r="H771" i="3"/>
  <c r="G771" i="3"/>
  <c r="A772" i="3" s="1"/>
  <c r="F771" i="3"/>
  <c r="C772" i="3" l="1"/>
  <c r="G772" i="3"/>
  <c r="A773" i="3" s="1"/>
  <c r="F772" i="3"/>
  <c r="E772" i="3"/>
  <c r="H772" i="3"/>
  <c r="D772" i="3"/>
  <c r="B772" i="3"/>
  <c r="H773" i="3" l="1"/>
  <c r="C773" i="3"/>
  <c r="B773" i="3"/>
  <c r="G773" i="3"/>
  <c r="A774" i="3" s="1"/>
  <c r="F773" i="3"/>
  <c r="E773" i="3"/>
  <c r="D773" i="3"/>
  <c r="E774" i="3" l="1"/>
  <c r="D774" i="3"/>
  <c r="C774" i="3"/>
  <c r="B774" i="3"/>
  <c r="F774" i="3"/>
  <c r="H774" i="3"/>
  <c r="G774" i="3"/>
  <c r="A775" i="3" s="1"/>
  <c r="C775" i="3" l="1"/>
  <c r="B775" i="3"/>
  <c r="H775" i="3"/>
  <c r="G775" i="3"/>
  <c r="A776" i="3" s="1"/>
  <c r="F775" i="3"/>
  <c r="D775" i="3"/>
  <c r="E775" i="3"/>
  <c r="D776" i="3" l="1"/>
  <c r="C776" i="3"/>
  <c r="B776" i="3"/>
  <c r="H776" i="3"/>
  <c r="G776" i="3"/>
  <c r="A777" i="3" s="1"/>
  <c r="F776" i="3"/>
  <c r="E776" i="3"/>
  <c r="F777" i="3" l="1"/>
  <c r="E777" i="3"/>
  <c r="D777" i="3"/>
  <c r="C777" i="3"/>
  <c r="H777" i="3"/>
  <c r="B777" i="3"/>
  <c r="G777" i="3"/>
  <c r="A778" i="3" s="1"/>
  <c r="C778" i="3" l="1"/>
  <c r="H778" i="3"/>
  <c r="D778" i="3"/>
  <c r="B778" i="3"/>
  <c r="E778" i="3"/>
  <c r="G778" i="3"/>
  <c r="A779" i="3" s="1"/>
  <c r="F778" i="3"/>
  <c r="H779" i="3" l="1"/>
  <c r="G779" i="3"/>
  <c r="A780" i="3" s="1"/>
  <c r="B779" i="3"/>
  <c r="F779" i="3"/>
  <c r="E779" i="3"/>
  <c r="D779" i="3"/>
  <c r="C779" i="3"/>
  <c r="G780" i="3" l="1"/>
  <c r="A781" i="3" s="1"/>
  <c r="F780" i="3"/>
  <c r="E780" i="3"/>
  <c r="D780" i="3"/>
  <c r="C780" i="3"/>
  <c r="B780" i="3"/>
  <c r="H780" i="3"/>
  <c r="C781" i="3" l="1"/>
  <c r="H781" i="3"/>
  <c r="D781" i="3"/>
  <c r="B781" i="3"/>
  <c r="G781" i="3"/>
  <c r="A782" i="3" s="1"/>
  <c r="F781" i="3"/>
  <c r="E781" i="3"/>
  <c r="H782" i="3" l="1"/>
  <c r="G782" i="3"/>
  <c r="A783" i="3" s="1"/>
  <c r="E782" i="3"/>
  <c r="D782" i="3"/>
  <c r="C782" i="3"/>
  <c r="B782" i="3"/>
  <c r="F782" i="3"/>
  <c r="H783" i="3" l="1"/>
  <c r="G783" i="3"/>
  <c r="A784" i="3" s="1"/>
  <c r="F783" i="3"/>
  <c r="E783" i="3"/>
  <c r="D783" i="3"/>
  <c r="C783" i="3"/>
  <c r="B783" i="3"/>
  <c r="C784" i="3" l="1"/>
  <c r="B784" i="3"/>
  <c r="D784" i="3"/>
  <c r="H784" i="3"/>
  <c r="G784" i="3"/>
  <c r="A785" i="3" s="1"/>
  <c r="F784" i="3"/>
  <c r="E784" i="3"/>
  <c r="F785" i="3" l="1"/>
  <c r="E785" i="3"/>
  <c r="G785" i="3"/>
  <c r="A786" i="3" s="1"/>
  <c r="D785" i="3"/>
  <c r="C785" i="3"/>
  <c r="B785" i="3"/>
  <c r="H785" i="3"/>
  <c r="H786" i="3" l="1"/>
  <c r="G786" i="3"/>
  <c r="A787" i="3" s="1"/>
  <c r="F786" i="3"/>
  <c r="E786" i="3"/>
  <c r="D786" i="3"/>
  <c r="B786" i="3"/>
  <c r="C786" i="3"/>
  <c r="C787" i="3" l="1"/>
  <c r="H787" i="3"/>
  <c r="G787" i="3"/>
  <c r="A788" i="3" s="1"/>
  <c r="F787" i="3"/>
  <c r="B787" i="3"/>
  <c r="E787" i="3"/>
  <c r="D787" i="3"/>
  <c r="H788" i="3" l="1"/>
  <c r="G788" i="3"/>
  <c r="A789" i="3" s="1"/>
  <c r="F788" i="3"/>
  <c r="E788" i="3"/>
  <c r="D788" i="3"/>
  <c r="C788" i="3"/>
  <c r="B788" i="3"/>
  <c r="H789" i="3" l="1"/>
  <c r="G789" i="3"/>
  <c r="A790" i="3" s="1"/>
  <c r="C789" i="3"/>
  <c r="B789" i="3"/>
  <c r="F789" i="3"/>
  <c r="E789" i="3"/>
  <c r="D789" i="3"/>
  <c r="C790" i="3" l="1"/>
  <c r="B790" i="3"/>
  <c r="G790" i="3"/>
  <c r="A791" i="3" s="1"/>
  <c r="F790" i="3"/>
  <c r="D790" i="3"/>
  <c r="H790" i="3"/>
  <c r="E790" i="3"/>
  <c r="E791" i="3" l="1"/>
  <c r="D791" i="3"/>
  <c r="C791" i="3"/>
  <c r="G791" i="3"/>
  <c r="A792" i="3" s="1"/>
  <c r="F791" i="3"/>
  <c r="B791" i="3"/>
  <c r="H791" i="3"/>
  <c r="H792" i="3" l="1"/>
  <c r="G792" i="3"/>
  <c r="A793" i="3" s="1"/>
  <c r="C792" i="3"/>
  <c r="B792" i="3"/>
  <c r="D792" i="3"/>
  <c r="F792" i="3"/>
  <c r="E792" i="3"/>
  <c r="C793" i="3" l="1"/>
  <c r="D793" i="3"/>
  <c r="B793" i="3"/>
  <c r="E793" i="3"/>
  <c r="H793" i="3"/>
  <c r="G793" i="3"/>
  <c r="A794" i="3" s="1"/>
  <c r="F793" i="3"/>
  <c r="H794" i="3" l="1"/>
  <c r="D794" i="3"/>
  <c r="C794" i="3"/>
  <c r="G794" i="3"/>
  <c r="A795" i="3" s="1"/>
  <c r="F794" i="3"/>
  <c r="E794" i="3"/>
  <c r="B794" i="3"/>
  <c r="B795" i="3" l="1"/>
  <c r="H795" i="3"/>
  <c r="C795" i="3"/>
  <c r="G795" i="3"/>
  <c r="A796" i="3" s="1"/>
  <c r="F795" i="3"/>
  <c r="E795" i="3"/>
  <c r="D795" i="3"/>
  <c r="C796" i="3" l="1"/>
  <c r="E796" i="3"/>
  <c r="D796" i="3"/>
  <c r="B796" i="3"/>
  <c r="H796" i="3"/>
  <c r="G796" i="3"/>
  <c r="A797" i="3" s="1"/>
  <c r="F796" i="3"/>
  <c r="D797" i="3" l="1"/>
  <c r="G797" i="3"/>
  <c r="A798" i="3" s="1"/>
  <c r="B797" i="3"/>
  <c r="H797" i="3"/>
  <c r="F797" i="3"/>
  <c r="C797" i="3"/>
  <c r="E797" i="3"/>
  <c r="H798" i="3" l="1"/>
  <c r="G798" i="3"/>
  <c r="A799" i="3" s="1"/>
  <c r="F798" i="3"/>
  <c r="B798" i="3"/>
  <c r="C798" i="3"/>
  <c r="D798" i="3"/>
  <c r="E798" i="3"/>
  <c r="D799" i="3" l="1"/>
  <c r="G799" i="3"/>
  <c r="A800" i="3" s="1"/>
  <c r="F799" i="3"/>
  <c r="E799" i="3"/>
  <c r="C799" i="3"/>
  <c r="H799" i="3"/>
  <c r="B799" i="3"/>
  <c r="D800" i="3" l="1"/>
  <c r="H800" i="3"/>
  <c r="G800" i="3"/>
  <c r="A801" i="3" s="1"/>
  <c r="F800" i="3"/>
  <c r="E800" i="3"/>
  <c r="B800" i="3"/>
  <c r="C800" i="3"/>
  <c r="H801" i="3" l="1"/>
  <c r="G801" i="3"/>
  <c r="A802" i="3" s="1"/>
  <c r="E801" i="3"/>
  <c r="F801" i="3"/>
  <c r="D801" i="3"/>
  <c r="C801" i="3"/>
  <c r="B801" i="3"/>
  <c r="E802" i="3" l="1"/>
  <c r="H802" i="3"/>
  <c r="G802" i="3"/>
  <c r="A803" i="3" s="1"/>
  <c r="F802" i="3"/>
  <c r="D802" i="3"/>
  <c r="C802" i="3"/>
  <c r="B802" i="3"/>
  <c r="D803" i="3" l="1"/>
  <c r="C803" i="3"/>
  <c r="B803" i="3"/>
  <c r="H803" i="3"/>
  <c r="F803" i="3"/>
  <c r="E803" i="3"/>
  <c r="G803" i="3"/>
  <c r="A804" i="3" s="1"/>
  <c r="G804" i="3" l="1"/>
  <c r="A805" i="3" s="1"/>
  <c r="F804" i="3"/>
  <c r="B804" i="3"/>
  <c r="H804" i="3"/>
  <c r="D804" i="3"/>
  <c r="C804" i="3"/>
  <c r="E804" i="3"/>
  <c r="F805" i="3" l="1"/>
  <c r="H805" i="3"/>
  <c r="G805" i="3"/>
  <c r="A806" i="3" s="1"/>
  <c r="E805" i="3"/>
  <c r="C805" i="3"/>
  <c r="D805" i="3"/>
  <c r="B805" i="3"/>
  <c r="D806" i="3" l="1"/>
  <c r="C806" i="3"/>
  <c r="B806" i="3"/>
  <c r="H806" i="3"/>
  <c r="G806" i="3"/>
  <c r="A807" i="3" s="1"/>
  <c r="F806" i="3"/>
  <c r="E806" i="3"/>
  <c r="B807" i="3" l="1"/>
  <c r="H807" i="3"/>
  <c r="C807" i="3"/>
  <c r="G807" i="3"/>
  <c r="A808" i="3" s="1"/>
  <c r="F807" i="3"/>
  <c r="E807" i="3"/>
  <c r="D807" i="3"/>
  <c r="G808" i="3" l="1"/>
  <c r="A809" i="3" s="1"/>
  <c r="E808" i="3"/>
  <c r="F808" i="3"/>
  <c r="D808" i="3"/>
  <c r="H808" i="3"/>
  <c r="C808" i="3"/>
  <c r="B808" i="3"/>
  <c r="D809" i="3" l="1"/>
  <c r="G809" i="3"/>
  <c r="A810" i="3" s="1"/>
  <c r="F809" i="3"/>
  <c r="E809" i="3"/>
  <c r="C809" i="3"/>
  <c r="H809" i="3"/>
  <c r="B809" i="3"/>
  <c r="H810" i="3" l="1"/>
  <c r="G810" i="3"/>
  <c r="A811" i="3" s="1"/>
  <c r="C810" i="3"/>
  <c r="B810" i="3"/>
  <c r="D810" i="3"/>
  <c r="F810" i="3"/>
  <c r="E810" i="3"/>
  <c r="H811" i="3" l="1"/>
  <c r="F811" i="3"/>
  <c r="G811" i="3"/>
  <c r="A812" i="3" s="1"/>
  <c r="E811" i="3"/>
  <c r="D811" i="3"/>
  <c r="C811" i="3"/>
  <c r="B811" i="3"/>
  <c r="D812" i="3" l="1"/>
  <c r="H812" i="3"/>
  <c r="G812" i="3"/>
  <c r="A813" i="3" s="1"/>
  <c r="F812" i="3"/>
  <c r="E812" i="3"/>
  <c r="C812" i="3"/>
  <c r="B812" i="3"/>
  <c r="B813" i="3" l="1"/>
  <c r="G813" i="3"/>
  <c r="A814" i="3" s="1"/>
  <c r="C813" i="3"/>
  <c r="E813" i="3"/>
  <c r="D813" i="3"/>
  <c r="H813" i="3"/>
  <c r="F813" i="3"/>
  <c r="G814" i="3" l="1"/>
  <c r="A815" i="3" s="1"/>
  <c r="H814" i="3"/>
  <c r="F814" i="3"/>
  <c r="B814" i="3"/>
  <c r="E814" i="3"/>
  <c r="D814" i="3"/>
  <c r="C814" i="3"/>
  <c r="D815" i="3" l="1"/>
  <c r="B815" i="3"/>
  <c r="H815" i="3"/>
  <c r="G815" i="3"/>
  <c r="A816" i="3" s="1"/>
  <c r="E815" i="3"/>
  <c r="C815" i="3"/>
  <c r="F815" i="3"/>
  <c r="E816" i="3" l="1"/>
  <c r="D816" i="3"/>
  <c r="C816" i="3"/>
  <c r="B816" i="3"/>
  <c r="H816" i="3"/>
  <c r="G816" i="3"/>
  <c r="A817" i="3" s="1"/>
  <c r="F816" i="3"/>
  <c r="H817" i="3" l="1"/>
  <c r="F817" i="3"/>
  <c r="B817" i="3"/>
  <c r="G817" i="3"/>
  <c r="A818" i="3" s="1"/>
  <c r="E817" i="3"/>
  <c r="D817" i="3"/>
  <c r="C817" i="3"/>
  <c r="D818" i="3" l="1"/>
  <c r="B818" i="3"/>
  <c r="H818" i="3"/>
  <c r="C818" i="3"/>
  <c r="G818" i="3"/>
  <c r="A819" i="3" s="1"/>
  <c r="F818" i="3"/>
  <c r="E818" i="3"/>
  <c r="H819" i="3" l="1"/>
  <c r="G819" i="3"/>
  <c r="A820" i="3" s="1"/>
  <c r="F819" i="3"/>
  <c r="E819" i="3"/>
  <c r="B819" i="3"/>
  <c r="C819" i="3"/>
  <c r="D819" i="3"/>
  <c r="H820" i="3" l="1"/>
  <c r="G820" i="3"/>
  <c r="A821" i="3" s="1"/>
  <c r="F820" i="3"/>
  <c r="E820" i="3"/>
  <c r="D820" i="3"/>
  <c r="C820" i="3"/>
  <c r="B820" i="3"/>
  <c r="D821" i="3" l="1"/>
  <c r="C821" i="3"/>
  <c r="E821" i="3"/>
  <c r="B821" i="3"/>
  <c r="H821" i="3"/>
  <c r="F821" i="3"/>
  <c r="G821" i="3"/>
  <c r="A822" i="3" s="1"/>
  <c r="H822" i="3" l="1"/>
  <c r="D822" i="3"/>
  <c r="C822" i="3"/>
  <c r="E822" i="3"/>
  <c r="B822" i="3"/>
  <c r="G822" i="3"/>
  <c r="A823" i="3" s="1"/>
  <c r="F822" i="3"/>
  <c r="C823" i="3" l="1"/>
  <c r="B823" i="3"/>
  <c r="F823" i="3"/>
  <c r="E823" i="3"/>
  <c r="D823" i="3"/>
  <c r="H823" i="3"/>
  <c r="G823" i="3"/>
  <c r="A824" i="3" s="1"/>
  <c r="D824" i="3" l="1"/>
  <c r="E824" i="3"/>
  <c r="B824" i="3"/>
  <c r="H824" i="3"/>
  <c r="G824" i="3"/>
  <c r="A825" i="3" s="1"/>
  <c r="F824" i="3"/>
  <c r="C824" i="3"/>
  <c r="E825" i="3" l="1"/>
  <c r="D825" i="3"/>
  <c r="C825" i="3"/>
  <c r="B825" i="3"/>
  <c r="H825" i="3"/>
  <c r="G825" i="3"/>
  <c r="A826" i="3" s="1"/>
  <c r="F825" i="3"/>
  <c r="F826" i="3" l="1"/>
  <c r="E826" i="3"/>
  <c r="D826" i="3"/>
  <c r="C826" i="3"/>
  <c r="H826" i="3"/>
  <c r="G826" i="3"/>
  <c r="A827" i="3" s="1"/>
  <c r="B826" i="3"/>
  <c r="D827" i="3" l="1"/>
  <c r="F827" i="3"/>
  <c r="C827" i="3"/>
  <c r="H827" i="3"/>
  <c r="G827" i="3"/>
  <c r="A828" i="3" s="1"/>
  <c r="E827" i="3"/>
  <c r="B827" i="3"/>
  <c r="C828" i="3" l="1"/>
  <c r="H828" i="3"/>
  <c r="G828" i="3"/>
  <c r="A829" i="3" s="1"/>
  <c r="F828" i="3"/>
  <c r="D828" i="3"/>
  <c r="B828" i="3"/>
  <c r="E828" i="3"/>
  <c r="H829" i="3" l="1"/>
  <c r="G829" i="3"/>
  <c r="A830" i="3" s="1"/>
  <c r="F829" i="3"/>
  <c r="E829" i="3"/>
  <c r="D829" i="3"/>
  <c r="C829" i="3"/>
  <c r="B829" i="3"/>
  <c r="D830" i="3" l="1"/>
  <c r="G830" i="3"/>
  <c r="A831" i="3" s="1"/>
  <c r="E830" i="3"/>
  <c r="H830" i="3"/>
  <c r="F830" i="3"/>
  <c r="C830" i="3"/>
  <c r="B830" i="3"/>
  <c r="F831" i="3" l="1"/>
  <c r="H831" i="3"/>
  <c r="C831" i="3"/>
  <c r="B831" i="3"/>
  <c r="G831" i="3"/>
  <c r="A832" i="3" s="1"/>
  <c r="E831" i="3"/>
  <c r="D831" i="3"/>
  <c r="B832" i="3" l="1"/>
  <c r="D832" i="3"/>
  <c r="C832" i="3"/>
  <c r="H832" i="3"/>
  <c r="G832" i="3"/>
  <c r="A833" i="3" s="1"/>
  <c r="F832" i="3"/>
  <c r="E832" i="3"/>
  <c r="D833" i="3" l="1"/>
  <c r="H833" i="3"/>
  <c r="F833" i="3"/>
  <c r="E833" i="3"/>
  <c r="C833" i="3"/>
  <c r="B833" i="3"/>
  <c r="G833" i="3"/>
  <c r="A834" i="3" s="1"/>
  <c r="H834" i="3" l="1"/>
  <c r="D834" i="3"/>
  <c r="C834" i="3"/>
  <c r="G834" i="3"/>
  <c r="A835" i="3" s="1"/>
  <c r="F834" i="3"/>
  <c r="E834" i="3"/>
  <c r="B834" i="3"/>
  <c r="H835" i="3" l="1"/>
  <c r="D835" i="3"/>
  <c r="C835" i="3"/>
  <c r="G835" i="3"/>
  <c r="A836" i="3" s="1"/>
  <c r="F835" i="3"/>
  <c r="E835" i="3"/>
  <c r="B835" i="3"/>
  <c r="D836" i="3" l="1"/>
  <c r="G836" i="3"/>
  <c r="A837" i="3" s="1"/>
  <c r="H836" i="3"/>
  <c r="F836" i="3"/>
  <c r="E836" i="3"/>
  <c r="B836" i="3"/>
  <c r="C836" i="3"/>
  <c r="B837" i="3" l="1"/>
  <c r="H837" i="3"/>
  <c r="G837" i="3"/>
  <c r="A838" i="3" s="1"/>
  <c r="F837" i="3"/>
  <c r="E837" i="3"/>
  <c r="D837" i="3"/>
  <c r="C837" i="3"/>
  <c r="D838" i="3" l="1"/>
  <c r="E838" i="3"/>
  <c r="C838" i="3"/>
  <c r="H838" i="3"/>
  <c r="G838" i="3"/>
  <c r="A839" i="3" s="1"/>
  <c r="F838" i="3"/>
  <c r="B838" i="3"/>
  <c r="D839" i="3" l="1"/>
  <c r="H839" i="3"/>
  <c r="F839" i="3"/>
  <c r="E839" i="3"/>
  <c r="C839" i="3"/>
  <c r="B839" i="3"/>
  <c r="G839" i="3"/>
  <c r="A840" i="3" s="1"/>
  <c r="B840" i="3" l="1"/>
  <c r="E840" i="3"/>
  <c r="D840" i="3"/>
  <c r="C840" i="3"/>
  <c r="H840" i="3"/>
  <c r="G840" i="3"/>
  <c r="A841" i="3" s="1"/>
  <c r="F840" i="3"/>
  <c r="G841" i="3" l="1"/>
  <c r="A842" i="3" s="1"/>
  <c r="H841" i="3"/>
  <c r="F841" i="3"/>
  <c r="E841" i="3"/>
  <c r="D841" i="3"/>
  <c r="C841" i="3"/>
  <c r="B841" i="3"/>
  <c r="D842" i="3" l="1"/>
  <c r="F842" i="3"/>
  <c r="E842" i="3"/>
  <c r="B842" i="3"/>
  <c r="H842" i="3"/>
  <c r="G842" i="3"/>
  <c r="A843" i="3" s="1"/>
  <c r="C842" i="3"/>
  <c r="C843" i="3" l="1"/>
  <c r="H843" i="3"/>
  <c r="G843" i="3"/>
  <c r="A844" i="3" s="1"/>
  <c r="F843" i="3"/>
  <c r="E843" i="3"/>
  <c r="D843" i="3"/>
  <c r="B843" i="3"/>
  <c r="H844" i="3" l="1"/>
  <c r="G844" i="3"/>
  <c r="A845" i="3" s="1"/>
  <c r="F844" i="3"/>
  <c r="D844" i="3"/>
  <c r="C844" i="3"/>
  <c r="B844" i="3"/>
  <c r="E844" i="3"/>
  <c r="D845" i="3" l="1"/>
  <c r="B845" i="3"/>
  <c r="E845" i="3"/>
  <c r="C845" i="3"/>
  <c r="H845" i="3"/>
  <c r="G845" i="3"/>
  <c r="A846" i="3" s="1"/>
  <c r="F845" i="3"/>
  <c r="D846" i="3" l="1"/>
  <c r="B846" i="3"/>
  <c r="H846" i="3"/>
  <c r="G846" i="3"/>
  <c r="A847" i="3" s="1"/>
  <c r="E846" i="3"/>
  <c r="C846" i="3"/>
  <c r="F846" i="3"/>
  <c r="C847" i="3" l="1"/>
  <c r="B847" i="3"/>
  <c r="H847" i="3"/>
  <c r="D847" i="3"/>
  <c r="E847" i="3"/>
  <c r="G847" i="3"/>
  <c r="A848" i="3" s="1"/>
  <c r="F847" i="3"/>
  <c r="D848" i="3" l="1"/>
  <c r="F848" i="3"/>
  <c r="H848" i="3"/>
  <c r="E848" i="3"/>
  <c r="C848" i="3"/>
  <c r="B848" i="3"/>
  <c r="G848" i="3"/>
  <c r="A849" i="3" s="1"/>
  <c r="E849" i="3" l="1"/>
  <c r="C849" i="3"/>
  <c r="D849" i="3"/>
  <c r="B849" i="3"/>
  <c r="G849" i="3"/>
  <c r="A850" i="3" s="1"/>
  <c r="F849" i="3"/>
  <c r="H849" i="3"/>
  <c r="F850" i="3" l="1"/>
  <c r="E850" i="3"/>
  <c r="D850" i="3"/>
  <c r="C850" i="3"/>
  <c r="H850" i="3"/>
  <c r="G850" i="3"/>
  <c r="A851" i="3" s="1"/>
  <c r="B850" i="3"/>
  <c r="D851" i="3" l="1"/>
  <c r="E851" i="3"/>
  <c r="C851" i="3"/>
  <c r="H851" i="3"/>
  <c r="G851" i="3"/>
  <c r="A852" i="3" s="1"/>
  <c r="F851" i="3"/>
  <c r="B851" i="3"/>
  <c r="F852" i="3" l="1"/>
  <c r="D852" i="3"/>
  <c r="H852" i="3"/>
  <c r="G852" i="3"/>
  <c r="A853" i="3" s="1"/>
  <c r="E852" i="3"/>
  <c r="C852" i="3"/>
  <c r="B852" i="3"/>
  <c r="H853" i="3" l="1"/>
  <c r="G853" i="3"/>
  <c r="A854" i="3" s="1"/>
  <c r="F853" i="3"/>
  <c r="E853" i="3"/>
  <c r="D853" i="3"/>
  <c r="C853" i="3"/>
  <c r="B853" i="3"/>
  <c r="D854" i="3" l="1"/>
  <c r="F854" i="3"/>
  <c r="E854" i="3"/>
  <c r="C854" i="3"/>
  <c r="H854" i="3"/>
  <c r="G854" i="3"/>
  <c r="A855" i="3" s="1"/>
  <c r="B854" i="3"/>
  <c r="G855" i="3" l="1"/>
  <c r="A856" i="3" s="1"/>
  <c r="E855" i="3"/>
  <c r="D855" i="3"/>
  <c r="H855" i="3"/>
  <c r="F855" i="3"/>
  <c r="B855" i="3"/>
  <c r="C855" i="3"/>
  <c r="H856" i="3" l="1"/>
  <c r="G856" i="3"/>
  <c r="A857" i="3" s="1"/>
  <c r="F856" i="3"/>
  <c r="E856" i="3"/>
  <c r="D856" i="3"/>
  <c r="C856" i="3"/>
  <c r="B856" i="3"/>
  <c r="D857" i="3" l="1"/>
  <c r="E857" i="3"/>
  <c r="C857" i="3"/>
  <c r="B857" i="3"/>
  <c r="H857" i="3"/>
  <c r="G857" i="3"/>
  <c r="A858" i="3" s="1"/>
  <c r="F857" i="3"/>
  <c r="H858" i="3" l="1"/>
  <c r="F858" i="3"/>
  <c r="B858" i="3"/>
  <c r="G858" i="3"/>
  <c r="A859" i="3" s="1"/>
  <c r="E858" i="3"/>
  <c r="D858" i="3"/>
  <c r="C858" i="3"/>
  <c r="H859" i="3" l="1"/>
  <c r="G859" i="3"/>
  <c r="A860" i="3" s="1"/>
  <c r="E859" i="3"/>
  <c r="D859" i="3"/>
  <c r="F859" i="3"/>
  <c r="C859" i="3"/>
  <c r="B859" i="3"/>
  <c r="D860" i="3" l="1"/>
  <c r="H860" i="3"/>
  <c r="G860" i="3"/>
  <c r="A861" i="3" s="1"/>
  <c r="F860" i="3"/>
  <c r="E860" i="3"/>
  <c r="C860" i="3"/>
  <c r="B860" i="3"/>
  <c r="G861" i="3" l="1"/>
  <c r="A862" i="3" s="1"/>
  <c r="H861" i="3"/>
  <c r="E861" i="3"/>
  <c r="D861" i="3"/>
  <c r="C861" i="3"/>
  <c r="B861" i="3"/>
  <c r="F861" i="3"/>
  <c r="D862" i="3" l="1"/>
  <c r="E862" i="3"/>
  <c r="C862" i="3"/>
  <c r="B862" i="3"/>
  <c r="G862" i="3"/>
  <c r="A863" i="3" s="1"/>
  <c r="F862" i="3"/>
  <c r="H862" i="3"/>
  <c r="D863" i="3" l="1"/>
  <c r="H863" i="3"/>
  <c r="F863" i="3"/>
  <c r="E863" i="3"/>
  <c r="C863" i="3"/>
  <c r="B863" i="3"/>
  <c r="G863" i="3"/>
  <c r="A864" i="3" s="1"/>
  <c r="H864" i="3" l="1"/>
  <c r="C864" i="3"/>
  <c r="B864" i="3"/>
  <c r="E864" i="3"/>
  <c r="D864" i="3"/>
  <c r="G864" i="3"/>
  <c r="A865" i="3" s="1"/>
  <c r="F864" i="3"/>
  <c r="B865" i="3" l="1"/>
  <c r="G865" i="3"/>
  <c r="A866" i="3" s="1"/>
  <c r="H865" i="3"/>
  <c r="F865" i="3"/>
  <c r="E865" i="3"/>
  <c r="D865" i="3"/>
  <c r="C865" i="3"/>
  <c r="D866" i="3" l="1"/>
  <c r="F866" i="3"/>
  <c r="E866" i="3"/>
  <c r="C866" i="3"/>
  <c r="B866" i="3"/>
  <c r="H866" i="3"/>
  <c r="G866" i="3"/>
  <c r="A867" i="3" s="1"/>
  <c r="G867" i="3" l="1"/>
  <c r="A868" i="3" s="1"/>
  <c r="F867" i="3"/>
  <c r="E867" i="3"/>
  <c r="D867" i="3"/>
  <c r="C867" i="3"/>
  <c r="H867" i="3"/>
  <c r="B867" i="3"/>
  <c r="C868" i="3" l="1"/>
  <c r="H868" i="3"/>
  <c r="G868" i="3"/>
  <c r="A869" i="3" s="1"/>
  <c r="E868" i="3"/>
  <c r="D868" i="3"/>
  <c r="B868" i="3"/>
  <c r="F868" i="3"/>
  <c r="D869" i="3" l="1"/>
  <c r="C869" i="3"/>
  <c r="H869" i="3"/>
  <c r="G869" i="3"/>
  <c r="A870" i="3" s="1"/>
  <c r="F869" i="3"/>
  <c r="E869" i="3"/>
  <c r="B869" i="3"/>
  <c r="H870" i="3" l="1"/>
  <c r="G870" i="3"/>
  <c r="A871" i="3" s="1"/>
  <c r="F870" i="3"/>
  <c r="E870" i="3"/>
  <c r="D870" i="3"/>
  <c r="B870" i="3"/>
  <c r="C870" i="3"/>
  <c r="D871" i="3" l="1"/>
  <c r="B871" i="3"/>
  <c r="E871" i="3"/>
  <c r="C871" i="3"/>
  <c r="F871" i="3"/>
  <c r="H871" i="3"/>
  <c r="G871" i="3"/>
  <c r="A872" i="3" s="1"/>
  <c r="D872" i="3" l="1"/>
  <c r="H872" i="3"/>
  <c r="G872" i="3"/>
  <c r="A873" i="3" s="1"/>
  <c r="F872" i="3"/>
  <c r="E872" i="3"/>
  <c r="B872" i="3"/>
  <c r="C872" i="3"/>
  <c r="H873" i="3" l="1"/>
  <c r="G873" i="3"/>
  <c r="A874" i="3" s="1"/>
  <c r="C873" i="3"/>
  <c r="B873" i="3"/>
  <c r="D873" i="3"/>
  <c r="F873" i="3"/>
  <c r="E873" i="3"/>
  <c r="E874" i="3" l="1"/>
  <c r="C874" i="3"/>
  <c r="H874" i="3"/>
  <c r="G874" i="3"/>
  <c r="A875" i="3" s="1"/>
  <c r="F874" i="3"/>
  <c r="D874" i="3"/>
  <c r="B874" i="3"/>
  <c r="D875" i="3" l="1"/>
  <c r="H875" i="3"/>
  <c r="G875" i="3"/>
  <c r="A876" i="3" s="1"/>
  <c r="F875" i="3"/>
  <c r="E875" i="3"/>
  <c r="B875" i="3"/>
  <c r="C875" i="3"/>
  <c r="D876" i="3" l="1"/>
  <c r="H876" i="3"/>
  <c r="G876" i="3"/>
  <c r="A877" i="3" s="1"/>
  <c r="F876" i="3"/>
  <c r="E876" i="3"/>
  <c r="C876" i="3"/>
  <c r="B876" i="3"/>
  <c r="F877" i="3" l="1"/>
  <c r="D877" i="3"/>
  <c r="B877" i="3"/>
  <c r="G877" i="3"/>
  <c r="A878" i="3" s="1"/>
  <c r="E877" i="3"/>
  <c r="H877" i="3"/>
  <c r="C877" i="3"/>
  <c r="D878" i="3" l="1"/>
  <c r="F878" i="3"/>
  <c r="E878" i="3"/>
  <c r="C878" i="3"/>
  <c r="B878" i="3"/>
  <c r="H878" i="3"/>
  <c r="G878" i="3"/>
  <c r="A879" i="3" s="1"/>
  <c r="H879" i="3" l="1"/>
  <c r="G879" i="3"/>
  <c r="A880" i="3" s="1"/>
  <c r="F879" i="3"/>
  <c r="D879" i="3"/>
  <c r="C879" i="3"/>
  <c r="B879" i="3"/>
  <c r="E879" i="3"/>
  <c r="G880" i="3" l="1"/>
  <c r="A881" i="3" s="1"/>
  <c r="E880" i="3"/>
  <c r="C880" i="3"/>
  <c r="B880" i="3"/>
  <c r="H880" i="3"/>
  <c r="F880" i="3"/>
  <c r="D880" i="3"/>
  <c r="D881" i="3" l="1"/>
  <c r="H881" i="3"/>
  <c r="G881" i="3"/>
  <c r="A882" i="3" s="1"/>
  <c r="F881" i="3"/>
  <c r="E881" i="3"/>
  <c r="C881" i="3"/>
  <c r="B881" i="3"/>
  <c r="B882" i="3" l="1"/>
  <c r="E882" i="3"/>
  <c r="D882" i="3"/>
  <c r="H882" i="3"/>
  <c r="G882" i="3"/>
  <c r="A883" i="3" s="1"/>
  <c r="F882" i="3"/>
  <c r="C882" i="3"/>
  <c r="H883" i="3" l="1"/>
  <c r="F883" i="3"/>
  <c r="D883" i="3"/>
  <c r="B883" i="3"/>
  <c r="G883" i="3"/>
  <c r="A884" i="3" s="1"/>
  <c r="E883" i="3"/>
  <c r="C883" i="3"/>
  <c r="D884" i="3" l="1"/>
  <c r="H884" i="3"/>
  <c r="G884" i="3"/>
  <c r="A885" i="3" s="1"/>
  <c r="F884" i="3"/>
  <c r="E884" i="3"/>
  <c r="B884" i="3"/>
  <c r="C884" i="3"/>
  <c r="G885" i="3" l="1"/>
  <c r="A886" i="3" s="1"/>
  <c r="F885" i="3"/>
  <c r="E885" i="3"/>
  <c r="D885" i="3"/>
  <c r="C885" i="3"/>
  <c r="B885" i="3"/>
  <c r="H885" i="3"/>
  <c r="G886" i="3" l="1"/>
  <c r="A887" i="3" s="1"/>
  <c r="E886" i="3"/>
  <c r="H886" i="3"/>
  <c r="F886" i="3"/>
  <c r="D886" i="3"/>
  <c r="C886" i="3"/>
  <c r="B886" i="3"/>
  <c r="D887" i="3" l="1"/>
  <c r="F887" i="3"/>
  <c r="G887" i="3"/>
  <c r="A888" i="3" s="1"/>
  <c r="E887" i="3"/>
  <c r="B887" i="3"/>
  <c r="H887" i="3"/>
  <c r="C887" i="3"/>
  <c r="H888" i="3" l="1"/>
  <c r="E888" i="3"/>
  <c r="G888" i="3"/>
  <c r="A889" i="3" s="1"/>
  <c r="F888" i="3"/>
  <c r="D888" i="3"/>
  <c r="C888" i="3"/>
  <c r="B888" i="3"/>
  <c r="H889" i="3" l="1"/>
  <c r="F889" i="3"/>
  <c r="D889" i="3"/>
  <c r="C889" i="3"/>
  <c r="B889" i="3"/>
  <c r="E889" i="3"/>
  <c r="G889" i="3"/>
  <c r="A890" i="3" s="1"/>
  <c r="D890" i="3" l="1"/>
  <c r="B890" i="3"/>
  <c r="F890" i="3"/>
  <c r="G890" i="3"/>
  <c r="A891" i="3" s="1"/>
  <c r="E890" i="3"/>
  <c r="C890" i="3"/>
  <c r="H890" i="3"/>
  <c r="C891" i="3" l="1"/>
  <c r="H891" i="3"/>
  <c r="G891" i="3"/>
  <c r="A892" i="3" s="1"/>
  <c r="F891" i="3"/>
  <c r="E891" i="3"/>
  <c r="D891" i="3"/>
  <c r="B891" i="3"/>
  <c r="G892" i="3" l="1"/>
  <c r="A893" i="3" s="1"/>
  <c r="H892" i="3"/>
  <c r="F892" i="3"/>
  <c r="E892" i="3"/>
  <c r="B892" i="3"/>
  <c r="D892" i="3"/>
  <c r="C892" i="3"/>
  <c r="D893" i="3" l="1"/>
  <c r="C893" i="3"/>
  <c r="E893" i="3"/>
  <c r="B893" i="3"/>
  <c r="H893" i="3"/>
  <c r="F893" i="3"/>
  <c r="G893" i="3"/>
  <c r="A894" i="3" s="1"/>
  <c r="B894" i="3" l="1"/>
  <c r="H894" i="3"/>
  <c r="F894" i="3"/>
  <c r="E894" i="3"/>
  <c r="D894" i="3"/>
  <c r="C894" i="3"/>
  <c r="G894" i="3"/>
  <c r="A895" i="3" s="1"/>
  <c r="H895" i="3" l="1"/>
  <c r="G895" i="3"/>
  <c r="A896" i="3" s="1"/>
  <c r="D895" i="3"/>
  <c r="C895" i="3"/>
  <c r="B895" i="3"/>
  <c r="E895" i="3"/>
  <c r="F895" i="3"/>
  <c r="D896" i="3" l="1"/>
  <c r="E896" i="3"/>
  <c r="B896" i="3"/>
  <c r="H896" i="3"/>
  <c r="G896" i="3"/>
  <c r="A897" i="3" s="1"/>
  <c r="F896" i="3"/>
  <c r="C896" i="3"/>
  <c r="F897" i="3" l="1"/>
  <c r="B897" i="3"/>
  <c r="G897" i="3"/>
  <c r="A898" i="3" s="1"/>
  <c r="E897" i="3"/>
  <c r="H897" i="3"/>
  <c r="D897" i="3"/>
  <c r="C897" i="3"/>
  <c r="E898" i="3" l="1"/>
  <c r="H898" i="3"/>
  <c r="G898" i="3"/>
  <c r="A899" i="3" s="1"/>
  <c r="B898" i="3"/>
  <c r="F898" i="3"/>
  <c r="D898" i="3"/>
  <c r="C898" i="3"/>
  <c r="D899" i="3" l="1"/>
  <c r="F899" i="3"/>
  <c r="C899" i="3"/>
  <c r="H899" i="3"/>
  <c r="G899" i="3"/>
  <c r="A900" i="3" s="1"/>
  <c r="E899" i="3"/>
  <c r="B899" i="3"/>
  <c r="G900" i="3" l="1"/>
  <c r="A901" i="3" s="1"/>
  <c r="F900" i="3"/>
  <c r="E900" i="3"/>
  <c r="D900" i="3"/>
  <c r="C900" i="3"/>
  <c r="H900" i="3"/>
  <c r="B900" i="3"/>
  <c r="B901" i="3" l="1"/>
  <c r="C901" i="3"/>
  <c r="D901" i="3"/>
  <c r="H901" i="3"/>
  <c r="G901" i="3"/>
  <c r="A902" i="3" s="1"/>
  <c r="F901" i="3"/>
  <c r="E901" i="3"/>
  <c r="G902" i="3" l="1"/>
  <c r="A903" i="3" s="1"/>
  <c r="D902" i="3"/>
  <c r="H902" i="3"/>
  <c r="E902" i="3"/>
  <c r="B902" i="3"/>
  <c r="C902" i="3"/>
  <c r="F902" i="3"/>
  <c r="F903" i="3" l="1"/>
  <c r="D903" i="3"/>
  <c r="C903" i="3"/>
  <c r="H903" i="3"/>
  <c r="G903" i="3"/>
  <c r="A904" i="3" s="1"/>
  <c r="E903" i="3"/>
  <c r="B903" i="3"/>
  <c r="G904" i="3" l="1"/>
  <c r="A905" i="3" s="1"/>
  <c r="E904" i="3"/>
  <c r="D904" i="3"/>
  <c r="C904" i="3"/>
  <c r="B904" i="3"/>
  <c r="H904" i="3"/>
  <c r="F904" i="3"/>
  <c r="G905" i="3" l="1"/>
  <c r="A906" i="3" s="1"/>
  <c r="E905" i="3"/>
  <c r="H905" i="3"/>
  <c r="D905" i="3"/>
  <c r="C905" i="3"/>
  <c r="B905" i="3"/>
  <c r="F905" i="3"/>
  <c r="B906" i="3" l="1"/>
  <c r="E906" i="3"/>
  <c r="F906" i="3"/>
  <c r="D906" i="3"/>
  <c r="C906" i="3"/>
  <c r="H906" i="3"/>
  <c r="G906" i="3"/>
  <c r="A907" i="3" s="1"/>
  <c r="H907" i="3" l="1"/>
  <c r="G907" i="3"/>
  <c r="A908" i="3" s="1"/>
  <c r="D907" i="3"/>
  <c r="F907" i="3"/>
  <c r="E907" i="3"/>
  <c r="C907" i="3"/>
  <c r="B907" i="3"/>
  <c r="G908" i="3" l="1"/>
  <c r="A909" i="3" s="1"/>
  <c r="F908" i="3"/>
  <c r="H908" i="3"/>
  <c r="D908" i="3"/>
  <c r="B908" i="3"/>
  <c r="E908" i="3"/>
  <c r="C908" i="3"/>
  <c r="D909" i="3" l="1"/>
  <c r="C909" i="3"/>
  <c r="B909" i="3"/>
  <c r="G909" i="3"/>
  <c r="A910" i="3" s="1"/>
  <c r="F909" i="3"/>
  <c r="H909" i="3"/>
  <c r="E909" i="3"/>
  <c r="E910" i="3" l="1"/>
  <c r="H910" i="3"/>
  <c r="G910" i="3"/>
  <c r="A911" i="3" s="1"/>
  <c r="F910" i="3"/>
  <c r="D910" i="3"/>
  <c r="C910" i="3"/>
  <c r="B910" i="3"/>
  <c r="G911" i="3" l="1"/>
  <c r="A912" i="3" s="1"/>
  <c r="H911" i="3"/>
  <c r="D911" i="3"/>
  <c r="F911" i="3"/>
  <c r="E911" i="3"/>
  <c r="C911" i="3"/>
  <c r="B911" i="3"/>
  <c r="F912" i="3" l="1"/>
  <c r="E912" i="3"/>
  <c r="D912" i="3"/>
  <c r="B912" i="3"/>
  <c r="H912" i="3"/>
  <c r="C912" i="3"/>
  <c r="G912" i="3"/>
  <c r="A913" i="3" s="1"/>
  <c r="C913" i="3" l="1"/>
  <c r="B913" i="3"/>
  <c r="F913" i="3"/>
  <c r="E913" i="3"/>
  <c r="D913" i="3"/>
  <c r="H913" i="3"/>
  <c r="G913" i="3"/>
  <c r="A914" i="3" s="1"/>
  <c r="G914" i="3" l="1"/>
  <c r="A915" i="3" s="1"/>
  <c r="E914" i="3"/>
  <c r="H914" i="3"/>
  <c r="F914" i="3"/>
  <c r="C914" i="3"/>
  <c r="B914" i="3"/>
  <c r="D914" i="3"/>
  <c r="H915" i="3" l="1"/>
  <c r="G915" i="3"/>
  <c r="A916" i="3" s="1"/>
  <c r="F915" i="3"/>
  <c r="D915" i="3"/>
  <c r="E915" i="3"/>
  <c r="C915" i="3"/>
  <c r="B915" i="3"/>
  <c r="F916" i="3" l="1"/>
  <c r="D916" i="3"/>
  <c r="H916" i="3"/>
  <c r="G916" i="3"/>
  <c r="A917" i="3" s="1"/>
  <c r="B916" i="3"/>
  <c r="E916" i="3"/>
  <c r="C916" i="3"/>
  <c r="G917" i="3" l="1"/>
  <c r="A918" i="3" s="1"/>
  <c r="C917" i="3"/>
  <c r="B917" i="3"/>
  <c r="H917" i="3"/>
  <c r="E917" i="3"/>
  <c r="D917" i="3"/>
  <c r="F917" i="3"/>
  <c r="B918" i="3" l="1"/>
  <c r="H918" i="3"/>
  <c r="F918" i="3"/>
  <c r="D918" i="3"/>
  <c r="C918" i="3"/>
  <c r="E918" i="3"/>
  <c r="G918" i="3"/>
  <c r="A919" i="3" s="1"/>
  <c r="B919" i="3" l="1"/>
  <c r="C919" i="3"/>
  <c r="H919" i="3"/>
  <c r="F919" i="3"/>
  <c r="E919" i="3"/>
  <c r="D919" i="3"/>
  <c r="G919" i="3"/>
  <c r="A920" i="3" s="1"/>
  <c r="G920" i="3" l="1"/>
  <c r="A921" i="3" s="1"/>
  <c r="D920" i="3"/>
  <c r="B920" i="3"/>
  <c r="H920" i="3"/>
  <c r="C920" i="3"/>
  <c r="F920" i="3"/>
  <c r="E920" i="3"/>
  <c r="C921" i="3" l="1"/>
  <c r="H921" i="3"/>
  <c r="E921" i="3"/>
  <c r="D921" i="3"/>
  <c r="B921" i="3"/>
  <c r="F921" i="3"/>
  <c r="G921" i="3"/>
  <c r="A922" i="3" s="1"/>
  <c r="D922" i="3" l="1"/>
  <c r="C922" i="3"/>
  <c r="B922" i="3"/>
  <c r="H922" i="3"/>
  <c r="G922" i="3"/>
  <c r="A923" i="3" s="1"/>
  <c r="F922" i="3"/>
  <c r="E922" i="3"/>
  <c r="G923" i="3" l="1"/>
  <c r="A924" i="3" s="1"/>
  <c r="C923" i="3"/>
  <c r="H923" i="3"/>
  <c r="F923" i="3"/>
  <c r="E923" i="3"/>
  <c r="B923" i="3"/>
  <c r="D923" i="3"/>
  <c r="D924" i="3" l="1"/>
  <c r="C924" i="3"/>
  <c r="F924" i="3"/>
  <c r="B924" i="3"/>
  <c r="H924" i="3"/>
  <c r="G924" i="3"/>
  <c r="A925" i="3" s="1"/>
  <c r="E924" i="3"/>
  <c r="F925" i="3" l="1"/>
  <c r="E925" i="3"/>
  <c r="D925" i="3"/>
  <c r="B925" i="3"/>
  <c r="H925" i="3"/>
  <c r="G925" i="3"/>
  <c r="A926" i="3" s="1"/>
  <c r="C925" i="3"/>
  <c r="G926" i="3" l="1"/>
  <c r="A927" i="3" s="1"/>
  <c r="F926" i="3"/>
  <c r="E926" i="3"/>
  <c r="C926" i="3"/>
  <c r="B926" i="3"/>
  <c r="H926" i="3"/>
  <c r="D926" i="3"/>
  <c r="E927" i="3" l="1"/>
  <c r="H927" i="3"/>
  <c r="D927" i="3"/>
  <c r="B927" i="3"/>
  <c r="G927" i="3"/>
  <c r="A928" i="3" s="1"/>
  <c r="C927" i="3"/>
  <c r="F927" i="3"/>
  <c r="H928" i="3" l="1"/>
  <c r="G928" i="3"/>
  <c r="A929" i="3" s="1"/>
  <c r="F928" i="3"/>
  <c r="D928" i="3"/>
  <c r="B928" i="3"/>
  <c r="E928" i="3"/>
  <c r="C928" i="3"/>
  <c r="G929" i="3" l="1"/>
  <c r="A930" i="3" s="1"/>
  <c r="H929" i="3"/>
  <c r="F929" i="3"/>
  <c r="E929" i="3"/>
  <c r="B929" i="3"/>
  <c r="C929" i="3"/>
  <c r="D929" i="3"/>
  <c r="F930" i="3" l="1"/>
  <c r="B930" i="3"/>
  <c r="G930" i="3"/>
  <c r="A931" i="3" s="1"/>
  <c r="E930" i="3"/>
  <c r="D930" i="3"/>
  <c r="C930" i="3"/>
  <c r="H930" i="3"/>
  <c r="H931" i="3" l="1"/>
  <c r="F931" i="3"/>
  <c r="G931" i="3"/>
  <c r="A932" i="3" s="1"/>
  <c r="E931" i="3"/>
  <c r="D931" i="3"/>
  <c r="B931" i="3"/>
  <c r="C931" i="3"/>
  <c r="G932" i="3" l="1"/>
  <c r="A933" i="3" s="1"/>
  <c r="B932" i="3"/>
  <c r="D932" i="3"/>
  <c r="F932" i="3"/>
  <c r="E932" i="3"/>
  <c r="H932" i="3"/>
  <c r="C932" i="3"/>
  <c r="G933" i="3" l="1"/>
  <c r="A934" i="3" s="1"/>
  <c r="H933" i="3"/>
  <c r="F933" i="3"/>
  <c r="C933" i="3"/>
  <c r="B933" i="3"/>
  <c r="E933" i="3"/>
  <c r="D933" i="3"/>
  <c r="H934" i="3" l="1"/>
  <c r="C934" i="3"/>
  <c r="B934" i="3"/>
  <c r="G934" i="3"/>
  <c r="A935" i="3" s="1"/>
  <c r="F934" i="3"/>
  <c r="E934" i="3"/>
  <c r="D934" i="3"/>
  <c r="G935" i="3" l="1"/>
  <c r="A936" i="3" s="1"/>
  <c r="D935" i="3"/>
  <c r="C935" i="3"/>
  <c r="B935" i="3"/>
  <c r="H935" i="3"/>
  <c r="E935" i="3"/>
  <c r="F935" i="3"/>
  <c r="H936" i="3" l="1"/>
  <c r="C936" i="3"/>
  <c r="D936" i="3"/>
  <c r="F936" i="3"/>
  <c r="E936" i="3"/>
  <c r="B936" i="3"/>
  <c r="G936" i="3"/>
  <c r="A937" i="3" s="1"/>
  <c r="H937" i="3" l="1"/>
  <c r="G937" i="3"/>
  <c r="A938" i="3" s="1"/>
  <c r="D937" i="3"/>
  <c r="F937" i="3"/>
  <c r="E937" i="3"/>
  <c r="C937" i="3"/>
  <c r="B937" i="3"/>
  <c r="G938" i="3" l="1"/>
  <c r="A939" i="3" s="1"/>
  <c r="F938" i="3"/>
  <c r="E938" i="3"/>
  <c r="D938" i="3"/>
  <c r="B938" i="3"/>
  <c r="H938" i="3"/>
  <c r="C938" i="3"/>
  <c r="G939" i="3" l="1"/>
  <c r="A940" i="3" s="1"/>
  <c r="E939" i="3"/>
  <c r="D939" i="3"/>
  <c r="B939" i="3"/>
  <c r="C939" i="3"/>
  <c r="F939" i="3"/>
  <c r="H939" i="3"/>
  <c r="B940" i="3" l="1"/>
  <c r="F940" i="3"/>
  <c r="E940" i="3"/>
  <c r="H940" i="3"/>
  <c r="G940" i="3"/>
  <c r="A941" i="3" s="1"/>
  <c r="D940" i="3"/>
  <c r="C940" i="3"/>
  <c r="G941" i="3" l="1"/>
  <c r="A942" i="3" s="1"/>
  <c r="H941" i="3"/>
  <c r="F941" i="3"/>
  <c r="D941" i="3"/>
  <c r="E941" i="3"/>
  <c r="B941" i="3"/>
  <c r="C941" i="3"/>
  <c r="H942" i="3" l="1"/>
  <c r="G942" i="3"/>
  <c r="A943" i="3" s="1"/>
  <c r="F942" i="3"/>
  <c r="E942" i="3"/>
  <c r="D942" i="3"/>
  <c r="C942" i="3"/>
  <c r="B942" i="3"/>
  <c r="B943" i="3" l="1"/>
  <c r="H943" i="3"/>
  <c r="F943" i="3"/>
  <c r="C943" i="3"/>
  <c r="G943" i="3"/>
  <c r="A944" i="3" s="1"/>
  <c r="E943" i="3"/>
  <c r="D943" i="3"/>
  <c r="G944" i="3" l="1"/>
  <c r="A945" i="3" s="1"/>
  <c r="F944" i="3"/>
  <c r="H944" i="3"/>
  <c r="E944" i="3"/>
  <c r="D944" i="3"/>
  <c r="B944" i="3"/>
  <c r="C944" i="3"/>
  <c r="C945" i="3" l="1"/>
  <c r="B945" i="3"/>
  <c r="H945" i="3"/>
  <c r="G945" i="3"/>
  <c r="A946" i="3" s="1"/>
  <c r="E945" i="3"/>
  <c r="D945" i="3"/>
  <c r="F945" i="3"/>
  <c r="C946" i="3" l="1"/>
  <c r="H946" i="3"/>
  <c r="G946" i="3"/>
  <c r="A947" i="3" s="1"/>
  <c r="F946" i="3"/>
  <c r="E946" i="3"/>
  <c r="D946" i="3"/>
  <c r="B946" i="3"/>
  <c r="G947" i="3" l="1"/>
  <c r="A948" i="3" s="1"/>
  <c r="F947" i="3"/>
  <c r="D947" i="3"/>
  <c r="H947" i="3"/>
  <c r="E947" i="3"/>
  <c r="C947" i="3"/>
  <c r="B947" i="3"/>
  <c r="E948" i="3" l="1"/>
  <c r="D948" i="3"/>
  <c r="C948" i="3"/>
  <c r="H948" i="3"/>
  <c r="F948" i="3"/>
  <c r="B948" i="3"/>
  <c r="G948" i="3"/>
  <c r="A949" i="3" s="1"/>
  <c r="D949" i="3" l="1"/>
  <c r="C949" i="3"/>
  <c r="B949" i="3"/>
  <c r="G949" i="3"/>
  <c r="A950" i="3" s="1"/>
  <c r="F949" i="3"/>
  <c r="E949" i="3"/>
  <c r="H949" i="3"/>
  <c r="G950" i="3" l="1"/>
  <c r="A951" i="3" s="1"/>
  <c r="H950" i="3"/>
  <c r="F950" i="3"/>
  <c r="E950" i="3"/>
  <c r="B950" i="3"/>
  <c r="D950" i="3"/>
  <c r="C950" i="3"/>
  <c r="G951" i="3" l="1"/>
  <c r="A952" i="3" s="1"/>
  <c r="F951" i="3"/>
  <c r="E951" i="3"/>
  <c r="C951" i="3"/>
  <c r="D951" i="3"/>
  <c r="B951" i="3"/>
  <c r="H951" i="3"/>
  <c r="E952" i="3" l="1"/>
  <c r="H952" i="3"/>
  <c r="G952" i="3"/>
  <c r="A953" i="3" s="1"/>
  <c r="D952" i="3"/>
  <c r="C952" i="3"/>
  <c r="F952" i="3"/>
  <c r="B952" i="3"/>
  <c r="G953" i="3" l="1"/>
  <c r="A954" i="3" s="1"/>
  <c r="D953" i="3"/>
  <c r="C953" i="3"/>
  <c r="B953" i="3"/>
  <c r="H953" i="3"/>
  <c r="E953" i="3"/>
  <c r="F953" i="3"/>
  <c r="H954" i="3" l="1"/>
  <c r="G954" i="3"/>
  <c r="A955" i="3" s="1"/>
  <c r="E954" i="3"/>
  <c r="C954" i="3"/>
  <c r="F954" i="3"/>
  <c r="D954" i="3"/>
  <c r="B954" i="3"/>
  <c r="F955" i="3" l="1"/>
  <c r="H955" i="3"/>
  <c r="G955" i="3"/>
  <c r="A956" i="3" s="1"/>
  <c r="E955" i="3"/>
  <c r="D955" i="3"/>
  <c r="C955" i="3"/>
  <c r="B955" i="3"/>
  <c r="G956" i="3" l="1"/>
  <c r="A957" i="3" s="1"/>
  <c r="B956" i="3"/>
  <c r="H956" i="3"/>
  <c r="F956" i="3"/>
  <c r="E956" i="3"/>
  <c r="D956" i="3"/>
  <c r="C956" i="3"/>
  <c r="G957" i="3" l="1"/>
  <c r="A958" i="3" s="1"/>
  <c r="F957" i="3"/>
  <c r="E957" i="3"/>
  <c r="D957" i="3"/>
  <c r="H957" i="3"/>
  <c r="C957" i="3"/>
  <c r="B957" i="3"/>
  <c r="G958" i="3" l="1"/>
  <c r="A959" i="3" s="1"/>
  <c r="C958" i="3"/>
  <c r="B958" i="3"/>
  <c r="H958" i="3"/>
  <c r="F958" i="3"/>
  <c r="E958" i="3"/>
  <c r="D958" i="3"/>
  <c r="G959" i="3" l="1"/>
  <c r="A960" i="3" s="1"/>
  <c r="F959" i="3"/>
  <c r="E959" i="3"/>
  <c r="D959" i="3"/>
  <c r="H959" i="3"/>
  <c r="C959" i="3"/>
  <c r="B959" i="3"/>
  <c r="D960" i="3" l="1"/>
  <c r="C960" i="3"/>
  <c r="B960" i="3"/>
  <c r="E960" i="3"/>
  <c r="H960" i="3"/>
  <c r="G960" i="3"/>
  <c r="A961" i="3" s="1"/>
  <c r="F960" i="3"/>
  <c r="H961" i="3" l="1"/>
  <c r="E961" i="3"/>
  <c r="D961" i="3"/>
  <c r="C961" i="3"/>
  <c r="G961" i="3"/>
  <c r="A962" i="3" s="1"/>
  <c r="F961" i="3"/>
  <c r="B961" i="3"/>
  <c r="G962" i="3" l="1"/>
  <c r="A963" i="3" s="1"/>
  <c r="D962" i="3"/>
  <c r="C962" i="3"/>
  <c r="B962" i="3"/>
  <c r="H962" i="3"/>
  <c r="E962" i="3"/>
  <c r="F962" i="3"/>
  <c r="E963" i="3" l="1"/>
  <c r="D963" i="3"/>
  <c r="C963" i="3"/>
  <c r="F963" i="3"/>
  <c r="G963" i="3"/>
  <c r="A964" i="3" s="1"/>
  <c r="B963" i="3"/>
  <c r="H963" i="3"/>
  <c r="G964" i="3" l="1"/>
  <c r="A965" i="3" s="1"/>
  <c r="F964" i="3"/>
  <c r="E964" i="3"/>
  <c r="C964" i="3"/>
  <c r="H964" i="3"/>
  <c r="D964" i="3"/>
  <c r="B964" i="3"/>
  <c r="G965" i="3" l="1"/>
  <c r="A966" i="3" s="1"/>
  <c r="B965" i="3"/>
  <c r="H965" i="3"/>
  <c r="F965" i="3"/>
  <c r="E965" i="3"/>
  <c r="D965" i="3"/>
  <c r="C965" i="3"/>
  <c r="F966" i="3" l="1"/>
  <c r="E966" i="3"/>
  <c r="D966" i="3"/>
  <c r="H966" i="3"/>
  <c r="G966" i="3"/>
  <c r="A967" i="3" s="1"/>
  <c r="B966" i="3"/>
  <c r="C966" i="3"/>
  <c r="H967" i="3" l="1"/>
  <c r="G967" i="3"/>
  <c r="A968" i="3" s="1"/>
  <c r="E967" i="3"/>
  <c r="C967" i="3"/>
  <c r="B967" i="3"/>
  <c r="F967" i="3"/>
  <c r="D967" i="3"/>
  <c r="G968" i="3" l="1"/>
  <c r="A969" i="3" s="1"/>
  <c r="B968" i="3"/>
  <c r="H968" i="3"/>
  <c r="D968" i="3"/>
  <c r="F968" i="3"/>
  <c r="E968" i="3"/>
  <c r="C968" i="3"/>
  <c r="D969" i="3" l="1"/>
  <c r="C969" i="3"/>
  <c r="B969" i="3"/>
  <c r="G969" i="3"/>
  <c r="A970" i="3" s="1"/>
  <c r="F969" i="3"/>
  <c r="E969" i="3"/>
  <c r="H969" i="3"/>
  <c r="G970" i="3" l="1"/>
  <c r="A971" i="3" s="1"/>
  <c r="H970" i="3"/>
  <c r="F970" i="3"/>
  <c r="E970" i="3"/>
  <c r="D970" i="3"/>
  <c r="C970" i="3"/>
  <c r="B970" i="3"/>
  <c r="G971" i="3" l="1"/>
  <c r="A972" i="3" s="1"/>
  <c r="C971" i="3"/>
  <c r="D971" i="3"/>
  <c r="B971" i="3"/>
  <c r="F971" i="3"/>
  <c r="E971" i="3"/>
  <c r="H971" i="3"/>
  <c r="F972" i="3" l="1"/>
  <c r="H972" i="3"/>
  <c r="G972" i="3"/>
  <c r="A973" i="3" s="1"/>
  <c r="E972" i="3"/>
  <c r="D972" i="3"/>
  <c r="C972" i="3"/>
  <c r="B972" i="3"/>
  <c r="E973" i="3" l="1"/>
  <c r="D973" i="3"/>
  <c r="C973" i="3"/>
  <c r="B973" i="3"/>
  <c r="H973" i="3"/>
  <c r="F973" i="3"/>
  <c r="G973" i="3"/>
  <c r="A974" i="3" s="1"/>
  <c r="G974" i="3" l="1"/>
  <c r="A975" i="3" s="1"/>
  <c r="D974" i="3"/>
  <c r="F974" i="3"/>
  <c r="E974" i="3"/>
  <c r="C974" i="3"/>
  <c r="B974" i="3"/>
  <c r="H974" i="3"/>
  <c r="E975" i="3" l="1"/>
  <c r="D975" i="3"/>
  <c r="C975" i="3"/>
  <c r="H975" i="3"/>
  <c r="G975" i="3"/>
  <c r="A976" i="3" s="1"/>
  <c r="F975" i="3"/>
  <c r="B975" i="3"/>
  <c r="G976" i="3" l="1"/>
  <c r="A977" i="3" s="1"/>
  <c r="H976" i="3"/>
  <c r="E976" i="3"/>
  <c r="D976" i="3"/>
  <c r="C976" i="3"/>
  <c r="B976" i="3"/>
  <c r="F976" i="3"/>
  <c r="G977" i="3" l="1"/>
  <c r="A978" i="3" s="1"/>
  <c r="E977" i="3"/>
  <c r="H977" i="3"/>
  <c r="F977" i="3"/>
  <c r="C977" i="3"/>
  <c r="D977" i="3"/>
  <c r="B977" i="3"/>
  <c r="D978" i="3" l="1"/>
  <c r="C978" i="3"/>
  <c r="B978" i="3"/>
  <c r="F978" i="3"/>
  <c r="E978" i="3"/>
  <c r="H978" i="3"/>
  <c r="G978" i="3"/>
  <c r="A979" i="3" s="1"/>
  <c r="C979" i="3" l="1"/>
  <c r="B979" i="3"/>
  <c r="H979" i="3"/>
  <c r="G979" i="3"/>
  <c r="A980" i="3" s="1"/>
  <c r="F979" i="3"/>
  <c r="E979" i="3"/>
  <c r="D979" i="3"/>
  <c r="G980" i="3" l="1"/>
  <c r="A981" i="3" s="1"/>
  <c r="F980" i="3"/>
  <c r="E980" i="3"/>
  <c r="B980" i="3"/>
  <c r="D980" i="3"/>
  <c r="C980" i="3"/>
  <c r="H980" i="3"/>
  <c r="C981" i="3" l="1"/>
  <c r="B981" i="3"/>
  <c r="F981" i="3"/>
  <c r="E981" i="3"/>
  <c r="D981" i="3"/>
  <c r="H981" i="3"/>
  <c r="G981" i="3"/>
  <c r="A982" i="3" s="1"/>
  <c r="H982" i="3" l="1"/>
  <c r="G982" i="3"/>
  <c r="A983" i="3" s="1"/>
  <c r="E982" i="3"/>
  <c r="D982" i="3"/>
  <c r="C982" i="3"/>
  <c r="B982" i="3"/>
  <c r="F982" i="3"/>
  <c r="G983" i="3" l="1"/>
  <c r="A984" i="3" s="1"/>
  <c r="H983" i="3"/>
  <c r="F983" i="3"/>
  <c r="E983" i="3"/>
  <c r="D983" i="3"/>
  <c r="C983" i="3"/>
  <c r="B983" i="3"/>
  <c r="E984" i="3" l="1"/>
  <c r="D984" i="3"/>
  <c r="C984" i="3"/>
  <c r="H984" i="3"/>
  <c r="G984" i="3"/>
  <c r="A985" i="3" s="1"/>
  <c r="F984" i="3"/>
  <c r="B984" i="3"/>
  <c r="G985" i="3" l="1"/>
  <c r="A986" i="3" s="1"/>
  <c r="D985" i="3"/>
  <c r="C985" i="3"/>
  <c r="B985" i="3"/>
  <c r="F985" i="3"/>
  <c r="E985" i="3"/>
  <c r="H985" i="3"/>
  <c r="G986" i="3" l="1"/>
  <c r="A987" i="3" s="1"/>
  <c r="H986" i="3"/>
  <c r="F986" i="3"/>
  <c r="E986" i="3"/>
  <c r="D986" i="3"/>
  <c r="C986" i="3"/>
  <c r="B986" i="3"/>
  <c r="H987" i="3" l="1"/>
  <c r="G987" i="3"/>
  <c r="A988" i="3" s="1"/>
  <c r="F987" i="3"/>
  <c r="D987" i="3"/>
  <c r="B987" i="3"/>
  <c r="E987" i="3"/>
  <c r="C987" i="3"/>
  <c r="G988" i="3" l="1"/>
  <c r="A989" i="3" s="1"/>
  <c r="F988" i="3"/>
  <c r="D988" i="3"/>
  <c r="C988" i="3"/>
  <c r="H988" i="3"/>
  <c r="E988" i="3"/>
  <c r="B988" i="3"/>
  <c r="G989" i="3" l="1"/>
  <c r="A990" i="3" s="1"/>
  <c r="C989" i="3"/>
  <c r="B989" i="3"/>
  <c r="H989" i="3"/>
  <c r="F989" i="3"/>
  <c r="E989" i="3"/>
  <c r="D989" i="3"/>
  <c r="B990" i="3" l="1"/>
  <c r="G990" i="3"/>
  <c r="A991" i="3" s="1"/>
  <c r="H990" i="3"/>
  <c r="D990" i="3"/>
  <c r="F990" i="3"/>
  <c r="E990" i="3"/>
  <c r="C990" i="3"/>
  <c r="C991" i="3" l="1"/>
  <c r="B991" i="3"/>
  <c r="E991" i="3"/>
  <c r="D991" i="3"/>
  <c r="H991" i="3"/>
  <c r="G991" i="3"/>
  <c r="A992" i="3" s="1"/>
  <c r="F991" i="3"/>
  <c r="G992" i="3" l="1"/>
  <c r="A993" i="3" s="1"/>
  <c r="H992" i="3"/>
  <c r="B992" i="3"/>
  <c r="F992" i="3"/>
  <c r="E992" i="3"/>
  <c r="D992" i="3"/>
  <c r="C992" i="3"/>
  <c r="C993" i="3" l="1"/>
  <c r="B993" i="3"/>
  <c r="H993" i="3"/>
  <c r="G993" i="3"/>
  <c r="A994" i="3" s="1"/>
  <c r="F993" i="3"/>
  <c r="E993" i="3"/>
  <c r="D993" i="3"/>
  <c r="G994" i="3" l="1"/>
  <c r="A995" i="3" s="1"/>
  <c r="F994" i="3"/>
  <c r="E994" i="3"/>
  <c r="C994" i="3"/>
  <c r="B994" i="3"/>
  <c r="H994" i="3"/>
  <c r="D994" i="3"/>
  <c r="G995" i="3" l="1"/>
  <c r="A996" i="3" s="1"/>
  <c r="E995" i="3"/>
  <c r="D995" i="3"/>
  <c r="C995" i="3"/>
  <c r="F995" i="3"/>
  <c r="B995" i="3"/>
  <c r="H995" i="3"/>
  <c r="D996" i="3" l="1"/>
  <c r="C996" i="3"/>
  <c r="H996" i="3"/>
  <c r="G996" i="3"/>
  <c r="A997" i="3" s="1"/>
  <c r="F996" i="3"/>
  <c r="E996" i="3"/>
  <c r="B996" i="3"/>
  <c r="G997" i="3" l="1"/>
  <c r="A998" i="3" s="1"/>
  <c r="H997" i="3"/>
  <c r="F997" i="3"/>
  <c r="B997" i="3"/>
  <c r="D997" i="3"/>
  <c r="C997" i="3"/>
  <c r="E997" i="3"/>
  <c r="G998" i="3" l="1"/>
  <c r="A999" i="3" s="1"/>
  <c r="C998" i="3"/>
  <c r="B998" i="3"/>
  <c r="H998" i="3"/>
  <c r="F998" i="3"/>
  <c r="E998" i="3"/>
  <c r="D998" i="3"/>
  <c r="E999" i="3" l="1"/>
  <c r="D999" i="3"/>
  <c r="B999" i="3"/>
  <c r="H999" i="3"/>
  <c r="G999" i="3"/>
  <c r="A1000" i="3" s="1"/>
  <c r="C999" i="3"/>
  <c r="F999" i="3"/>
  <c r="H1000" i="3" l="1"/>
  <c r="E1000" i="3"/>
  <c r="D1000" i="3"/>
  <c r="G1000" i="3"/>
  <c r="A1001" i="3" s="1"/>
  <c r="F1000" i="3"/>
  <c r="C1000" i="3"/>
  <c r="B1000" i="3"/>
  <c r="G1001" i="3" l="1"/>
  <c r="A1002" i="3" s="1"/>
  <c r="H1001" i="3"/>
  <c r="F1001" i="3"/>
  <c r="E1001" i="3"/>
  <c r="C1001" i="3"/>
  <c r="D1001" i="3"/>
  <c r="B1001" i="3"/>
  <c r="F1002" i="3" l="1"/>
  <c r="E1002" i="3"/>
  <c r="D1002" i="3"/>
  <c r="C1002" i="3"/>
  <c r="H1002" i="3"/>
  <c r="G1002" i="3"/>
  <c r="A1003" i="3" s="1"/>
  <c r="B1002" i="3"/>
  <c r="H1003" i="3" l="1"/>
  <c r="G1003" i="3"/>
  <c r="A1004" i="3" s="1"/>
  <c r="F1003" i="3"/>
  <c r="E1003" i="3"/>
  <c r="D1003" i="3"/>
  <c r="C1003" i="3"/>
  <c r="B1003" i="3"/>
  <c r="G1004" i="3" l="1"/>
  <c r="A1005" i="3" s="1"/>
  <c r="B1004" i="3"/>
  <c r="C1004" i="3"/>
  <c r="F1004" i="3"/>
  <c r="E1004" i="3"/>
  <c r="H1004" i="3"/>
  <c r="D1004" i="3"/>
  <c r="G1005" i="3" l="1"/>
  <c r="A1006" i="3" s="1"/>
  <c r="F1005" i="3"/>
  <c r="E1005" i="3"/>
  <c r="D1005" i="3"/>
  <c r="H1005" i="3"/>
  <c r="C1005" i="3"/>
  <c r="B1005" i="3"/>
  <c r="H1006" i="3" l="1"/>
  <c r="G1006" i="3"/>
  <c r="A1007" i="3" s="1"/>
  <c r="F1006" i="3"/>
  <c r="E1006" i="3"/>
  <c r="B1006" i="3"/>
  <c r="D1006" i="3"/>
  <c r="C1006" i="3"/>
  <c r="G1007" i="3" l="1"/>
  <c r="A1008" i="3" s="1"/>
  <c r="F1007" i="3"/>
  <c r="E1007" i="3"/>
  <c r="D1007" i="3"/>
  <c r="C1007" i="3"/>
  <c r="B1007" i="3"/>
  <c r="H1007" i="3"/>
  <c r="H1008" i="3" l="1"/>
  <c r="G1008" i="3"/>
  <c r="A1009" i="3" s="1"/>
  <c r="F1008" i="3"/>
  <c r="E1008" i="3"/>
  <c r="D1008" i="3"/>
  <c r="C1008" i="3"/>
  <c r="B1008" i="3"/>
  <c r="F1009" i="3" l="1"/>
  <c r="E1009" i="3"/>
  <c r="D1009" i="3"/>
  <c r="B1009" i="3"/>
  <c r="H1009" i="3"/>
  <c r="G1009" i="3"/>
  <c r="A1010" i="3" s="1"/>
  <c r="C1009" i="3"/>
  <c r="G1010" i="3" l="1"/>
  <c r="A1011" i="3" s="1"/>
  <c r="F1010" i="3"/>
  <c r="E1010" i="3"/>
  <c r="B1010" i="3"/>
  <c r="D1010" i="3"/>
  <c r="C1010" i="3"/>
  <c r="H1010" i="3"/>
  <c r="H1011" i="3" l="1"/>
  <c r="G1011" i="3"/>
  <c r="A1012" i="3" s="1"/>
  <c r="F1011" i="3"/>
  <c r="E1011" i="3"/>
  <c r="D1011" i="3"/>
  <c r="C1011" i="3"/>
  <c r="B1011" i="3"/>
  <c r="G1012" i="3" l="1"/>
  <c r="A1013" i="3" s="1"/>
  <c r="H1012" i="3"/>
  <c r="B1012" i="3"/>
  <c r="F1012" i="3"/>
  <c r="E1012" i="3"/>
  <c r="D1012" i="3"/>
  <c r="C1012" i="3"/>
  <c r="G1013" i="3" l="1"/>
  <c r="A1014" i="3" s="1"/>
  <c r="C1013" i="3"/>
  <c r="B1013" i="3"/>
  <c r="E1013" i="3"/>
  <c r="D1013" i="3"/>
  <c r="H1013" i="3"/>
  <c r="F1013" i="3"/>
  <c r="H1014" i="3" l="1"/>
  <c r="G1014" i="3"/>
  <c r="A1015" i="3" s="1"/>
  <c r="E1014" i="3"/>
  <c r="D1014" i="3"/>
  <c r="C1014" i="3"/>
  <c r="F1014" i="3"/>
  <c r="B1014" i="3"/>
  <c r="B1015" i="3" l="1"/>
  <c r="G1015" i="3"/>
  <c r="A1016" i="3" s="1"/>
  <c r="F1015" i="3"/>
  <c r="H1015" i="3"/>
  <c r="E1015" i="3"/>
  <c r="D1015" i="3"/>
  <c r="C1015" i="3"/>
  <c r="G1016" i="3" l="1"/>
  <c r="A1017" i="3" s="1"/>
  <c r="H1016" i="3"/>
  <c r="F1016" i="3"/>
  <c r="D1016" i="3"/>
  <c r="E1016" i="3"/>
  <c r="C1016" i="3"/>
  <c r="B1016" i="3"/>
  <c r="H1017" i="3" l="1"/>
  <c r="G1017" i="3"/>
  <c r="A1018" i="3" s="1"/>
  <c r="F1017" i="3"/>
  <c r="E1017" i="3"/>
  <c r="C1017" i="3"/>
  <c r="B1017" i="3"/>
  <c r="D1017" i="3"/>
  <c r="C1018" i="3" l="1"/>
  <c r="B1018" i="3"/>
  <c r="H1018" i="3"/>
  <c r="G1018" i="3"/>
  <c r="A1019" i="3" s="1"/>
  <c r="F1018" i="3"/>
  <c r="E1018" i="3"/>
  <c r="D1018" i="3"/>
  <c r="G1019" i="3" l="1"/>
  <c r="A1020" i="3" s="1"/>
  <c r="E1019" i="3"/>
  <c r="D1019" i="3"/>
  <c r="C1019" i="3"/>
  <c r="H1019" i="3"/>
  <c r="F1019" i="3"/>
  <c r="B1019" i="3"/>
  <c r="F1020" i="3" l="1"/>
  <c r="E1020" i="3"/>
  <c r="D1020" i="3"/>
  <c r="B1020" i="3"/>
  <c r="H1020" i="3"/>
  <c r="G1020" i="3"/>
  <c r="A1021" i="3" s="1"/>
  <c r="C1020" i="3"/>
  <c r="D1021" i="3" l="1"/>
  <c r="C1021" i="3"/>
  <c r="B1021" i="3"/>
  <c r="H1021" i="3"/>
  <c r="G1021" i="3"/>
  <c r="A1022" i="3" s="1"/>
  <c r="F1021" i="3"/>
  <c r="E1021" i="3"/>
  <c r="G1022" i="3" l="1"/>
  <c r="A1023" i="3" s="1"/>
  <c r="D1022" i="3"/>
  <c r="C1022" i="3"/>
  <c r="B1022" i="3"/>
  <c r="F1022" i="3"/>
  <c r="E1022" i="3"/>
  <c r="H1022" i="3"/>
  <c r="G1023" i="3" l="1"/>
  <c r="A1024" i="3" s="1"/>
  <c r="H1023" i="3"/>
  <c r="F1023" i="3"/>
  <c r="B1023" i="3"/>
  <c r="E1023" i="3"/>
  <c r="D1023" i="3"/>
  <c r="C1023" i="3"/>
  <c r="E1024" i="3" l="1"/>
  <c r="D1024" i="3"/>
  <c r="C1024" i="3"/>
  <c r="B1024" i="3"/>
  <c r="G1024" i="3"/>
  <c r="A1025" i="3" s="1"/>
  <c r="F1024" i="3"/>
  <c r="H1024" i="3"/>
  <c r="G1025" i="3" l="1"/>
  <c r="A1026" i="3" s="1"/>
  <c r="H1025" i="3"/>
  <c r="B1025" i="3"/>
  <c r="E1025" i="3"/>
  <c r="D1025" i="3"/>
  <c r="C1025" i="3"/>
  <c r="F1025" i="3"/>
  <c r="F1026" i="3" l="1"/>
  <c r="E1026" i="3"/>
  <c r="D1026" i="3"/>
  <c r="H1026" i="3"/>
  <c r="G1026" i="3"/>
  <c r="A1027" i="3" s="1"/>
  <c r="C1026" i="3"/>
  <c r="B1026" i="3"/>
  <c r="F1027" i="3" l="1"/>
  <c r="E1027" i="3"/>
  <c r="D1027" i="3"/>
  <c r="C1027" i="3"/>
  <c r="H1027" i="3"/>
  <c r="G1027" i="3"/>
  <c r="A1028" i="3" s="1"/>
  <c r="B1027" i="3"/>
  <c r="G1028" i="3" l="1"/>
  <c r="A1029" i="3" s="1"/>
  <c r="D1028" i="3"/>
  <c r="C1028" i="3"/>
  <c r="B1028" i="3"/>
  <c r="E1028" i="3"/>
  <c r="H1028" i="3"/>
  <c r="F1028" i="3"/>
  <c r="G1029" i="3" l="1"/>
  <c r="A1030" i="3" s="1"/>
  <c r="F1029" i="3"/>
  <c r="E1029" i="3"/>
  <c r="H1029" i="3"/>
  <c r="D1029" i="3"/>
  <c r="B1029" i="3"/>
  <c r="C1029" i="3"/>
  <c r="G1030" i="3" l="1"/>
  <c r="A1031" i="3" s="1"/>
  <c r="F1030" i="3"/>
  <c r="E1030" i="3"/>
  <c r="D1030" i="3"/>
  <c r="H1030" i="3"/>
  <c r="C1030" i="3"/>
  <c r="B1030" i="3"/>
  <c r="G1031" i="3" l="1"/>
  <c r="A1032" i="3" s="1"/>
  <c r="H1031" i="3"/>
  <c r="E1031" i="3"/>
  <c r="C1031" i="3"/>
  <c r="B1031" i="3"/>
  <c r="D1031" i="3"/>
  <c r="F1031" i="3"/>
  <c r="B1032" i="3" l="1"/>
  <c r="H1032" i="3"/>
  <c r="G1032" i="3"/>
  <c r="A1033" i="3" s="1"/>
  <c r="F1032" i="3"/>
  <c r="E1032" i="3"/>
  <c r="D1032" i="3"/>
  <c r="C1032" i="3"/>
  <c r="H1033" i="3" l="1"/>
  <c r="G1033" i="3"/>
  <c r="A1034" i="3" s="1"/>
  <c r="F1033" i="3"/>
  <c r="E1033" i="3"/>
  <c r="D1033" i="3"/>
  <c r="C1033" i="3"/>
  <c r="B1033" i="3"/>
  <c r="G1034" i="3" l="1"/>
  <c r="A1035" i="3" s="1"/>
  <c r="H1034" i="3"/>
  <c r="F1034" i="3"/>
  <c r="E1034" i="3"/>
  <c r="C1034" i="3"/>
  <c r="B1034" i="3"/>
  <c r="D1034" i="3"/>
  <c r="G1035" i="3" l="1"/>
  <c r="A1036" i="3" s="1"/>
  <c r="F1035" i="3"/>
  <c r="E1035" i="3"/>
  <c r="C1035" i="3"/>
  <c r="H1035" i="3"/>
  <c r="D1035" i="3"/>
  <c r="B1035" i="3"/>
  <c r="H1036" i="3" l="1"/>
  <c r="G1036" i="3"/>
  <c r="A1037" i="3" s="1"/>
  <c r="F1036" i="3"/>
  <c r="E1036" i="3"/>
  <c r="D1036" i="3"/>
  <c r="C1036" i="3"/>
  <c r="B1036" i="3"/>
  <c r="G1037" i="3" l="1"/>
  <c r="A1038" i="3" s="1"/>
  <c r="H1037" i="3"/>
  <c r="F1037" i="3"/>
  <c r="E1037" i="3"/>
  <c r="D1037" i="3"/>
  <c r="C1037" i="3"/>
  <c r="B1037" i="3"/>
  <c r="H1038" i="3" l="1"/>
  <c r="G1038" i="3"/>
  <c r="A1039" i="3" s="1"/>
  <c r="F1038" i="3"/>
  <c r="E1038" i="3"/>
  <c r="D1038" i="3"/>
  <c r="C1038" i="3"/>
  <c r="B1038" i="3"/>
  <c r="H1039" i="3" l="1"/>
  <c r="G1039" i="3"/>
  <c r="A1040" i="3" s="1"/>
  <c r="D1039" i="3"/>
  <c r="C1039" i="3"/>
  <c r="B1039" i="3"/>
  <c r="F1039" i="3"/>
  <c r="E1039" i="3"/>
  <c r="G1040" i="3" l="1"/>
  <c r="A1041" i="3" s="1"/>
  <c r="B1040" i="3"/>
  <c r="F1040" i="3"/>
  <c r="E1040" i="3"/>
  <c r="D1040" i="3"/>
  <c r="H1040" i="3"/>
  <c r="C1040" i="3"/>
  <c r="F1041" i="3" l="1"/>
  <c r="E1041" i="3"/>
  <c r="H1041" i="3"/>
  <c r="G1041" i="3"/>
  <c r="A1042" i="3" s="1"/>
  <c r="B1041" i="3"/>
  <c r="D1041" i="3"/>
  <c r="C1041" i="3"/>
  <c r="H1042" i="3" l="1"/>
  <c r="G1042" i="3"/>
  <c r="A1043" i="3" s="1"/>
  <c r="E1042" i="3"/>
  <c r="F1042" i="3"/>
  <c r="D1042" i="3"/>
  <c r="C1042" i="3"/>
  <c r="B1042" i="3"/>
  <c r="G1043" i="3" l="1"/>
  <c r="A1044" i="3" s="1"/>
  <c r="C1043" i="3"/>
  <c r="B1043" i="3"/>
  <c r="E1043" i="3"/>
  <c r="D1043" i="3"/>
  <c r="H1043" i="3"/>
  <c r="F1043" i="3"/>
  <c r="H1044" i="3" l="1"/>
  <c r="G1044" i="3"/>
  <c r="A1045" i="3" s="1"/>
  <c r="F1044" i="3"/>
  <c r="E1044" i="3"/>
  <c r="D1044" i="3"/>
  <c r="C1044" i="3"/>
  <c r="B1044" i="3"/>
  <c r="D1045" i="3" l="1"/>
  <c r="C1045" i="3"/>
  <c r="B1045" i="3"/>
  <c r="H1045" i="3"/>
  <c r="G1045" i="3"/>
  <c r="A1046" i="3" s="1"/>
  <c r="F1045" i="3"/>
  <c r="E1045" i="3"/>
  <c r="G1046" i="3" l="1"/>
  <c r="A1047" i="3" s="1"/>
  <c r="D1046" i="3"/>
  <c r="C1046" i="3"/>
  <c r="B1046" i="3"/>
  <c r="F1046" i="3"/>
  <c r="H1046" i="3"/>
  <c r="E1046" i="3"/>
  <c r="D1047" i="3" l="1"/>
  <c r="C1047" i="3"/>
  <c r="B1047" i="3"/>
  <c r="H1047" i="3"/>
  <c r="G1047" i="3"/>
  <c r="A1048" i="3" s="1"/>
  <c r="F1047" i="3"/>
  <c r="E1047" i="3"/>
  <c r="H1048" i="3" l="1"/>
  <c r="C1048" i="3"/>
  <c r="B1048" i="3"/>
  <c r="G1048" i="3"/>
  <c r="A1049" i="3" s="1"/>
  <c r="F1048" i="3"/>
  <c r="E1048" i="3"/>
  <c r="D1048" i="3"/>
  <c r="H1049" i="3" l="1"/>
  <c r="F1049" i="3"/>
  <c r="E1049" i="3"/>
  <c r="D1049" i="3"/>
  <c r="C1049" i="3"/>
  <c r="B1049" i="3"/>
  <c r="G1049" i="3"/>
  <c r="A1050" i="3" s="1"/>
  <c r="H1050" i="3" l="1"/>
  <c r="F1050" i="3"/>
  <c r="G1050" i="3"/>
  <c r="A1051" i="3" s="1"/>
  <c r="E1050" i="3"/>
  <c r="D1050" i="3"/>
  <c r="C1050" i="3"/>
  <c r="B1050" i="3"/>
  <c r="B1051" i="3" l="1"/>
  <c r="H1051" i="3"/>
  <c r="C1051" i="3"/>
  <c r="G1051" i="3"/>
  <c r="A1052" i="3" s="1"/>
  <c r="F1051" i="3"/>
  <c r="E1051" i="3"/>
  <c r="D1051" i="3"/>
  <c r="H1052" i="3" l="1"/>
  <c r="G1052" i="3"/>
  <c r="A1053" i="3" s="1"/>
  <c r="F1052" i="3"/>
  <c r="E1052" i="3"/>
  <c r="D1052" i="3"/>
  <c r="B1052" i="3"/>
  <c r="C1052" i="3"/>
  <c r="B1053" i="3" l="1"/>
  <c r="H1053" i="3"/>
  <c r="C1053" i="3"/>
  <c r="G1053" i="3"/>
  <c r="A1054" i="3" s="1"/>
  <c r="F1053" i="3"/>
  <c r="E1053" i="3"/>
  <c r="D1053" i="3"/>
  <c r="H1054" i="3" l="1"/>
  <c r="G1054" i="3"/>
  <c r="A1055" i="3" s="1"/>
  <c r="F1054" i="3"/>
  <c r="D1054" i="3"/>
  <c r="B1054" i="3"/>
  <c r="E1054" i="3"/>
  <c r="C1054" i="3"/>
  <c r="H1055" i="3" l="1"/>
  <c r="G1055" i="3"/>
  <c r="A1056" i="3" s="1"/>
  <c r="B1055" i="3"/>
  <c r="E1055" i="3"/>
  <c r="D1055" i="3"/>
  <c r="C1055" i="3"/>
  <c r="F1055" i="3"/>
  <c r="C1056" i="3" l="1"/>
  <c r="D1056" i="3"/>
  <c r="B1056" i="3"/>
  <c r="G1056" i="3"/>
  <c r="A1057" i="3" s="1"/>
  <c r="F1056" i="3"/>
  <c r="E1056" i="3"/>
  <c r="H1056" i="3"/>
  <c r="E1057" i="3" l="1"/>
  <c r="F1057" i="3"/>
  <c r="D1057" i="3"/>
  <c r="H1057" i="3"/>
  <c r="G1057" i="3"/>
  <c r="A1058" i="3" s="1"/>
  <c r="C1057" i="3"/>
  <c r="B1057" i="3"/>
  <c r="F1058" i="3" l="1"/>
  <c r="E1058" i="3"/>
  <c r="D1058" i="3"/>
  <c r="B1058" i="3"/>
  <c r="H1058" i="3"/>
  <c r="G1058" i="3"/>
  <c r="A1059" i="3" s="1"/>
  <c r="C1058" i="3"/>
  <c r="D1059" i="3" l="1"/>
  <c r="F1059" i="3"/>
  <c r="E1059" i="3"/>
  <c r="C1059" i="3"/>
  <c r="B1059" i="3"/>
  <c r="H1059" i="3"/>
  <c r="G1059" i="3"/>
  <c r="A1060" i="3" s="1"/>
  <c r="B1060" i="3" l="1"/>
  <c r="H1060" i="3"/>
  <c r="G1060" i="3"/>
  <c r="A1061" i="3" s="1"/>
  <c r="C1060" i="3"/>
  <c r="F1060" i="3"/>
  <c r="D1060" i="3"/>
  <c r="E1060" i="3"/>
  <c r="H1061" i="3" l="1"/>
  <c r="G1061" i="3"/>
  <c r="A1062" i="3" s="1"/>
  <c r="E1061" i="3"/>
  <c r="D1061" i="3"/>
  <c r="C1061" i="3"/>
  <c r="F1061" i="3"/>
  <c r="B1061" i="3"/>
  <c r="E1062" i="3" l="1"/>
  <c r="H1062" i="3"/>
  <c r="G1062" i="3"/>
  <c r="A1063" i="3" s="1"/>
  <c r="F1062" i="3"/>
  <c r="D1062" i="3"/>
  <c r="C1062" i="3"/>
  <c r="B1062" i="3"/>
  <c r="B1063" i="3" l="1"/>
  <c r="H1063" i="3"/>
  <c r="G1063" i="3"/>
  <c r="A1064" i="3" s="1"/>
  <c r="F1063" i="3"/>
  <c r="E1063" i="3"/>
  <c r="D1063" i="3"/>
  <c r="C1063" i="3"/>
  <c r="H1064" i="3" l="1"/>
  <c r="G1064" i="3"/>
  <c r="A1065" i="3" s="1"/>
  <c r="F1064" i="3"/>
  <c r="E1064" i="3"/>
  <c r="D1064" i="3"/>
  <c r="C1064" i="3"/>
  <c r="B1064" i="3"/>
  <c r="F1065" i="3" l="1"/>
  <c r="H1065" i="3"/>
  <c r="G1065" i="3"/>
  <c r="A1066" i="3" s="1"/>
  <c r="B1065" i="3"/>
  <c r="D1065" i="3"/>
  <c r="E1065" i="3"/>
  <c r="C1065" i="3"/>
  <c r="B1066" i="3" l="1"/>
  <c r="H1066" i="3"/>
  <c r="G1066" i="3"/>
  <c r="A1067" i="3" s="1"/>
  <c r="F1066" i="3"/>
  <c r="D1066" i="3"/>
  <c r="E1066" i="3"/>
  <c r="C1066" i="3"/>
  <c r="H1067" i="3" l="1"/>
  <c r="C1067" i="3"/>
  <c r="F1067" i="3"/>
  <c r="E1067" i="3"/>
  <c r="D1067" i="3"/>
  <c r="G1067" i="3"/>
  <c r="A1068" i="3" s="1"/>
  <c r="B1067" i="3"/>
  <c r="G1068" i="3" l="1"/>
  <c r="A1069" i="3" s="1"/>
  <c r="C1068" i="3"/>
  <c r="B1068" i="3"/>
  <c r="H1068" i="3"/>
  <c r="E1068" i="3"/>
  <c r="D1068" i="3"/>
  <c r="F1068" i="3"/>
  <c r="D1069" i="3" l="1"/>
  <c r="C1069" i="3"/>
  <c r="B1069" i="3"/>
  <c r="H1069" i="3"/>
  <c r="E1069" i="3"/>
  <c r="G1069" i="3"/>
  <c r="A1070" i="3" s="1"/>
  <c r="F1069" i="3"/>
  <c r="F1070" i="3" l="1"/>
  <c r="E1070" i="3"/>
  <c r="D1070" i="3"/>
  <c r="B1070" i="3"/>
  <c r="H1070" i="3"/>
  <c r="G1070" i="3"/>
  <c r="A1071" i="3" s="1"/>
  <c r="C1070" i="3"/>
  <c r="H1071" i="3" l="1"/>
  <c r="F1071" i="3"/>
  <c r="E1071" i="3"/>
  <c r="G1071" i="3"/>
  <c r="A1072" i="3" s="1"/>
  <c r="D1071" i="3"/>
  <c r="C1071" i="3"/>
  <c r="B1071" i="3"/>
  <c r="F1072" i="3" l="1"/>
  <c r="E1072" i="3"/>
  <c r="D1072" i="3"/>
  <c r="C1072" i="3"/>
  <c r="H1072" i="3"/>
  <c r="G1072" i="3"/>
  <c r="A1073" i="3" s="1"/>
  <c r="B1072" i="3"/>
  <c r="H1073" i="3" l="1"/>
  <c r="B1073" i="3"/>
  <c r="F1073" i="3"/>
  <c r="E1073" i="3"/>
  <c r="D1073" i="3"/>
  <c r="G1073" i="3"/>
  <c r="A1074" i="3" s="1"/>
  <c r="C1073" i="3"/>
  <c r="H1074" i="3" l="1"/>
  <c r="E1074" i="3"/>
  <c r="D1074" i="3"/>
  <c r="C1074" i="3"/>
  <c r="B1074" i="3"/>
  <c r="G1074" i="3"/>
  <c r="A1075" i="3" s="1"/>
  <c r="F1074" i="3"/>
  <c r="H1075" i="3" l="1"/>
  <c r="G1075" i="3"/>
  <c r="A1076" i="3" s="1"/>
  <c r="F1075" i="3"/>
  <c r="C1075" i="3"/>
  <c r="B1075" i="3"/>
  <c r="E1075" i="3"/>
  <c r="D1075" i="3"/>
  <c r="F1076" i="3" l="1"/>
  <c r="E1076" i="3"/>
  <c r="H1076" i="3"/>
  <c r="G1076" i="3"/>
  <c r="A1077" i="3" s="1"/>
  <c r="D1076" i="3"/>
  <c r="C1076" i="3"/>
  <c r="B1076" i="3"/>
  <c r="G1077" i="3" l="1"/>
  <c r="A1078" i="3" s="1"/>
  <c r="F1077" i="3"/>
  <c r="E1077" i="3"/>
  <c r="D1077" i="3"/>
  <c r="H1077" i="3"/>
  <c r="B1077" i="3"/>
  <c r="C1077" i="3"/>
  <c r="B1078" i="3" l="1"/>
  <c r="G1078" i="3"/>
  <c r="A1079" i="3" s="1"/>
  <c r="F1078" i="3"/>
  <c r="E1078" i="3"/>
  <c r="C1078" i="3"/>
  <c r="H1078" i="3"/>
  <c r="D1078" i="3"/>
  <c r="E1079" i="3" l="1"/>
  <c r="D1079" i="3"/>
  <c r="C1079" i="3"/>
  <c r="B1079" i="3"/>
  <c r="H1079" i="3"/>
  <c r="F1079" i="3"/>
  <c r="G1079" i="3"/>
  <c r="A1080" i="3" s="1"/>
  <c r="H1080" i="3" l="1"/>
  <c r="C1080" i="3"/>
  <c r="B1080" i="3"/>
  <c r="G1080" i="3"/>
  <c r="A1081" i="3" s="1"/>
  <c r="F1080" i="3"/>
  <c r="D1080" i="3"/>
  <c r="E1080" i="3"/>
  <c r="C1081" i="3" l="1"/>
  <c r="B1081" i="3"/>
  <c r="F1081" i="3"/>
  <c r="E1081" i="3"/>
  <c r="D1081" i="3"/>
  <c r="H1081" i="3"/>
  <c r="G1081" i="3"/>
  <c r="A1082" i="3" s="1"/>
  <c r="H1082" i="3" l="1"/>
  <c r="G1082" i="3"/>
  <c r="A1083" i="3" s="1"/>
  <c r="F1082" i="3"/>
  <c r="E1082" i="3"/>
  <c r="C1082" i="3"/>
  <c r="D1082" i="3"/>
  <c r="B1082" i="3"/>
  <c r="B1083" i="3" l="1"/>
  <c r="D1083" i="3"/>
  <c r="C1083" i="3"/>
  <c r="F1083" i="3"/>
  <c r="E1083" i="3"/>
  <c r="H1083" i="3"/>
  <c r="G1083" i="3"/>
  <c r="A1084" i="3" s="1"/>
  <c r="D1084" i="3" l="1"/>
  <c r="C1084" i="3"/>
  <c r="B1084" i="3"/>
  <c r="H1084" i="3"/>
  <c r="G1084" i="3"/>
  <c r="A1085" i="3" s="1"/>
  <c r="E1084" i="3"/>
  <c r="F1084" i="3"/>
  <c r="G1085" i="3" l="1"/>
  <c r="A1086" i="3" s="1"/>
  <c r="F1085" i="3"/>
  <c r="E1085" i="3"/>
  <c r="B1085" i="3"/>
  <c r="H1085" i="3"/>
  <c r="D1085" i="3"/>
  <c r="C1085" i="3"/>
  <c r="F1086" i="3" l="1"/>
  <c r="E1086" i="3"/>
  <c r="D1086" i="3"/>
  <c r="C1086" i="3"/>
  <c r="H1086" i="3"/>
  <c r="G1086" i="3"/>
  <c r="A1087" i="3" s="1"/>
  <c r="B1086" i="3"/>
  <c r="E1087" i="3" l="1"/>
  <c r="D1087" i="3"/>
  <c r="B1087" i="3"/>
  <c r="G1087" i="3"/>
  <c r="A1088" i="3" s="1"/>
  <c r="F1087" i="3"/>
  <c r="C1087" i="3"/>
  <c r="H1087" i="3"/>
  <c r="E1088" i="3" l="1"/>
  <c r="D1088" i="3"/>
  <c r="C1088" i="3"/>
  <c r="F1088" i="3"/>
  <c r="B1088" i="3"/>
  <c r="H1088" i="3"/>
  <c r="G1088" i="3"/>
  <c r="A1089" i="3" s="1"/>
  <c r="H1089" i="3" l="1"/>
  <c r="G1089" i="3"/>
  <c r="A1090" i="3" s="1"/>
  <c r="F1089" i="3"/>
  <c r="E1089" i="3"/>
  <c r="D1089" i="3"/>
  <c r="C1089" i="3"/>
  <c r="B1089" i="3"/>
  <c r="F1090" i="3" l="1"/>
  <c r="E1090" i="3"/>
  <c r="C1090" i="3"/>
  <c r="B1090" i="3"/>
  <c r="H1090" i="3"/>
  <c r="G1090" i="3"/>
  <c r="A1091" i="3" s="1"/>
  <c r="D1090" i="3"/>
  <c r="G1091" i="3" l="1"/>
  <c r="A1092" i="3" s="1"/>
  <c r="F1091" i="3"/>
  <c r="E1091" i="3"/>
  <c r="C1091" i="3"/>
  <c r="H1091" i="3"/>
  <c r="D1091" i="3"/>
  <c r="B1091" i="3"/>
  <c r="H1092" i="3" l="1"/>
  <c r="C1092" i="3"/>
  <c r="B1092" i="3"/>
  <c r="G1092" i="3"/>
  <c r="A1093" i="3" s="1"/>
  <c r="F1092" i="3"/>
  <c r="E1092" i="3"/>
  <c r="D1092" i="3"/>
  <c r="G1093" i="3" l="1"/>
  <c r="A1094" i="3" s="1"/>
  <c r="F1093" i="3"/>
  <c r="D1093" i="3"/>
  <c r="H1093" i="3"/>
  <c r="E1093" i="3"/>
  <c r="C1093" i="3"/>
  <c r="B1093" i="3"/>
  <c r="G1094" i="3" l="1"/>
  <c r="A1095" i="3" s="1"/>
  <c r="F1094" i="3"/>
  <c r="H1094" i="3"/>
  <c r="D1094" i="3"/>
  <c r="C1094" i="3"/>
  <c r="B1094" i="3"/>
  <c r="E1094" i="3"/>
  <c r="H1095" i="3" l="1"/>
  <c r="G1095" i="3"/>
  <c r="A1096" i="3" s="1"/>
  <c r="F1095" i="3"/>
  <c r="D1095" i="3"/>
  <c r="E1095" i="3"/>
  <c r="C1095" i="3"/>
  <c r="B1095" i="3"/>
  <c r="H1096" i="3" l="1"/>
  <c r="G1096" i="3"/>
  <c r="A1097" i="3" s="1"/>
  <c r="E1096" i="3"/>
  <c r="C1096" i="3"/>
  <c r="B1096" i="3"/>
  <c r="F1096" i="3"/>
  <c r="D1096" i="3"/>
  <c r="E1097" i="3" l="1"/>
  <c r="D1097" i="3"/>
  <c r="C1097" i="3"/>
  <c r="B1097" i="3"/>
  <c r="F1097" i="3"/>
  <c r="H1097" i="3"/>
  <c r="G1097" i="3"/>
  <c r="A1098" i="3" s="1"/>
  <c r="B1098" i="3" l="1"/>
  <c r="G1098" i="3"/>
  <c r="A1099" i="3" s="1"/>
  <c r="F1098" i="3"/>
  <c r="E1098" i="3"/>
  <c r="D1098" i="3"/>
  <c r="C1098" i="3"/>
  <c r="H1098" i="3"/>
  <c r="H1099" i="3" l="1"/>
  <c r="F1099" i="3"/>
  <c r="G1099" i="3"/>
  <c r="A1100" i="3" s="1"/>
  <c r="D1099" i="3"/>
  <c r="E1099" i="3"/>
  <c r="C1099" i="3"/>
  <c r="B1099" i="3"/>
  <c r="H1100" i="3" l="1"/>
  <c r="G1100" i="3"/>
  <c r="A1101" i="3" s="1"/>
  <c r="F1100" i="3"/>
  <c r="C1100" i="3"/>
  <c r="B1100" i="3"/>
  <c r="E1100" i="3"/>
  <c r="D1100" i="3"/>
  <c r="B1101" i="3" l="1"/>
  <c r="F1101" i="3"/>
  <c r="E1101" i="3"/>
  <c r="G1101" i="3"/>
  <c r="A1102" i="3" s="1"/>
  <c r="D1101" i="3"/>
  <c r="C1101" i="3"/>
  <c r="H1101" i="3"/>
  <c r="G1102" i="3" l="1"/>
  <c r="A1103" i="3" s="1"/>
  <c r="B1102" i="3"/>
  <c r="E1102" i="3"/>
  <c r="D1102" i="3"/>
  <c r="H1102" i="3"/>
  <c r="F1102" i="3"/>
  <c r="C1102" i="3"/>
  <c r="B1103" i="3" l="1"/>
  <c r="G1103" i="3"/>
  <c r="A1104" i="3" s="1"/>
  <c r="H1103" i="3"/>
  <c r="F1103" i="3"/>
  <c r="E1103" i="3"/>
  <c r="C1103" i="3"/>
  <c r="D1103" i="3"/>
  <c r="F1104" i="3" l="1"/>
  <c r="E1104" i="3"/>
  <c r="D1104" i="3"/>
  <c r="C1104" i="3"/>
  <c r="H1104" i="3"/>
  <c r="G1104" i="3"/>
  <c r="A1105" i="3" s="1"/>
  <c r="B1104" i="3"/>
  <c r="H1105" i="3" l="1"/>
  <c r="F1105" i="3"/>
  <c r="E1105" i="3"/>
  <c r="D1105" i="3"/>
  <c r="C1105" i="3"/>
  <c r="B1105" i="3"/>
  <c r="G1105" i="3"/>
  <c r="A1106" i="3" s="1"/>
  <c r="C1106" i="3" l="1"/>
  <c r="B1106" i="3"/>
  <c r="E1106" i="3"/>
  <c r="F1106" i="3"/>
  <c r="D1106" i="3"/>
  <c r="H1106" i="3"/>
  <c r="G1106" i="3"/>
  <c r="A1107" i="3" s="1"/>
  <c r="H1107" i="3" l="1"/>
  <c r="G1107" i="3"/>
  <c r="A1108" i="3" s="1"/>
  <c r="F1107" i="3"/>
  <c r="E1107" i="3"/>
  <c r="D1107" i="3"/>
  <c r="C1107" i="3"/>
  <c r="B1107" i="3"/>
  <c r="B1108" i="3" l="1"/>
  <c r="H1108" i="3"/>
  <c r="G1108" i="3"/>
  <c r="A1109" i="3" s="1"/>
  <c r="F1108" i="3"/>
  <c r="D1108" i="3"/>
  <c r="C1108" i="3"/>
  <c r="E1108" i="3"/>
  <c r="D1109" i="3" l="1"/>
  <c r="C1109" i="3"/>
  <c r="H1109" i="3"/>
  <c r="G1109" i="3"/>
  <c r="A1110" i="3" s="1"/>
  <c r="F1109" i="3"/>
  <c r="E1109" i="3"/>
  <c r="B1109" i="3"/>
  <c r="F1110" i="3" l="1"/>
  <c r="E1110" i="3"/>
  <c r="D1110" i="3"/>
  <c r="C1110" i="3"/>
  <c r="B1110" i="3"/>
  <c r="H1110" i="3"/>
  <c r="G1110" i="3"/>
  <c r="A1111" i="3" s="1"/>
  <c r="F1111" i="3" l="1"/>
  <c r="E1111" i="3"/>
  <c r="D1111" i="3"/>
  <c r="C1111" i="3"/>
  <c r="H1111" i="3"/>
  <c r="G1111" i="3"/>
  <c r="A1112" i="3" s="1"/>
  <c r="B1111" i="3"/>
  <c r="E1112" i="3" l="1"/>
  <c r="D1112" i="3"/>
  <c r="B1112" i="3"/>
  <c r="G1112" i="3"/>
  <c r="A1113" i="3" s="1"/>
  <c r="H1112" i="3"/>
  <c r="F1112" i="3"/>
  <c r="C1112" i="3"/>
  <c r="D1113" i="3" l="1"/>
  <c r="C1113" i="3"/>
  <c r="B1113" i="3"/>
  <c r="G1113" i="3"/>
  <c r="A1114" i="3" s="1"/>
  <c r="F1113" i="3"/>
  <c r="E1113" i="3"/>
  <c r="H1113" i="3"/>
  <c r="H1114" i="3" l="1"/>
  <c r="G1114" i="3"/>
  <c r="A1115" i="3" s="1"/>
  <c r="F1114" i="3"/>
  <c r="E1114" i="3"/>
  <c r="D1114" i="3"/>
  <c r="C1114" i="3"/>
  <c r="B1114" i="3"/>
  <c r="F1115" i="3" l="1"/>
  <c r="E1115" i="3"/>
  <c r="C1115" i="3"/>
  <c r="B1115" i="3"/>
  <c r="D1115" i="3"/>
  <c r="H1115" i="3"/>
  <c r="G1115" i="3"/>
  <c r="A1116" i="3" s="1"/>
  <c r="H1116" i="3" l="1"/>
  <c r="G1116" i="3"/>
  <c r="A1117" i="3" s="1"/>
  <c r="F1116" i="3"/>
  <c r="E1116" i="3"/>
  <c r="D1116" i="3"/>
  <c r="C1116" i="3"/>
  <c r="B1116" i="3"/>
  <c r="D1117" i="3" l="1"/>
  <c r="C1117" i="3"/>
  <c r="B1117" i="3"/>
  <c r="G1117" i="3"/>
  <c r="A1118" i="3" s="1"/>
  <c r="F1117" i="3"/>
  <c r="E1117" i="3"/>
  <c r="H1117" i="3"/>
  <c r="G1118" i="3" l="1"/>
  <c r="A1119" i="3" s="1"/>
  <c r="F1118" i="3"/>
  <c r="D1118" i="3"/>
  <c r="H1118" i="3"/>
  <c r="E1118" i="3"/>
  <c r="C1118" i="3"/>
  <c r="B1118" i="3"/>
  <c r="B1119" i="3" l="1"/>
  <c r="F1119" i="3"/>
  <c r="D1119" i="3"/>
  <c r="C1119" i="3"/>
  <c r="H1119" i="3"/>
  <c r="G1119" i="3"/>
  <c r="A1120" i="3" s="1"/>
  <c r="E1119" i="3"/>
  <c r="H1120" i="3" l="1"/>
  <c r="D1120" i="3"/>
  <c r="C1120" i="3"/>
  <c r="B1120" i="3"/>
  <c r="E1120" i="3"/>
  <c r="G1120" i="3"/>
  <c r="A1121" i="3" s="1"/>
  <c r="F1120" i="3"/>
  <c r="H1121" i="3" l="1"/>
  <c r="G1121" i="3"/>
  <c r="A1122" i="3" s="1"/>
  <c r="E1121" i="3"/>
  <c r="D1121" i="3"/>
  <c r="C1121" i="3"/>
  <c r="B1121" i="3"/>
  <c r="F1121" i="3"/>
  <c r="F1122" i="3" l="1"/>
  <c r="E1122" i="3"/>
  <c r="D1122" i="3"/>
  <c r="C1122" i="3"/>
  <c r="G1122" i="3"/>
  <c r="A1123" i="3" s="1"/>
  <c r="B1122" i="3"/>
  <c r="H1122" i="3"/>
  <c r="F1123" i="3" l="1"/>
  <c r="G1123" i="3"/>
  <c r="A1124" i="3" s="1"/>
  <c r="E1123" i="3"/>
  <c r="D1123" i="3"/>
  <c r="C1123" i="3"/>
  <c r="B1123" i="3"/>
  <c r="H1123" i="3"/>
  <c r="H1124" i="3" l="1"/>
  <c r="F1124" i="3"/>
  <c r="B1124" i="3"/>
  <c r="G1124" i="3"/>
  <c r="A1125" i="3" s="1"/>
  <c r="E1124" i="3"/>
  <c r="D1124" i="3"/>
  <c r="C1124" i="3"/>
  <c r="B1125" i="3" l="1"/>
  <c r="H1125" i="3"/>
  <c r="G1125" i="3"/>
  <c r="A1126" i="3" s="1"/>
  <c r="F1125" i="3"/>
  <c r="D1125" i="3"/>
  <c r="E1125" i="3"/>
  <c r="C1125" i="3"/>
  <c r="B1126" i="3" l="1"/>
  <c r="D1126" i="3"/>
  <c r="C1126" i="3"/>
  <c r="E1126" i="3"/>
  <c r="G1126" i="3"/>
  <c r="A1127" i="3" s="1"/>
  <c r="F1126" i="3"/>
  <c r="H1126" i="3"/>
  <c r="G1127" i="3" l="1"/>
  <c r="A1128" i="3" s="1"/>
  <c r="F1127" i="3"/>
  <c r="C1127" i="3"/>
  <c r="B1127" i="3"/>
  <c r="H1127" i="3"/>
  <c r="E1127" i="3"/>
  <c r="D1127" i="3"/>
  <c r="C1128" i="3" l="1"/>
  <c r="B1128" i="3"/>
  <c r="F1128" i="3"/>
  <c r="E1128" i="3"/>
  <c r="G1128" i="3"/>
  <c r="A1129" i="3" s="1"/>
  <c r="D1128" i="3"/>
  <c r="H1128" i="3"/>
  <c r="F1129" i="3" l="1"/>
  <c r="E1129" i="3"/>
  <c r="D1129" i="3"/>
  <c r="C1129" i="3"/>
  <c r="H1129" i="3"/>
  <c r="G1129" i="3"/>
  <c r="A1130" i="3" s="1"/>
  <c r="B1129" i="3"/>
  <c r="H1130" i="3" l="1"/>
  <c r="D1130" i="3"/>
  <c r="C1130" i="3"/>
  <c r="B1130" i="3"/>
  <c r="G1130" i="3"/>
  <c r="A1131" i="3" s="1"/>
  <c r="F1130" i="3"/>
  <c r="E1130" i="3"/>
  <c r="D1131" i="3" l="1"/>
  <c r="C1131" i="3"/>
  <c r="F1131" i="3"/>
  <c r="E1131" i="3"/>
  <c r="B1131" i="3"/>
  <c r="H1131" i="3"/>
  <c r="G1131" i="3"/>
  <c r="A1132" i="3" s="1"/>
  <c r="H1132" i="3" l="1"/>
  <c r="G1132" i="3"/>
  <c r="A1133" i="3" s="1"/>
  <c r="B1132" i="3"/>
  <c r="C1132" i="3"/>
  <c r="E1132" i="3"/>
  <c r="D1132" i="3"/>
  <c r="F1132" i="3"/>
  <c r="B1133" i="3" l="1"/>
  <c r="H1133" i="3"/>
  <c r="F1133" i="3"/>
  <c r="E1133" i="3"/>
  <c r="D1133" i="3"/>
  <c r="G1133" i="3"/>
  <c r="A1134" i="3" s="1"/>
  <c r="C1133" i="3"/>
  <c r="E1134" i="3" l="1"/>
  <c r="D1134" i="3"/>
  <c r="B1134" i="3"/>
  <c r="H1134" i="3"/>
  <c r="G1134" i="3"/>
  <c r="A1135" i="3" s="1"/>
  <c r="F1134" i="3"/>
  <c r="C1134" i="3"/>
  <c r="D1135" i="3" l="1"/>
  <c r="C1135" i="3"/>
  <c r="F1135" i="3"/>
  <c r="E1135" i="3"/>
  <c r="H1135" i="3"/>
  <c r="G1135" i="3"/>
  <c r="A1136" i="3" s="1"/>
  <c r="B1135" i="3"/>
  <c r="F1136" i="3" l="1"/>
  <c r="E1136" i="3"/>
  <c r="D1136" i="3"/>
  <c r="C1136" i="3"/>
  <c r="B1136" i="3"/>
  <c r="H1136" i="3"/>
  <c r="G1136" i="3"/>
  <c r="A1137" i="3" s="1"/>
  <c r="F1137" i="3" l="1"/>
  <c r="E1137" i="3"/>
  <c r="C1137" i="3"/>
  <c r="H1137" i="3"/>
  <c r="G1137" i="3"/>
  <c r="A1138" i="3" s="1"/>
  <c r="D1137" i="3"/>
  <c r="B1137" i="3"/>
  <c r="H1138" i="3" l="1"/>
  <c r="G1138" i="3"/>
  <c r="A1139" i="3" s="1"/>
  <c r="F1138" i="3"/>
  <c r="D1138" i="3"/>
  <c r="B1138" i="3"/>
  <c r="E1138" i="3"/>
  <c r="C1138" i="3"/>
  <c r="H1139" i="3" l="1"/>
  <c r="G1139" i="3"/>
  <c r="A1140" i="3" s="1"/>
  <c r="F1139" i="3"/>
  <c r="E1139" i="3"/>
  <c r="D1139" i="3"/>
  <c r="C1139" i="3"/>
  <c r="B1139" i="3"/>
  <c r="G1140" i="3" l="1"/>
  <c r="A1141" i="3" s="1"/>
  <c r="F1140" i="3"/>
  <c r="D1140" i="3"/>
  <c r="C1140" i="3"/>
  <c r="B1140" i="3"/>
  <c r="H1140" i="3"/>
  <c r="E1140" i="3"/>
  <c r="B1141" i="3" l="1"/>
  <c r="H1141" i="3"/>
  <c r="G1141" i="3"/>
  <c r="A1142" i="3" s="1"/>
  <c r="C1141" i="3"/>
  <c r="F1141" i="3"/>
  <c r="D1141" i="3"/>
  <c r="E1141" i="3"/>
  <c r="H1142" i="3" l="1"/>
  <c r="G1142" i="3"/>
  <c r="A1143" i="3" s="1"/>
  <c r="F1142" i="3"/>
  <c r="D1142" i="3"/>
  <c r="E1142" i="3"/>
  <c r="C1142" i="3"/>
  <c r="B1142" i="3"/>
  <c r="H1143" i="3" l="1"/>
  <c r="G1143" i="3"/>
  <c r="A1144" i="3" s="1"/>
  <c r="E1143" i="3"/>
  <c r="F1143" i="3"/>
  <c r="D1143" i="3"/>
  <c r="C1143" i="3"/>
  <c r="B1143" i="3"/>
  <c r="B1144" i="3" l="1"/>
  <c r="G1144" i="3"/>
  <c r="A1145" i="3" s="1"/>
  <c r="F1144" i="3"/>
  <c r="E1144" i="3"/>
  <c r="D1144" i="3"/>
  <c r="C1144" i="3"/>
  <c r="H1144" i="3"/>
  <c r="B1145" i="3" l="1"/>
  <c r="G1145" i="3"/>
  <c r="A1146" i="3" s="1"/>
  <c r="F1145" i="3"/>
  <c r="C1145" i="3"/>
  <c r="H1145" i="3"/>
  <c r="E1145" i="3"/>
  <c r="D1145" i="3"/>
  <c r="H1146" i="3" l="1"/>
  <c r="F1146" i="3"/>
  <c r="E1146" i="3"/>
  <c r="G1146" i="3"/>
  <c r="A1147" i="3" s="1"/>
  <c r="D1146" i="3"/>
  <c r="C1146" i="3"/>
  <c r="B1146" i="3"/>
  <c r="F1147" i="3" l="1"/>
  <c r="E1147" i="3"/>
  <c r="D1147" i="3"/>
  <c r="C1147" i="3"/>
  <c r="H1147" i="3"/>
  <c r="G1147" i="3"/>
  <c r="A1148" i="3" s="1"/>
  <c r="B1147" i="3"/>
  <c r="B1148" i="3" l="1"/>
  <c r="D1148" i="3"/>
  <c r="C1148" i="3"/>
  <c r="G1148" i="3"/>
  <c r="A1149" i="3" s="1"/>
  <c r="F1148" i="3"/>
  <c r="E1148" i="3"/>
  <c r="H1148" i="3"/>
  <c r="G1149" i="3" l="1"/>
  <c r="A1150" i="3" s="1"/>
  <c r="C1149" i="3"/>
  <c r="H1149" i="3"/>
  <c r="D1149" i="3"/>
  <c r="B1149" i="3"/>
  <c r="F1149" i="3"/>
  <c r="E1149" i="3"/>
  <c r="B1150" i="3" l="1"/>
  <c r="H1150" i="3"/>
  <c r="G1150" i="3"/>
  <c r="A1151" i="3" s="1"/>
  <c r="F1150" i="3"/>
  <c r="E1150" i="3"/>
  <c r="D1150" i="3"/>
  <c r="C1150" i="3"/>
  <c r="B1151" i="3" l="1"/>
  <c r="H1151" i="3"/>
  <c r="G1151" i="3"/>
  <c r="A1152" i="3" s="1"/>
  <c r="F1151" i="3"/>
  <c r="D1151" i="3"/>
  <c r="E1151" i="3"/>
  <c r="C1151" i="3"/>
  <c r="H1152" i="3" l="1"/>
  <c r="G1152" i="3"/>
  <c r="A1153" i="3" s="1"/>
  <c r="F1152" i="3"/>
  <c r="E1152" i="3"/>
  <c r="D1152" i="3"/>
  <c r="C1152" i="3"/>
  <c r="B1152" i="3"/>
  <c r="C1153" i="3" l="1"/>
  <c r="B1153" i="3"/>
  <c r="F1153" i="3"/>
  <c r="H1153" i="3"/>
  <c r="G1153" i="3"/>
  <c r="A1154" i="3" s="1"/>
  <c r="D1153" i="3"/>
  <c r="E1153" i="3"/>
  <c r="F1154" i="3" l="1"/>
  <c r="E1154" i="3"/>
  <c r="D1154" i="3"/>
  <c r="C1154" i="3"/>
  <c r="G1154" i="3"/>
  <c r="A1155" i="3" s="1"/>
  <c r="B1154" i="3"/>
  <c r="H1154" i="3"/>
  <c r="C1155" i="3" l="1"/>
  <c r="B1155" i="3"/>
  <c r="G1155" i="3"/>
  <c r="A1156" i="3" s="1"/>
  <c r="H1155" i="3"/>
  <c r="D1155" i="3"/>
  <c r="F1155" i="3"/>
  <c r="E1155" i="3"/>
  <c r="F1156" i="3" l="1"/>
  <c r="E1156" i="3"/>
  <c r="C1156" i="3"/>
  <c r="D1156" i="3"/>
  <c r="B1156" i="3"/>
  <c r="G1156" i="3"/>
  <c r="A1157" i="3" s="1"/>
  <c r="H1156" i="3"/>
  <c r="H1157" i="3" l="1"/>
  <c r="C1157" i="3"/>
  <c r="B1157" i="3"/>
  <c r="G1157" i="3"/>
  <c r="A1158" i="3" s="1"/>
  <c r="F1157" i="3"/>
  <c r="E1157" i="3"/>
  <c r="D1157" i="3"/>
  <c r="C1158" i="3" l="1"/>
  <c r="B1158" i="3"/>
  <c r="G1158" i="3"/>
  <c r="A1159" i="3" s="1"/>
  <c r="F1158" i="3"/>
  <c r="E1158" i="3"/>
  <c r="D1158" i="3"/>
  <c r="H1158" i="3"/>
  <c r="H1159" i="3" l="1"/>
  <c r="F1159" i="3"/>
  <c r="B1159" i="3"/>
  <c r="C1159" i="3"/>
  <c r="G1159" i="3"/>
  <c r="A1160" i="3" s="1"/>
  <c r="E1159" i="3"/>
  <c r="D1159" i="3"/>
  <c r="H1160" i="3" l="1"/>
  <c r="G1160" i="3"/>
  <c r="A1161" i="3" s="1"/>
  <c r="F1160" i="3"/>
  <c r="D1160" i="3"/>
  <c r="E1160" i="3"/>
  <c r="C1160" i="3"/>
  <c r="B1160" i="3"/>
  <c r="C1161" i="3" l="1"/>
  <c r="B1161" i="3"/>
  <c r="H1161" i="3"/>
  <c r="G1161" i="3"/>
  <c r="A1162" i="3" s="1"/>
  <c r="F1161" i="3"/>
  <c r="D1161" i="3"/>
  <c r="E1161" i="3"/>
  <c r="E1162" i="3" l="1"/>
  <c r="D1162" i="3"/>
  <c r="C1162" i="3"/>
  <c r="B1162" i="3"/>
  <c r="H1162" i="3"/>
  <c r="G1162" i="3"/>
  <c r="A1163" i="3" s="1"/>
  <c r="F1162" i="3"/>
  <c r="D1163" i="3" l="1"/>
  <c r="C1163" i="3"/>
  <c r="B1163" i="3"/>
  <c r="E1163" i="3"/>
  <c r="H1163" i="3"/>
  <c r="G1163" i="3"/>
  <c r="A1164" i="3" s="1"/>
  <c r="F1163" i="3"/>
  <c r="C1164" i="3" l="1"/>
  <c r="B1164" i="3"/>
  <c r="G1164" i="3"/>
  <c r="A1165" i="3" s="1"/>
  <c r="F1164" i="3"/>
  <c r="E1164" i="3"/>
  <c r="H1164" i="3"/>
  <c r="D1164" i="3"/>
  <c r="H1165" i="3" l="1"/>
  <c r="E1165" i="3"/>
  <c r="D1165" i="3"/>
  <c r="C1165" i="3"/>
  <c r="G1165" i="3"/>
  <c r="A1166" i="3" s="1"/>
  <c r="F1165" i="3"/>
  <c r="B1165" i="3"/>
  <c r="G1166" i="3" l="1"/>
  <c r="A1167" i="3" s="1"/>
  <c r="F1166" i="3"/>
  <c r="D1166" i="3"/>
  <c r="C1166" i="3"/>
  <c r="B1166" i="3"/>
  <c r="H1166" i="3"/>
  <c r="E1166" i="3"/>
  <c r="C1167" i="3" l="1"/>
  <c r="B1167" i="3"/>
  <c r="H1167" i="3"/>
  <c r="G1167" i="3"/>
  <c r="A1168" i="3" s="1"/>
  <c r="F1167" i="3"/>
  <c r="D1167" i="3"/>
  <c r="E1167" i="3"/>
  <c r="G1168" i="3" l="1"/>
  <c r="A1169" i="3" s="1"/>
  <c r="F1168" i="3"/>
  <c r="H1168" i="3"/>
  <c r="E1168" i="3"/>
  <c r="B1168" i="3"/>
  <c r="C1168" i="3"/>
  <c r="D1168" i="3"/>
  <c r="G1169" i="3" l="1"/>
  <c r="A1170" i="3" s="1"/>
  <c r="H1169" i="3"/>
  <c r="F1169" i="3"/>
  <c r="E1169" i="3"/>
  <c r="C1169" i="3"/>
  <c r="D1169" i="3"/>
  <c r="B1169" i="3"/>
  <c r="C1170" i="3" l="1"/>
  <c r="B1170" i="3"/>
  <c r="E1170" i="3"/>
  <c r="D1170" i="3"/>
  <c r="G1170" i="3"/>
  <c r="A1171" i="3" s="1"/>
  <c r="F1170" i="3"/>
  <c r="H1170" i="3"/>
  <c r="D1171" i="3" l="1"/>
  <c r="C1171" i="3"/>
  <c r="B1171" i="3"/>
  <c r="H1171" i="3"/>
  <c r="G1171" i="3"/>
  <c r="A1172" i="3" s="1"/>
  <c r="F1171" i="3"/>
  <c r="E1171" i="3"/>
  <c r="C1172" i="3" l="1"/>
  <c r="H1172" i="3"/>
  <c r="G1172" i="3"/>
  <c r="A1173" i="3" s="1"/>
  <c r="F1172" i="3"/>
  <c r="E1172" i="3"/>
  <c r="D1172" i="3"/>
  <c r="B1172" i="3"/>
  <c r="C1173" i="3" l="1"/>
  <c r="B1173" i="3"/>
  <c r="H1173" i="3"/>
  <c r="G1173" i="3"/>
  <c r="A1174" i="3" s="1"/>
  <c r="E1173" i="3"/>
  <c r="F1173" i="3"/>
  <c r="D1173" i="3"/>
  <c r="E1174" i="3" l="1"/>
  <c r="D1174" i="3"/>
  <c r="C1174" i="3"/>
  <c r="B1174" i="3"/>
  <c r="G1174" i="3"/>
  <c r="A1175" i="3" s="1"/>
  <c r="H1174" i="3"/>
  <c r="F1174" i="3"/>
  <c r="C1175" i="3" l="1"/>
  <c r="B1175" i="3"/>
  <c r="D1175" i="3"/>
  <c r="H1175" i="3"/>
  <c r="G1175" i="3"/>
  <c r="A1176" i="3" s="1"/>
  <c r="F1175" i="3"/>
  <c r="E1175" i="3"/>
  <c r="C1176" i="3" l="1"/>
  <c r="B1176" i="3"/>
  <c r="H1176" i="3"/>
  <c r="F1176" i="3"/>
  <c r="E1176" i="3"/>
  <c r="D1176" i="3"/>
  <c r="G1176" i="3"/>
  <c r="A1177" i="3" s="1"/>
  <c r="C1177" i="3" l="1"/>
  <c r="B1177" i="3"/>
  <c r="H1177" i="3"/>
  <c r="E1177" i="3"/>
  <c r="D1177" i="3"/>
  <c r="G1177" i="3"/>
  <c r="A1178" i="3" s="1"/>
  <c r="F1177" i="3"/>
  <c r="C1178" i="3" l="1"/>
  <c r="B1178" i="3"/>
  <c r="G1178" i="3"/>
  <c r="A1179" i="3" s="1"/>
  <c r="F1178" i="3"/>
  <c r="H1178" i="3"/>
  <c r="D1178" i="3"/>
  <c r="E1178" i="3"/>
  <c r="C1179" i="3" l="1"/>
  <c r="B1179" i="3"/>
  <c r="H1179" i="3"/>
  <c r="G1179" i="3"/>
  <c r="A1180" i="3" s="1"/>
  <c r="F1179" i="3"/>
  <c r="D1179" i="3"/>
  <c r="E1179" i="3"/>
  <c r="F1180" i="3" l="1"/>
  <c r="E1180" i="3"/>
  <c r="C1180" i="3"/>
  <c r="H1180" i="3"/>
  <c r="G1180" i="3"/>
  <c r="A1181" i="3" s="1"/>
  <c r="D1180" i="3"/>
  <c r="B1180" i="3"/>
  <c r="H1181" i="3" l="1"/>
  <c r="G1181" i="3"/>
  <c r="A1182" i="3" s="1"/>
  <c r="F1181" i="3"/>
  <c r="B1181" i="3"/>
  <c r="C1181" i="3"/>
  <c r="E1181" i="3"/>
  <c r="D1181" i="3"/>
  <c r="C1182" i="3" l="1"/>
  <c r="B1182" i="3"/>
  <c r="H1182" i="3"/>
  <c r="D1182" i="3"/>
  <c r="E1182" i="3"/>
  <c r="G1182" i="3"/>
  <c r="A1183" i="3" s="1"/>
  <c r="F1182" i="3"/>
  <c r="G1183" i="3" l="1"/>
  <c r="A1184" i="3" s="1"/>
  <c r="H1183" i="3"/>
  <c r="B1183" i="3"/>
  <c r="F1183" i="3"/>
  <c r="E1183" i="3"/>
  <c r="D1183" i="3"/>
  <c r="C1183" i="3"/>
  <c r="B1184" i="3" l="1"/>
  <c r="H1184" i="3"/>
  <c r="G1184" i="3"/>
  <c r="A1185" i="3" s="1"/>
  <c r="F1184" i="3"/>
  <c r="D1184" i="3"/>
  <c r="E1184" i="3"/>
  <c r="C1184" i="3"/>
  <c r="C1185" i="3" l="1"/>
  <c r="B1185" i="3"/>
  <c r="H1185" i="3"/>
  <c r="E1185" i="3"/>
  <c r="D1185" i="3"/>
  <c r="G1185" i="3"/>
  <c r="A1186" i="3" s="1"/>
  <c r="F1185" i="3"/>
  <c r="C1186" i="3" l="1"/>
  <c r="D1186" i="3"/>
  <c r="B1186" i="3"/>
  <c r="H1186" i="3"/>
  <c r="G1186" i="3"/>
  <c r="A1187" i="3" s="1"/>
  <c r="F1186" i="3"/>
  <c r="E1186" i="3"/>
  <c r="F1187" i="3" l="1"/>
  <c r="E1187" i="3"/>
  <c r="C1187" i="3"/>
  <c r="B1187" i="3"/>
  <c r="G1187" i="3"/>
  <c r="A1188" i="3" s="1"/>
  <c r="D1187" i="3"/>
  <c r="H1187" i="3"/>
  <c r="C1188" i="3" l="1"/>
  <c r="B1188" i="3"/>
  <c r="D1188" i="3"/>
  <c r="H1188" i="3"/>
  <c r="G1188" i="3"/>
  <c r="A1189" i="3" s="1"/>
  <c r="F1188" i="3"/>
  <c r="E1188" i="3"/>
  <c r="F1189" i="3" l="1"/>
  <c r="H1189" i="3"/>
  <c r="G1189" i="3"/>
  <c r="A1190" i="3" s="1"/>
  <c r="E1189" i="3"/>
  <c r="C1189" i="3"/>
  <c r="B1189" i="3"/>
  <c r="D1189" i="3"/>
  <c r="G1190" i="3" l="1"/>
  <c r="A1191" i="3" s="1"/>
  <c r="C1190" i="3"/>
  <c r="B1190" i="3"/>
  <c r="D1190" i="3"/>
  <c r="E1190" i="3"/>
  <c r="H1190" i="3"/>
  <c r="F1190" i="3"/>
  <c r="C1191" i="3" l="1"/>
  <c r="B1191" i="3"/>
  <c r="E1191" i="3"/>
  <c r="D1191" i="3"/>
  <c r="H1191" i="3"/>
  <c r="G1191" i="3"/>
  <c r="A1192" i="3" s="1"/>
  <c r="F1191" i="3"/>
  <c r="C1192" i="3" l="1"/>
  <c r="E1192" i="3"/>
  <c r="H1192" i="3"/>
  <c r="G1192" i="3"/>
  <c r="A1193" i="3" s="1"/>
  <c r="F1192" i="3"/>
  <c r="B1192" i="3"/>
  <c r="D1192" i="3"/>
  <c r="H1193" i="3" l="1"/>
  <c r="G1193" i="3"/>
  <c r="A1194" i="3" s="1"/>
  <c r="E1193" i="3"/>
  <c r="D1193" i="3"/>
  <c r="F1193" i="3"/>
  <c r="C1193" i="3"/>
  <c r="B1193" i="3"/>
  <c r="C1194" i="3" l="1"/>
  <c r="B1194" i="3"/>
  <c r="H1194" i="3"/>
  <c r="F1194" i="3"/>
  <c r="E1194" i="3"/>
  <c r="D1194" i="3"/>
  <c r="G1194" i="3"/>
  <c r="A1195" i="3" s="1"/>
  <c r="F1195" i="3" l="1"/>
  <c r="E1195" i="3"/>
  <c r="D1195" i="3"/>
  <c r="B1195" i="3"/>
  <c r="H1195" i="3"/>
  <c r="G1195" i="3"/>
  <c r="A1196" i="3" s="1"/>
  <c r="C1195" i="3"/>
  <c r="D1196" i="3" l="1"/>
  <c r="B1196" i="3"/>
  <c r="C1196" i="3"/>
  <c r="H1196" i="3"/>
  <c r="G1196" i="3"/>
  <c r="A1197" i="3" s="1"/>
  <c r="F1196" i="3"/>
  <c r="E1196" i="3"/>
  <c r="C1197" i="3" l="1"/>
  <c r="B1197" i="3"/>
  <c r="E1197" i="3"/>
  <c r="G1197" i="3"/>
  <c r="A1198" i="3" s="1"/>
  <c r="F1197" i="3"/>
  <c r="D1197" i="3"/>
  <c r="H1197" i="3"/>
  <c r="E1198" i="3" l="1"/>
  <c r="D1198" i="3"/>
  <c r="B1198" i="3"/>
  <c r="G1198" i="3"/>
  <c r="A1199" i="3" s="1"/>
  <c r="F1198" i="3"/>
  <c r="C1198" i="3"/>
  <c r="H1198" i="3"/>
  <c r="G1199" i="3" l="1"/>
  <c r="A1200" i="3" s="1"/>
  <c r="F1199" i="3"/>
  <c r="H1199" i="3"/>
  <c r="E1199" i="3"/>
  <c r="D1199" i="3"/>
  <c r="C1199" i="3"/>
  <c r="B1199" i="3"/>
  <c r="C1200" i="3" l="1"/>
  <c r="B1200" i="3"/>
  <c r="E1200" i="3"/>
  <c r="G1200" i="3"/>
  <c r="A1201" i="3" s="1"/>
  <c r="F1200" i="3"/>
  <c r="D1200" i="3"/>
  <c r="H1200" i="3"/>
  <c r="H1201" i="3" l="1"/>
  <c r="F1201" i="3"/>
  <c r="G1201" i="3"/>
  <c r="A1202" i="3" s="1"/>
  <c r="E1201" i="3"/>
  <c r="D1201" i="3"/>
  <c r="C1201" i="3"/>
  <c r="B1201" i="3"/>
  <c r="F1202" i="3" l="1"/>
  <c r="E1202" i="3"/>
  <c r="D1202" i="3"/>
  <c r="C1202" i="3"/>
  <c r="H1202" i="3"/>
  <c r="G1202" i="3"/>
  <c r="A1203" i="3" s="1"/>
  <c r="B1202" i="3"/>
  <c r="C1203" i="3" l="1"/>
  <c r="B1203" i="3"/>
  <c r="E1203" i="3"/>
  <c r="D1203" i="3"/>
  <c r="H1203" i="3"/>
  <c r="G1203" i="3"/>
  <c r="A1204" i="3" s="1"/>
  <c r="F1203" i="3"/>
  <c r="D1204" i="3" l="1"/>
  <c r="G1204" i="3"/>
  <c r="A1205" i="3" s="1"/>
  <c r="H1204" i="3"/>
  <c r="F1204" i="3"/>
  <c r="B1204" i="3"/>
  <c r="E1204" i="3"/>
  <c r="C1204" i="3"/>
  <c r="E1205" i="3" l="1"/>
  <c r="D1205" i="3"/>
  <c r="B1205" i="3"/>
  <c r="F1205" i="3"/>
  <c r="C1205" i="3"/>
  <c r="H1205" i="3"/>
  <c r="G1205" i="3"/>
  <c r="A1206" i="3" s="1"/>
  <c r="C1206" i="3" l="1"/>
  <c r="B1206" i="3"/>
  <c r="H1206" i="3"/>
  <c r="G1206" i="3"/>
  <c r="A1207" i="3" s="1"/>
  <c r="F1206" i="3"/>
  <c r="E1206" i="3"/>
  <c r="D1206" i="3"/>
  <c r="H1207" i="3" l="1"/>
  <c r="E1207" i="3"/>
  <c r="D1207" i="3"/>
  <c r="B1207" i="3"/>
  <c r="G1207" i="3"/>
  <c r="A1208" i="3" s="1"/>
  <c r="F1207" i="3"/>
  <c r="C1207" i="3"/>
  <c r="H1208" i="3" l="1"/>
  <c r="F1208" i="3"/>
  <c r="C1208" i="3"/>
  <c r="G1208" i="3"/>
  <c r="A1209" i="3" s="1"/>
  <c r="E1208" i="3"/>
  <c r="D1208" i="3"/>
  <c r="B1208" i="3"/>
  <c r="C1209" i="3" l="1"/>
  <c r="B1209" i="3"/>
  <c r="D1209" i="3"/>
  <c r="H1209" i="3"/>
  <c r="G1209" i="3"/>
  <c r="A1210" i="3" s="1"/>
  <c r="F1209" i="3"/>
  <c r="E1209" i="3"/>
  <c r="C1210" i="3" l="1"/>
  <c r="H1210" i="3"/>
  <c r="G1210" i="3"/>
  <c r="A1211" i="3" s="1"/>
  <c r="F1210" i="3"/>
  <c r="E1210" i="3"/>
  <c r="D1210" i="3"/>
  <c r="B1210" i="3"/>
  <c r="B1211" i="3" l="1"/>
  <c r="G1211" i="3"/>
  <c r="A1212" i="3" s="1"/>
  <c r="C1211" i="3"/>
  <c r="D1211" i="3"/>
  <c r="F1211" i="3"/>
  <c r="E1211" i="3"/>
  <c r="H1211" i="3"/>
  <c r="C1212" i="3" l="1"/>
  <c r="B1212" i="3"/>
  <c r="H1212" i="3"/>
  <c r="G1212" i="3"/>
  <c r="A1213" i="3" s="1"/>
  <c r="E1212" i="3"/>
  <c r="F1212" i="3"/>
  <c r="D1212" i="3"/>
  <c r="F1213" i="3" l="1"/>
  <c r="C1213" i="3"/>
  <c r="G1213" i="3"/>
  <c r="A1214" i="3" s="1"/>
  <c r="E1213" i="3"/>
  <c r="H1213" i="3"/>
  <c r="D1213" i="3"/>
  <c r="B1213" i="3"/>
  <c r="G1214" i="3" l="1"/>
  <c r="A1215" i="3" s="1"/>
  <c r="F1214" i="3"/>
  <c r="E1214" i="3"/>
  <c r="D1214" i="3"/>
  <c r="H1214" i="3"/>
  <c r="C1214" i="3"/>
  <c r="B1214" i="3"/>
  <c r="C1215" i="3" l="1"/>
  <c r="B1215" i="3"/>
  <c r="H1215" i="3"/>
  <c r="G1215" i="3"/>
  <c r="A1216" i="3" s="1"/>
  <c r="E1215" i="3"/>
  <c r="F1215" i="3"/>
  <c r="D1215" i="3"/>
  <c r="D1216" i="3" l="1"/>
  <c r="C1216" i="3"/>
  <c r="G1216" i="3"/>
  <c r="A1217" i="3" s="1"/>
  <c r="B1216" i="3"/>
  <c r="E1216" i="3"/>
  <c r="H1216" i="3"/>
  <c r="F1216" i="3"/>
  <c r="H1217" i="3" l="1"/>
  <c r="D1217" i="3"/>
  <c r="C1217" i="3"/>
  <c r="B1217" i="3"/>
  <c r="G1217" i="3"/>
  <c r="A1218" i="3" s="1"/>
  <c r="F1217" i="3"/>
  <c r="E1217" i="3"/>
  <c r="C1218" i="3" l="1"/>
  <c r="B1218" i="3"/>
  <c r="H1218" i="3"/>
  <c r="G1218" i="3"/>
  <c r="A1219" i="3" s="1"/>
  <c r="F1218" i="3"/>
  <c r="D1218" i="3"/>
  <c r="E1218" i="3"/>
  <c r="H1219" i="3" l="1"/>
  <c r="G1219" i="3"/>
  <c r="A1220" i="3" s="1"/>
  <c r="E1219" i="3"/>
  <c r="C1219" i="3"/>
  <c r="B1219" i="3"/>
  <c r="F1219" i="3"/>
  <c r="D1219" i="3"/>
  <c r="D1220" i="3" l="1"/>
  <c r="G1220" i="3"/>
  <c r="A1221" i="3" s="1"/>
  <c r="H1220" i="3"/>
  <c r="E1220" i="3"/>
  <c r="B1220" i="3"/>
  <c r="F1220" i="3"/>
  <c r="C1220" i="3"/>
  <c r="C1221" i="3" l="1"/>
  <c r="B1221" i="3"/>
  <c r="E1221" i="3"/>
  <c r="D1221" i="3"/>
  <c r="H1221" i="3"/>
  <c r="G1221" i="3"/>
  <c r="A1222" i="3" s="1"/>
  <c r="F1221" i="3"/>
  <c r="H1222" i="3" l="1"/>
  <c r="G1222" i="3"/>
  <c r="A1223" i="3" s="1"/>
  <c r="F1222" i="3"/>
  <c r="E1222" i="3"/>
  <c r="B1222" i="3"/>
  <c r="C1222" i="3"/>
  <c r="D1222" i="3"/>
  <c r="G1223" i="3" l="1"/>
  <c r="A1224" i="3" s="1"/>
  <c r="D1223" i="3"/>
  <c r="C1223" i="3"/>
  <c r="F1223" i="3"/>
  <c r="H1223" i="3"/>
  <c r="E1223" i="3"/>
  <c r="B1223" i="3"/>
  <c r="C1224" i="3" l="1"/>
  <c r="B1224" i="3"/>
  <c r="H1224" i="3"/>
  <c r="E1224" i="3"/>
  <c r="D1224" i="3"/>
  <c r="G1224" i="3"/>
  <c r="A1225" i="3" s="1"/>
  <c r="F1224" i="3"/>
  <c r="H1225" i="3" l="1"/>
  <c r="G1225" i="3"/>
  <c r="A1226" i="3" s="1"/>
  <c r="E1225" i="3"/>
  <c r="C1225" i="3"/>
  <c r="B1225" i="3"/>
  <c r="F1225" i="3"/>
  <c r="D1225" i="3"/>
  <c r="H1226" i="3" l="1"/>
  <c r="G1226" i="3"/>
  <c r="A1227" i="3" s="1"/>
  <c r="E1226" i="3"/>
  <c r="F1226" i="3"/>
  <c r="D1226" i="3"/>
  <c r="C1226" i="3"/>
  <c r="B1226" i="3"/>
  <c r="C1227" i="3" l="1"/>
  <c r="B1227" i="3"/>
  <c r="E1227" i="3"/>
  <c r="F1227" i="3"/>
  <c r="D1227" i="3"/>
  <c r="G1227" i="3"/>
  <c r="A1228" i="3" s="1"/>
  <c r="H1227" i="3"/>
  <c r="H1228" i="3" l="1"/>
  <c r="F1228" i="3"/>
  <c r="G1228" i="3"/>
  <c r="A1229" i="3" s="1"/>
  <c r="E1228" i="3"/>
  <c r="D1228" i="3"/>
  <c r="C1228" i="3"/>
  <c r="B1228" i="3"/>
  <c r="F1229" i="3" l="1"/>
  <c r="E1229" i="3"/>
  <c r="H1229" i="3"/>
  <c r="G1229" i="3"/>
  <c r="A1230" i="3" s="1"/>
  <c r="D1229" i="3"/>
  <c r="C1229" i="3"/>
  <c r="B1229" i="3"/>
  <c r="C1230" i="3" l="1"/>
  <c r="B1230" i="3"/>
  <c r="H1230" i="3"/>
  <c r="G1230" i="3"/>
  <c r="A1231" i="3" s="1"/>
  <c r="F1230" i="3"/>
  <c r="D1230" i="3"/>
  <c r="E1230" i="3"/>
  <c r="E1231" i="3" l="1"/>
  <c r="D1231" i="3"/>
  <c r="C1231" i="3"/>
  <c r="B1231" i="3"/>
  <c r="H1231" i="3"/>
  <c r="G1231" i="3"/>
  <c r="A1232" i="3" s="1"/>
  <c r="F1231" i="3"/>
  <c r="G1232" i="3" l="1"/>
  <c r="A1233" i="3" s="1"/>
  <c r="H1232" i="3"/>
  <c r="E1232" i="3"/>
  <c r="D1232" i="3"/>
  <c r="C1232" i="3"/>
  <c r="B1232" i="3"/>
  <c r="F1232" i="3"/>
  <c r="C1233" i="3" l="1"/>
  <c r="B1233" i="3"/>
  <c r="H1233" i="3"/>
  <c r="F1233" i="3"/>
  <c r="D1233" i="3"/>
  <c r="G1233" i="3"/>
  <c r="A1234" i="3" s="1"/>
  <c r="E1233" i="3"/>
  <c r="C1234" i="3" l="1"/>
  <c r="D1234" i="3"/>
  <c r="B1234" i="3"/>
  <c r="H1234" i="3"/>
  <c r="G1234" i="3"/>
  <c r="A1235" i="3" s="1"/>
  <c r="F1234" i="3"/>
  <c r="E1234" i="3"/>
  <c r="D1235" i="3" l="1"/>
  <c r="C1235" i="3"/>
  <c r="B1235" i="3"/>
  <c r="H1235" i="3"/>
  <c r="G1235" i="3"/>
  <c r="A1236" i="3" s="1"/>
  <c r="F1235" i="3"/>
  <c r="E1235" i="3"/>
  <c r="C1236" i="3" l="1"/>
  <c r="B1236" i="3"/>
  <c r="G1236" i="3"/>
  <c r="A1237" i="3" s="1"/>
  <c r="F1236" i="3"/>
  <c r="E1236" i="3"/>
  <c r="H1236" i="3"/>
  <c r="D1236" i="3"/>
  <c r="F1237" i="3" l="1"/>
  <c r="H1237" i="3"/>
  <c r="G1237" i="3"/>
  <c r="A1238" i="3" s="1"/>
  <c r="D1237" i="3"/>
  <c r="B1237" i="3"/>
  <c r="C1237" i="3"/>
  <c r="E1237" i="3"/>
  <c r="H1238" i="3" l="1"/>
  <c r="F1238" i="3"/>
  <c r="B1238" i="3"/>
  <c r="E1238" i="3"/>
  <c r="D1238" i="3"/>
  <c r="G1238" i="3"/>
  <c r="A1239" i="3" s="1"/>
  <c r="C1238" i="3"/>
  <c r="C1239" i="3" l="1"/>
  <c r="B1239" i="3"/>
  <c r="F1239" i="3"/>
  <c r="E1239" i="3"/>
  <c r="D1239" i="3"/>
  <c r="H1239" i="3"/>
  <c r="G1239" i="3"/>
  <c r="A1240" i="3" s="1"/>
  <c r="H1240" i="3" l="1"/>
  <c r="G1240" i="3"/>
  <c r="A1241" i="3" s="1"/>
  <c r="F1240" i="3"/>
  <c r="E1240" i="3"/>
  <c r="D1240" i="3"/>
  <c r="C1240" i="3"/>
  <c r="B1240" i="3"/>
  <c r="D1241" i="3" l="1"/>
  <c r="C1241" i="3"/>
  <c r="B1241" i="3"/>
  <c r="H1241" i="3"/>
  <c r="G1241" i="3"/>
  <c r="A1242" i="3" s="1"/>
  <c r="F1241" i="3"/>
  <c r="E1241" i="3"/>
  <c r="C1242" i="3" l="1"/>
  <c r="B1242" i="3"/>
  <c r="D1242" i="3"/>
  <c r="E1242" i="3"/>
  <c r="H1242" i="3"/>
  <c r="G1242" i="3"/>
  <c r="A1243" i="3" s="1"/>
  <c r="F1242" i="3"/>
  <c r="E1243" i="3" l="1"/>
  <c r="D1243" i="3"/>
  <c r="C1243" i="3"/>
  <c r="B1243" i="3"/>
  <c r="H1243" i="3"/>
  <c r="F1243" i="3"/>
  <c r="G1243" i="3"/>
  <c r="A1244" i="3" s="1"/>
  <c r="D1244" i="3" l="1"/>
  <c r="H1244" i="3"/>
  <c r="G1244" i="3"/>
  <c r="A1245" i="3" s="1"/>
  <c r="E1244" i="3"/>
  <c r="C1244" i="3"/>
  <c r="F1244" i="3"/>
  <c r="B1244" i="3"/>
  <c r="C1245" i="3" l="1"/>
  <c r="B1245" i="3"/>
  <c r="F1245" i="3"/>
  <c r="E1245" i="3"/>
  <c r="D1245" i="3"/>
  <c r="H1245" i="3"/>
  <c r="G1245" i="3"/>
  <c r="A1246" i="3" s="1"/>
  <c r="G1246" i="3" l="1"/>
  <c r="A1247" i="3" s="1"/>
  <c r="F1246" i="3"/>
  <c r="E1246" i="3"/>
  <c r="C1246" i="3"/>
  <c r="B1246" i="3"/>
  <c r="D1246" i="3"/>
  <c r="H1246" i="3"/>
  <c r="G1247" i="3" l="1"/>
  <c r="A1248" i="3" s="1"/>
  <c r="D1247" i="3"/>
  <c r="C1247" i="3"/>
  <c r="B1247" i="3"/>
  <c r="H1247" i="3"/>
  <c r="F1247" i="3"/>
  <c r="E1247" i="3"/>
  <c r="C1248" i="3" l="1"/>
  <c r="B1248" i="3"/>
  <c r="G1248" i="3"/>
  <c r="A1249" i="3" s="1"/>
  <c r="F1248" i="3"/>
  <c r="D1248" i="3"/>
  <c r="H1248" i="3"/>
  <c r="E1248" i="3"/>
  <c r="E1249" i="3" l="1"/>
  <c r="D1249" i="3"/>
  <c r="H1249" i="3"/>
  <c r="G1249" i="3"/>
  <c r="A1250" i="3" s="1"/>
  <c r="F1249" i="3"/>
  <c r="C1249" i="3"/>
  <c r="B1249" i="3"/>
  <c r="H1250" i="3" l="1"/>
  <c r="G1250" i="3"/>
  <c r="A1251" i="3" s="1"/>
  <c r="D1250" i="3"/>
  <c r="F1250" i="3"/>
  <c r="E1250" i="3"/>
  <c r="C1250" i="3"/>
  <c r="B1250" i="3"/>
  <c r="C1251" i="3" l="1"/>
  <c r="B1251" i="3"/>
  <c r="E1251" i="3"/>
  <c r="H1251" i="3"/>
  <c r="G1251" i="3"/>
  <c r="A1252" i="3" s="1"/>
  <c r="F1251" i="3"/>
  <c r="D1251" i="3"/>
  <c r="C1252" i="3" l="1"/>
  <c r="B1252" i="3"/>
  <c r="F1252" i="3"/>
  <c r="E1252" i="3"/>
  <c r="D1252" i="3"/>
  <c r="H1252" i="3"/>
  <c r="G1252" i="3"/>
  <c r="A1253" i="3" s="1"/>
  <c r="D1253" i="3" l="1"/>
  <c r="H1253" i="3"/>
  <c r="B1253" i="3"/>
  <c r="G1253" i="3"/>
  <c r="A1254" i="3" s="1"/>
  <c r="F1253" i="3"/>
  <c r="E1253" i="3"/>
  <c r="C1253" i="3"/>
  <c r="C1254" i="3" l="1"/>
  <c r="B1254" i="3"/>
  <c r="H1254" i="3"/>
  <c r="D1254" i="3"/>
  <c r="F1254" i="3"/>
  <c r="E1254" i="3"/>
  <c r="G1254" i="3"/>
  <c r="A1255" i="3" s="1"/>
  <c r="G1255" i="3" l="1"/>
  <c r="A1256" i="3" s="1"/>
  <c r="F1255" i="3"/>
  <c r="D1255" i="3"/>
  <c r="H1255" i="3"/>
  <c r="E1255" i="3"/>
  <c r="C1255" i="3"/>
  <c r="B1255" i="3"/>
  <c r="H1256" i="3" l="1"/>
  <c r="F1256" i="3"/>
  <c r="D1256" i="3"/>
  <c r="C1256" i="3"/>
  <c r="G1256" i="3"/>
  <c r="A1257" i="3" s="1"/>
  <c r="E1256" i="3"/>
  <c r="B1256" i="3"/>
  <c r="C1257" i="3" l="1"/>
  <c r="B1257" i="3"/>
  <c r="F1257" i="3"/>
  <c r="E1257" i="3"/>
  <c r="D1257" i="3"/>
  <c r="H1257" i="3"/>
  <c r="G1257" i="3"/>
  <c r="A1258" i="3" s="1"/>
  <c r="C1258" i="3" l="1"/>
  <c r="H1258" i="3"/>
  <c r="G1258" i="3"/>
  <c r="A1259" i="3" s="1"/>
  <c r="E1258" i="3"/>
  <c r="D1258" i="3"/>
  <c r="B1258" i="3"/>
  <c r="F1258" i="3"/>
  <c r="C1259" i="3" l="1"/>
  <c r="B1259" i="3"/>
  <c r="H1259" i="3"/>
  <c r="G1259" i="3"/>
  <c r="A1260" i="3" s="1"/>
  <c r="F1259" i="3"/>
  <c r="E1259" i="3"/>
  <c r="D1259" i="3"/>
  <c r="C1260" i="3" l="1"/>
  <c r="B1260" i="3"/>
  <c r="H1260" i="3"/>
  <c r="G1260" i="3"/>
  <c r="A1261" i="3" s="1"/>
  <c r="F1260" i="3"/>
  <c r="E1260" i="3"/>
  <c r="D1260" i="3"/>
  <c r="F1261" i="3" l="1"/>
  <c r="E1261" i="3"/>
  <c r="G1261" i="3"/>
  <c r="A1262" i="3" s="1"/>
  <c r="B1261" i="3"/>
  <c r="D1261" i="3"/>
  <c r="C1261" i="3"/>
  <c r="H1261" i="3"/>
  <c r="G1262" i="3" l="1"/>
  <c r="A1263" i="3" s="1"/>
  <c r="F1262" i="3"/>
  <c r="D1262" i="3"/>
  <c r="C1262" i="3"/>
  <c r="B1262" i="3"/>
  <c r="H1262" i="3"/>
  <c r="E1262" i="3"/>
  <c r="C1263" i="3" l="1"/>
  <c r="B1263" i="3"/>
  <c r="H1263" i="3"/>
  <c r="G1263" i="3"/>
  <c r="A1264" i="3" s="1"/>
  <c r="D1263" i="3"/>
  <c r="E1263" i="3"/>
  <c r="F1263" i="3"/>
  <c r="B1264" i="3" l="1"/>
  <c r="G1264" i="3"/>
  <c r="A1265" i="3" s="1"/>
  <c r="D1264" i="3"/>
  <c r="H1264" i="3"/>
  <c r="F1264" i="3"/>
  <c r="E1264" i="3"/>
  <c r="C1264" i="3"/>
  <c r="H1265" i="3" l="1"/>
  <c r="E1265" i="3"/>
  <c r="F1265" i="3"/>
  <c r="D1265" i="3"/>
  <c r="G1265" i="3"/>
  <c r="A1266" i="3" s="1"/>
  <c r="C1265" i="3"/>
  <c r="B1265" i="3"/>
  <c r="C1266" i="3" l="1"/>
  <c r="B1266" i="3"/>
  <c r="F1266" i="3"/>
  <c r="E1266" i="3"/>
  <c r="H1266" i="3"/>
  <c r="G1266" i="3"/>
  <c r="A1267" i="3" s="1"/>
  <c r="D1266" i="3"/>
  <c r="H1267" i="3" l="1"/>
  <c r="G1267" i="3"/>
  <c r="A1268" i="3" s="1"/>
  <c r="F1267" i="3"/>
  <c r="E1267" i="3"/>
  <c r="D1267" i="3"/>
  <c r="C1267" i="3"/>
  <c r="B1267" i="3"/>
  <c r="D1268" i="3" l="1"/>
  <c r="C1268" i="3"/>
  <c r="B1268" i="3"/>
  <c r="E1268" i="3"/>
  <c r="H1268" i="3"/>
  <c r="F1268" i="3"/>
  <c r="G1268" i="3"/>
  <c r="A1269" i="3" s="1"/>
  <c r="C1269" i="3" l="1"/>
  <c r="B1269" i="3"/>
  <c r="G1269" i="3"/>
  <c r="A1270" i="3" s="1"/>
  <c r="H1269" i="3"/>
  <c r="F1269" i="3"/>
  <c r="E1269" i="3"/>
  <c r="D1269" i="3"/>
  <c r="B1270" i="3" l="1"/>
  <c r="C1270" i="3"/>
  <c r="F1270" i="3"/>
  <c r="H1270" i="3"/>
  <c r="G1270" i="3"/>
  <c r="A1271" i="3" s="1"/>
  <c r="E1270" i="3"/>
  <c r="D1270" i="3"/>
  <c r="G1271" i="3" l="1"/>
  <c r="A1272" i="3" s="1"/>
  <c r="H1271" i="3"/>
  <c r="F1271" i="3"/>
  <c r="E1271" i="3"/>
  <c r="D1271" i="3"/>
  <c r="C1271" i="3"/>
  <c r="B1271" i="3"/>
  <c r="C1272" i="3" l="1"/>
  <c r="B1272" i="3"/>
  <c r="D1272" i="3"/>
  <c r="H1272" i="3"/>
  <c r="G1272" i="3"/>
  <c r="A1273" i="3" s="1"/>
  <c r="E1272" i="3"/>
  <c r="F1272" i="3"/>
  <c r="F1273" i="3" l="1"/>
  <c r="E1273" i="3"/>
  <c r="C1273" i="3"/>
  <c r="H1273" i="3"/>
  <c r="G1273" i="3"/>
  <c r="A1274" i="3" s="1"/>
  <c r="D1273" i="3"/>
  <c r="B1273" i="3"/>
  <c r="G1274" i="3" l="1"/>
  <c r="A1275" i="3" s="1"/>
  <c r="D1274" i="3"/>
  <c r="C1274" i="3"/>
  <c r="B1274" i="3"/>
  <c r="H1274" i="3"/>
  <c r="F1274" i="3"/>
  <c r="E1274" i="3"/>
  <c r="C1275" i="3" l="1"/>
  <c r="B1275" i="3"/>
  <c r="E1275" i="3"/>
  <c r="H1275" i="3"/>
  <c r="G1275" i="3"/>
  <c r="A1276" i="3" s="1"/>
  <c r="F1275" i="3"/>
  <c r="D1275" i="3"/>
  <c r="G1276" i="3" l="1"/>
  <c r="A1277" i="3" s="1"/>
  <c r="C1276" i="3"/>
  <c r="B1276" i="3"/>
  <c r="H1276" i="3"/>
  <c r="D1276" i="3"/>
  <c r="F1276" i="3"/>
  <c r="E1276" i="3"/>
  <c r="B1277" i="3" l="1"/>
  <c r="H1277" i="3"/>
  <c r="G1277" i="3"/>
  <c r="A1278" i="3" s="1"/>
  <c r="F1277" i="3"/>
  <c r="D1277" i="3"/>
  <c r="C1277" i="3"/>
  <c r="E1277" i="3"/>
  <c r="C1278" i="3" l="1"/>
  <c r="B1278" i="3"/>
  <c r="H1278" i="3"/>
  <c r="D1278" i="3"/>
  <c r="G1278" i="3"/>
  <c r="A1279" i="3" s="1"/>
  <c r="F1278" i="3"/>
  <c r="E1278" i="3"/>
  <c r="H1279" i="3" l="1"/>
  <c r="G1279" i="3"/>
  <c r="A1280" i="3" s="1"/>
  <c r="B1279" i="3"/>
  <c r="F1279" i="3"/>
  <c r="E1279" i="3"/>
  <c r="D1279" i="3"/>
  <c r="C1279" i="3"/>
  <c r="F1280" i="3" l="1"/>
  <c r="E1280" i="3"/>
  <c r="C1280" i="3"/>
  <c r="B1280" i="3"/>
  <c r="D1280" i="3"/>
  <c r="H1280" i="3"/>
  <c r="G1280" i="3"/>
  <c r="A1281" i="3" s="1"/>
  <c r="C1281" i="3" l="1"/>
  <c r="B1281" i="3"/>
  <c r="D1281" i="3"/>
  <c r="G1281" i="3"/>
  <c r="A1282" i="3" s="1"/>
  <c r="F1281" i="3"/>
  <c r="E1281" i="3"/>
  <c r="H1281" i="3"/>
  <c r="C1282" i="3" l="1"/>
  <c r="B1282" i="3"/>
  <c r="H1282" i="3"/>
  <c r="G1282" i="3"/>
  <c r="A1283" i="3" s="1"/>
  <c r="E1282" i="3"/>
  <c r="D1282" i="3"/>
  <c r="F1282" i="3"/>
  <c r="G1283" i="3" l="1"/>
  <c r="A1284" i="3" s="1"/>
  <c r="H1283" i="3"/>
  <c r="F1283" i="3"/>
  <c r="D1283" i="3"/>
  <c r="E1283" i="3"/>
  <c r="C1283" i="3"/>
  <c r="B1283" i="3"/>
  <c r="C1284" i="3" l="1"/>
  <c r="B1284" i="3"/>
  <c r="E1284" i="3"/>
  <c r="D1284" i="3"/>
  <c r="G1284" i="3"/>
  <c r="A1285" i="3" s="1"/>
  <c r="F1284" i="3"/>
  <c r="H1284" i="3"/>
  <c r="F1285" i="3" l="1"/>
  <c r="E1285" i="3"/>
  <c r="G1285" i="3"/>
  <c r="A1286" i="3" s="1"/>
  <c r="D1285" i="3"/>
  <c r="B1285" i="3"/>
  <c r="H1285" i="3"/>
  <c r="C1285" i="3"/>
  <c r="B1286" i="3" l="1"/>
  <c r="G1286" i="3"/>
  <c r="A1287" i="3" s="1"/>
  <c r="F1286" i="3"/>
  <c r="E1286" i="3"/>
  <c r="H1286" i="3"/>
  <c r="D1286" i="3"/>
  <c r="C1286" i="3"/>
  <c r="C1287" i="3" l="1"/>
  <c r="B1287" i="3"/>
  <c r="H1287" i="3"/>
  <c r="F1287" i="3"/>
  <c r="G1287" i="3"/>
  <c r="A1288" i="3" s="1"/>
  <c r="D1287" i="3"/>
  <c r="E1287" i="3"/>
  <c r="F1288" i="3" l="1"/>
  <c r="E1288" i="3"/>
  <c r="D1288" i="3"/>
  <c r="C1288" i="3"/>
  <c r="G1288" i="3"/>
  <c r="A1289" i="3" s="1"/>
  <c r="B1288" i="3"/>
  <c r="H1288" i="3"/>
  <c r="H1289" i="3" l="1"/>
  <c r="D1289" i="3"/>
  <c r="C1289" i="3"/>
  <c r="B1289" i="3"/>
  <c r="G1289" i="3"/>
  <c r="A1290" i="3" s="1"/>
  <c r="F1289" i="3"/>
  <c r="E1289" i="3"/>
  <c r="C1290" i="3" l="1"/>
  <c r="B1290" i="3"/>
  <c r="D1290" i="3"/>
  <c r="F1290" i="3"/>
  <c r="H1290" i="3"/>
  <c r="G1290" i="3"/>
  <c r="A1291" i="3" s="1"/>
  <c r="E1290" i="3"/>
  <c r="E1291" i="3" l="1"/>
  <c r="D1291" i="3"/>
  <c r="B1291" i="3"/>
  <c r="G1291" i="3"/>
  <c r="A1292" i="3" s="1"/>
  <c r="F1291" i="3"/>
  <c r="H1291" i="3"/>
  <c r="C1291" i="3"/>
  <c r="D1292" i="3" l="1"/>
  <c r="G1292" i="3"/>
  <c r="A1293" i="3" s="1"/>
  <c r="F1292" i="3"/>
  <c r="E1292" i="3"/>
  <c r="C1292" i="3"/>
  <c r="H1292" i="3"/>
  <c r="B1292" i="3"/>
  <c r="C1293" i="3" l="1"/>
  <c r="B1293" i="3"/>
  <c r="H1293" i="3"/>
  <c r="G1293" i="3"/>
  <c r="A1294" i="3" s="1"/>
  <c r="F1293" i="3"/>
  <c r="D1293" i="3"/>
  <c r="E1293" i="3"/>
  <c r="G1294" i="3" l="1"/>
  <c r="A1295" i="3" s="1"/>
  <c r="D1294" i="3"/>
  <c r="C1294" i="3"/>
  <c r="B1294" i="3"/>
  <c r="E1294" i="3"/>
  <c r="F1294" i="3"/>
  <c r="H1294" i="3"/>
  <c r="G1295" i="3" l="1"/>
  <c r="A1296" i="3" s="1"/>
  <c r="D1295" i="3"/>
  <c r="B1295" i="3"/>
  <c r="H1295" i="3"/>
  <c r="F1295" i="3"/>
  <c r="E1295" i="3"/>
  <c r="C1295" i="3"/>
  <c r="C1296" i="3" l="1"/>
  <c r="B1296" i="3"/>
  <c r="H1296" i="3"/>
  <c r="G1296" i="3"/>
  <c r="A1297" i="3" s="1"/>
  <c r="E1296" i="3"/>
  <c r="D1296" i="3"/>
  <c r="F1296" i="3"/>
  <c r="B1297" i="3" l="1"/>
  <c r="C1297" i="3"/>
  <c r="F1297" i="3"/>
  <c r="E1297" i="3"/>
  <c r="D1297" i="3"/>
  <c r="H1297" i="3"/>
  <c r="G1297" i="3"/>
  <c r="A1298" i="3" s="1"/>
  <c r="G1298" i="3" l="1"/>
  <c r="A1299" i="3" s="1"/>
  <c r="H1298" i="3"/>
  <c r="F1298" i="3"/>
  <c r="D1298" i="3"/>
  <c r="E1298" i="3"/>
  <c r="C1298" i="3"/>
  <c r="B1298" i="3"/>
  <c r="C1299" i="3" l="1"/>
  <c r="B1299" i="3"/>
  <c r="E1299" i="3"/>
  <c r="F1299" i="3"/>
  <c r="D1299" i="3"/>
  <c r="G1299" i="3"/>
  <c r="A1300" i="3" s="1"/>
  <c r="H1299" i="3"/>
  <c r="H1300" i="3" l="1"/>
  <c r="G1300" i="3"/>
  <c r="A1301" i="3" s="1"/>
  <c r="F1300" i="3"/>
  <c r="E1300" i="3"/>
  <c r="D1300" i="3"/>
  <c r="C1300" i="3"/>
  <c r="B1300" i="3"/>
  <c r="B1301" i="3" l="1"/>
  <c r="D1301" i="3"/>
  <c r="H1301" i="3"/>
  <c r="G1301" i="3"/>
  <c r="A1302" i="3" s="1"/>
  <c r="F1301" i="3"/>
  <c r="E1301" i="3"/>
  <c r="C1301" i="3"/>
  <c r="C1302" i="3" l="1"/>
  <c r="B1302" i="3"/>
  <c r="H1302" i="3"/>
  <c r="E1302" i="3"/>
  <c r="G1302" i="3"/>
  <c r="A1303" i="3" s="1"/>
  <c r="D1302" i="3"/>
  <c r="F1302" i="3"/>
  <c r="D1303" i="3" l="1"/>
  <c r="G1303" i="3"/>
  <c r="A1304" i="3" s="1"/>
  <c r="F1303" i="3"/>
  <c r="B1303" i="3"/>
  <c r="E1303" i="3"/>
  <c r="C1303" i="3"/>
  <c r="H1303" i="3"/>
  <c r="H1304" i="3" l="1"/>
  <c r="G1304" i="3"/>
  <c r="A1305" i="3" s="1"/>
  <c r="C1304" i="3"/>
  <c r="B1304" i="3"/>
  <c r="F1304" i="3"/>
  <c r="E1304" i="3"/>
  <c r="D1304" i="3"/>
  <c r="C1305" i="3" l="1"/>
  <c r="B1305" i="3"/>
  <c r="H1305" i="3"/>
  <c r="E1305" i="3"/>
  <c r="D1305" i="3"/>
  <c r="G1305" i="3"/>
  <c r="A1306" i="3" s="1"/>
  <c r="F1305" i="3"/>
  <c r="C1306" i="3" l="1"/>
  <c r="B1306" i="3"/>
  <c r="G1306" i="3"/>
  <c r="A1307" i="3" s="1"/>
  <c r="F1306" i="3"/>
  <c r="D1306" i="3"/>
  <c r="H1306" i="3"/>
  <c r="E1306" i="3"/>
  <c r="E1307" i="3" l="1"/>
  <c r="B1307" i="3"/>
  <c r="G1307" i="3"/>
  <c r="A1308" i="3" s="1"/>
  <c r="F1307" i="3"/>
  <c r="D1307" i="3"/>
  <c r="C1307" i="3"/>
  <c r="H1307" i="3"/>
  <c r="C1308" i="3" l="1"/>
  <c r="B1308" i="3"/>
  <c r="H1308" i="3"/>
  <c r="G1308" i="3"/>
  <c r="A1309" i="3" s="1"/>
  <c r="E1308" i="3"/>
  <c r="D1308" i="3"/>
  <c r="F1308" i="3"/>
  <c r="F1309" i="3" l="1"/>
  <c r="E1309" i="3"/>
  <c r="C1309" i="3"/>
  <c r="H1309" i="3"/>
  <c r="G1309" i="3"/>
  <c r="A1310" i="3" s="1"/>
  <c r="D1309" i="3"/>
  <c r="B1309" i="3"/>
  <c r="E1310" i="3" l="1"/>
  <c r="D1310" i="3"/>
  <c r="B1310" i="3"/>
  <c r="F1310" i="3"/>
  <c r="C1310" i="3"/>
  <c r="H1310" i="3"/>
  <c r="G1310" i="3"/>
  <c r="A1311" i="3" s="1"/>
  <c r="C1311" i="3" l="1"/>
  <c r="B1311" i="3"/>
  <c r="E1311" i="3"/>
  <c r="H1311" i="3"/>
  <c r="G1311" i="3"/>
  <c r="A1312" i="3" s="1"/>
  <c r="F1311" i="3"/>
  <c r="D1311" i="3"/>
  <c r="H1312" i="3" l="1"/>
  <c r="F1312" i="3"/>
  <c r="D1312" i="3"/>
  <c r="G1312" i="3"/>
  <c r="A1313" i="3" s="1"/>
  <c r="E1312" i="3"/>
  <c r="B1312" i="3"/>
  <c r="C1312" i="3"/>
  <c r="H1313" i="3" l="1"/>
  <c r="G1313" i="3"/>
  <c r="A1314" i="3" s="1"/>
  <c r="F1313" i="3"/>
  <c r="E1313" i="3"/>
  <c r="C1313" i="3"/>
  <c r="B1313" i="3"/>
  <c r="D1313" i="3"/>
  <c r="C1314" i="3" l="1"/>
  <c r="B1314" i="3"/>
  <c r="F1314" i="3"/>
  <c r="E1314" i="3"/>
  <c r="H1314" i="3"/>
  <c r="G1314" i="3"/>
  <c r="A1315" i="3" s="1"/>
  <c r="D1314" i="3"/>
  <c r="G1315" i="3" l="1"/>
  <c r="A1316" i="3" s="1"/>
  <c r="F1315" i="3"/>
  <c r="E1315" i="3"/>
  <c r="C1315" i="3"/>
  <c r="B1315" i="3"/>
  <c r="H1315" i="3"/>
  <c r="D1315" i="3"/>
  <c r="D1316" i="3" l="1"/>
  <c r="C1316" i="3"/>
  <c r="E1316" i="3"/>
  <c r="H1316" i="3"/>
  <c r="G1316" i="3"/>
  <c r="A1317" i="3" s="1"/>
  <c r="F1316" i="3"/>
  <c r="B1316" i="3"/>
  <c r="C1317" i="3" l="1"/>
  <c r="B1317" i="3"/>
  <c r="H1317" i="3"/>
  <c r="G1317" i="3"/>
  <c r="A1318" i="3" s="1"/>
  <c r="F1317" i="3"/>
  <c r="E1317" i="3"/>
  <c r="D1317" i="3"/>
  <c r="D1318" i="3" l="1"/>
  <c r="C1318" i="3"/>
  <c r="H1318" i="3"/>
  <c r="G1318" i="3"/>
  <c r="A1319" i="3" s="1"/>
  <c r="F1318" i="3"/>
  <c r="E1318" i="3"/>
  <c r="B1318" i="3"/>
  <c r="G1319" i="3" l="1"/>
  <c r="A1320" i="3" s="1"/>
  <c r="F1319" i="3"/>
  <c r="D1319" i="3"/>
  <c r="H1319" i="3"/>
  <c r="B1319" i="3"/>
  <c r="E1319" i="3"/>
  <c r="C1319" i="3"/>
  <c r="C1320" i="3" l="1"/>
  <c r="B1320" i="3"/>
  <c r="G1320" i="3"/>
  <c r="A1321" i="3" s="1"/>
  <c r="D1320" i="3"/>
  <c r="H1320" i="3"/>
  <c r="F1320" i="3"/>
  <c r="E1320" i="3"/>
  <c r="G1321" i="3" l="1"/>
  <c r="A1322" i="3" s="1"/>
  <c r="D1321" i="3"/>
  <c r="C1321" i="3"/>
  <c r="B1321" i="3"/>
  <c r="H1321" i="3"/>
  <c r="F1321" i="3"/>
  <c r="E1321" i="3"/>
  <c r="G1322" i="3" l="1"/>
  <c r="A1323" i="3" s="1"/>
  <c r="B1322" i="3"/>
  <c r="H1322" i="3"/>
  <c r="C1322" i="3"/>
  <c r="D1322" i="3"/>
  <c r="F1322" i="3"/>
  <c r="E1322" i="3"/>
  <c r="C1323" i="3" l="1"/>
  <c r="B1323" i="3"/>
  <c r="E1323" i="3"/>
  <c r="D1323" i="3"/>
  <c r="H1323" i="3"/>
  <c r="G1323" i="3"/>
  <c r="A1324" i="3" s="1"/>
  <c r="F1323" i="3"/>
  <c r="B1324" i="3" l="1"/>
  <c r="D1324" i="3"/>
  <c r="E1324" i="3"/>
  <c r="C1324" i="3"/>
  <c r="H1324" i="3"/>
  <c r="G1324" i="3"/>
  <c r="A1325" i="3" s="1"/>
  <c r="F1324" i="3"/>
  <c r="H1325" i="3" l="1"/>
  <c r="G1325" i="3"/>
  <c r="A1326" i="3" s="1"/>
  <c r="E1325" i="3"/>
  <c r="B1325" i="3"/>
  <c r="F1325" i="3"/>
  <c r="D1325" i="3"/>
  <c r="C1325" i="3"/>
  <c r="C1326" i="3" l="1"/>
  <c r="B1326" i="3"/>
  <c r="H1326" i="3"/>
  <c r="G1326" i="3"/>
  <c r="A1327" i="3" s="1"/>
  <c r="E1326" i="3"/>
  <c r="F1326" i="3"/>
  <c r="D1326" i="3"/>
  <c r="H1327" i="3" l="1"/>
  <c r="G1327" i="3"/>
  <c r="A1328" i="3" s="1"/>
  <c r="F1327" i="3"/>
  <c r="D1327" i="3"/>
  <c r="C1327" i="3"/>
  <c r="B1327" i="3"/>
  <c r="E1327" i="3"/>
  <c r="C1328" i="3" l="1"/>
  <c r="H1328" i="3"/>
  <c r="B1328" i="3"/>
  <c r="G1328" i="3"/>
  <c r="A1329" i="3" s="1"/>
  <c r="F1328" i="3"/>
  <c r="E1328" i="3"/>
  <c r="D1328" i="3"/>
  <c r="C1329" i="3" l="1"/>
  <c r="B1329" i="3"/>
  <c r="H1329" i="3"/>
  <c r="F1329" i="3"/>
  <c r="G1329" i="3"/>
  <c r="A1330" i="3" s="1"/>
  <c r="E1329" i="3"/>
  <c r="D1329" i="3"/>
  <c r="C1330" i="3" l="1"/>
  <c r="B1330" i="3"/>
  <c r="D1330" i="3"/>
  <c r="E1330" i="3"/>
  <c r="F1330" i="3"/>
  <c r="G1330" i="3"/>
  <c r="A1331" i="3" s="1"/>
  <c r="H1330" i="3"/>
  <c r="H1331" i="3" l="1"/>
  <c r="G1331" i="3"/>
  <c r="A1332" i="3" s="1"/>
  <c r="E1331" i="3"/>
  <c r="D1331" i="3"/>
  <c r="C1331" i="3"/>
  <c r="B1331" i="3"/>
  <c r="F1331" i="3"/>
  <c r="C1332" i="3" l="1"/>
  <c r="B1332" i="3"/>
  <c r="E1332" i="3"/>
  <c r="D1332" i="3"/>
  <c r="G1332" i="3"/>
  <c r="A1333" i="3" s="1"/>
  <c r="H1332" i="3"/>
  <c r="F1332" i="3"/>
  <c r="F1333" i="3" l="1"/>
  <c r="E1333" i="3"/>
  <c r="C1333" i="3"/>
  <c r="G1333" i="3"/>
  <c r="A1334" i="3" s="1"/>
  <c r="H1333" i="3"/>
  <c r="D1333" i="3"/>
  <c r="B1333" i="3"/>
  <c r="B1334" i="3" l="1"/>
  <c r="F1334" i="3"/>
  <c r="E1334" i="3"/>
  <c r="D1334" i="3"/>
  <c r="C1334" i="3"/>
  <c r="H1334" i="3"/>
  <c r="G1334" i="3"/>
  <c r="A1335" i="3" s="1"/>
  <c r="C1335" i="3" l="1"/>
  <c r="B1335" i="3"/>
  <c r="F1335" i="3"/>
  <c r="E1335" i="3"/>
  <c r="H1335" i="3"/>
  <c r="G1335" i="3"/>
  <c r="A1336" i="3" s="1"/>
  <c r="D1335" i="3"/>
  <c r="H1336" i="3" l="1"/>
  <c r="F1336" i="3"/>
  <c r="G1336" i="3"/>
  <c r="A1337" i="3" s="1"/>
  <c r="E1336" i="3"/>
  <c r="D1336" i="3"/>
  <c r="C1336" i="3"/>
  <c r="B1336" i="3"/>
  <c r="H1337" i="3" l="1"/>
  <c r="G1337" i="3"/>
  <c r="A1338" i="3" s="1"/>
  <c r="E1337" i="3"/>
  <c r="C1337" i="3"/>
  <c r="F1337" i="3"/>
  <c r="D1337" i="3"/>
  <c r="B1337" i="3"/>
  <c r="C1338" i="3" l="1"/>
  <c r="B1338" i="3"/>
  <c r="E1338" i="3"/>
  <c r="D1338" i="3"/>
  <c r="H1338" i="3"/>
  <c r="G1338" i="3"/>
  <c r="A1339" i="3" s="1"/>
  <c r="F1338" i="3"/>
  <c r="B1339" i="3" l="1"/>
  <c r="G1339" i="3"/>
  <c r="A1340" i="3" s="1"/>
  <c r="F1339" i="3"/>
  <c r="E1339" i="3"/>
  <c r="C1339" i="3"/>
  <c r="H1339" i="3"/>
  <c r="D1339" i="3"/>
  <c r="D1340" i="3" l="1"/>
  <c r="C1340" i="3"/>
  <c r="H1340" i="3"/>
  <c r="G1340" i="3"/>
  <c r="A1341" i="3" s="1"/>
  <c r="B1340" i="3"/>
  <c r="F1340" i="3"/>
  <c r="E1340" i="3"/>
  <c r="C1341" i="3" l="1"/>
  <c r="B1341" i="3"/>
  <c r="H1341" i="3"/>
  <c r="F1341" i="3"/>
  <c r="E1341" i="3"/>
  <c r="D1341" i="3"/>
  <c r="G1341" i="3"/>
  <c r="A1342" i="3" s="1"/>
  <c r="B1342" i="3" l="1"/>
  <c r="H1342" i="3"/>
  <c r="G1342" i="3"/>
  <c r="A1343" i="3" s="1"/>
  <c r="C1342" i="3"/>
  <c r="F1342" i="3"/>
  <c r="E1342" i="3"/>
  <c r="D1342" i="3"/>
  <c r="G1343" i="3" l="1"/>
  <c r="A1344" i="3" s="1"/>
  <c r="F1343" i="3"/>
  <c r="D1343" i="3"/>
  <c r="C1343" i="3"/>
  <c r="B1343" i="3"/>
  <c r="H1343" i="3"/>
  <c r="E1343" i="3"/>
  <c r="C1344" i="3" l="1"/>
  <c r="B1344" i="3"/>
  <c r="D1344" i="3"/>
  <c r="H1344" i="3"/>
  <c r="G1344" i="3"/>
  <c r="A1345" i="3" s="1"/>
  <c r="F1344" i="3"/>
  <c r="E1344" i="3"/>
  <c r="G1345" i="3" l="1"/>
  <c r="A1346" i="3" s="1"/>
  <c r="F1345" i="3"/>
  <c r="D1345" i="3"/>
  <c r="H1345" i="3"/>
  <c r="E1345" i="3"/>
  <c r="C1345" i="3"/>
  <c r="B1345" i="3"/>
  <c r="G1346" i="3" l="1"/>
  <c r="A1347" i="3" s="1"/>
  <c r="C1346" i="3"/>
  <c r="E1346" i="3"/>
  <c r="D1346" i="3"/>
  <c r="B1346" i="3"/>
  <c r="H1346" i="3"/>
  <c r="F1346" i="3"/>
  <c r="C1347" i="3" l="1"/>
  <c r="B1347" i="3"/>
  <c r="E1347" i="3"/>
  <c r="D1347" i="3"/>
  <c r="H1347" i="3"/>
  <c r="G1347" i="3"/>
  <c r="A1348" i="3" s="1"/>
  <c r="F1347" i="3"/>
  <c r="B1348" i="3" l="1"/>
  <c r="H1348" i="3"/>
  <c r="G1348" i="3"/>
  <c r="A1349" i="3" s="1"/>
  <c r="E1348" i="3"/>
  <c r="D1348" i="3"/>
  <c r="C1348" i="3"/>
  <c r="F1348" i="3"/>
  <c r="E1349" i="3" l="1"/>
  <c r="D1349" i="3"/>
  <c r="B1349" i="3"/>
  <c r="H1349" i="3"/>
  <c r="G1349" i="3"/>
  <c r="A1350" i="3" s="1"/>
  <c r="F1349" i="3"/>
  <c r="C1349" i="3"/>
  <c r="C1350" i="3" l="1"/>
  <c r="B1350" i="3"/>
  <c r="H1350" i="3"/>
  <c r="G1350" i="3"/>
  <c r="A1351" i="3" s="1"/>
  <c r="E1350" i="3"/>
  <c r="F1350" i="3"/>
  <c r="D1350" i="3"/>
  <c r="B1351" i="3" l="1"/>
  <c r="G1351" i="3"/>
  <c r="A1352" i="3" s="1"/>
  <c r="H1351" i="3"/>
  <c r="D1351" i="3"/>
  <c r="C1351" i="3"/>
  <c r="F1351" i="3"/>
  <c r="E1351" i="3"/>
  <c r="H1352" i="3" l="1"/>
  <c r="C1352" i="3"/>
  <c r="B1352" i="3"/>
  <c r="E1352" i="3"/>
  <c r="D1352" i="3"/>
  <c r="F1352" i="3"/>
  <c r="G1352" i="3"/>
  <c r="A1353" i="3" s="1"/>
  <c r="C1353" i="3" l="1"/>
  <c r="B1353" i="3"/>
  <c r="H1353" i="3"/>
  <c r="F1353" i="3"/>
  <c r="E1353" i="3"/>
  <c r="G1353" i="3"/>
  <c r="A1354" i="3" s="1"/>
  <c r="D1353" i="3"/>
  <c r="C1354" i="3" l="1"/>
  <c r="B1354" i="3"/>
  <c r="H1354" i="3"/>
  <c r="G1354" i="3"/>
  <c r="A1355" i="3" s="1"/>
  <c r="F1354" i="3"/>
  <c r="E1354" i="3"/>
  <c r="D1354" i="3"/>
  <c r="C1355" i="3" l="1"/>
  <c r="F1355" i="3"/>
  <c r="E1355" i="3"/>
  <c r="B1355" i="3"/>
  <c r="D1355" i="3"/>
  <c r="H1355" i="3"/>
  <c r="G1355" i="3"/>
  <c r="A1356" i="3" s="1"/>
  <c r="C1356" i="3" l="1"/>
  <c r="B1356" i="3"/>
  <c r="G1356" i="3"/>
  <c r="A1357" i="3" s="1"/>
  <c r="F1356" i="3"/>
  <c r="H1356" i="3"/>
  <c r="E1356" i="3"/>
  <c r="D1356" i="3"/>
  <c r="F1357" i="3" l="1"/>
  <c r="E1357" i="3"/>
  <c r="C1357" i="3"/>
  <c r="G1357" i="3"/>
  <c r="A1358" i="3" s="1"/>
  <c r="D1357" i="3"/>
  <c r="H1357" i="3"/>
  <c r="B1357" i="3"/>
  <c r="H1358" i="3" l="1"/>
  <c r="G1358" i="3"/>
  <c r="A1359" i="3" s="1"/>
  <c r="F1358" i="3"/>
  <c r="E1358" i="3"/>
  <c r="D1358" i="3"/>
  <c r="B1358" i="3"/>
  <c r="C1358" i="3"/>
  <c r="C1359" i="3" l="1"/>
  <c r="B1359" i="3"/>
  <c r="E1359" i="3"/>
  <c r="D1359" i="3"/>
  <c r="G1359" i="3"/>
  <c r="A1360" i="3" s="1"/>
  <c r="H1359" i="3"/>
  <c r="F1359" i="3"/>
  <c r="H1360" i="3" l="1"/>
  <c r="F1360" i="3"/>
  <c r="E1360" i="3"/>
  <c r="D1360" i="3"/>
  <c r="G1360" i="3"/>
  <c r="A1361" i="3" s="1"/>
  <c r="C1360" i="3"/>
  <c r="B1360" i="3"/>
  <c r="E1361" i="3" l="1"/>
  <c r="D1361" i="3"/>
  <c r="B1361" i="3"/>
  <c r="F1361" i="3"/>
  <c r="C1361" i="3"/>
  <c r="H1361" i="3"/>
  <c r="G1361" i="3"/>
  <c r="A1362" i="3" s="1"/>
  <c r="C1362" i="3" l="1"/>
  <c r="B1362" i="3"/>
  <c r="D1362" i="3"/>
  <c r="H1362" i="3"/>
  <c r="G1362" i="3"/>
  <c r="A1363" i="3" s="1"/>
  <c r="F1362" i="3"/>
  <c r="E1362" i="3"/>
  <c r="F1363" i="3" l="1"/>
  <c r="E1363" i="3"/>
  <c r="D1363" i="3"/>
  <c r="C1363" i="3"/>
  <c r="H1363" i="3"/>
  <c r="G1363" i="3"/>
  <c r="A1364" i="3" s="1"/>
  <c r="B1363" i="3"/>
  <c r="D1364" i="3" l="1"/>
  <c r="C1364" i="3"/>
  <c r="H1364" i="3"/>
  <c r="G1364" i="3"/>
  <c r="A1365" i="3" s="1"/>
  <c r="E1364" i="3"/>
  <c r="F1364" i="3"/>
  <c r="B1364" i="3"/>
  <c r="C1365" i="3" l="1"/>
  <c r="B1365" i="3"/>
  <c r="F1365" i="3"/>
  <c r="E1365" i="3"/>
  <c r="G1365" i="3"/>
  <c r="A1366" i="3" s="1"/>
  <c r="D1365" i="3"/>
  <c r="H1365" i="3"/>
  <c r="B1366" i="3" l="1"/>
  <c r="G1366" i="3"/>
  <c r="A1367" i="3" s="1"/>
  <c r="D1366" i="3"/>
  <c r="C1366" i="3"/>
  <c r="H1366" i="3"/>
  <c r="F1366" i="3"/>
  <c r="E1366" i="3"/>
  <c r="G1367" i="3" l="1"/>
  <c r="A1368" i="3" s="1"/>
  <c r="F1367" i="3"/>
  <c r="D1367" i="3"/>
  <c r="H1367" i="3"/>
  <c r="E1367" i="3"/>
  <c r="C1367" i="3"/>
  <c r="B1367" i="3"/>
  <c r="C1368" i="3" l="1"/>
  <c r="B1368" i="3"/>
  <c r="E1368" i="3"/>
  <c r="D1368" i="3"/>
  <c r="G1368" i="3"/>
  <c r="A1369" i="3" s="1"/>
  <c r="F1368" i="3"/>
  <c r="H1368" i="3"/>
  <c r="D1369" i="3" l="1"/>
  <c r="C1369" i="3"/>
  <c r="F1369" i="3"/>
  <c r="E1369" i="3"/>
  <c r="H1369" i="3"/>
  <c r="G1369" i="3"/>
  <c r="A1370" i="3" s="1"/>
  <c r="B1369" i="3"/>
  <c r="G1370" i="3" l="1"/>
  <c r="A1371" i="3" s="1"/>
  <c r="C1370" i="3"/>
  <c r="B1370" i="3"/>
  <c r="H1370" i="3"/>
  <c r="E1370" i="3"/>
  <c r="F1370" i="3"/>
  <c r="D1370" i="3"/>
  <c r="C1371" i="3" l="1"/>
  <c r="B1371" i="3"/>
  <c r="E1371" i="3"/>
  <c r="D1371" i="3"/>
  <c r="G1371" i="3"/>
  <c r="A1372" i="3" s="1"/>
  <c r="F1371" i="3"/>
  <c r="H1371" i="3"/>
  <c r="G1372" i="3" l="1"/>
  <c r="A1373" i="3" s="1"/>
  <c r="F1372" i="3"/>
  <c r="E1372" i="3"/>
  <c r="D1372" i="3"/>
  <c r="C1372" i="3"/>
  <c r="H1372" i="3"/>
  <c r="B1372" i="3"/>
  <c r="B1373" i="3" l="1"/>
  <c r="C1373" i="3"/>
  <c r="G1373" i="3"/>
  <c r="A1374" i="3" s="1"/>
  <c r="F1373" i="3"/>
  <c r="H1373" i="3"/>
  <c r="E1373" i="3"/>
  <c r="D1373" i="3"/>
  <c r="C1374" i="3" l="1"/>
  <c r="B1374" i="3"/>
  <c r="H1374" i="3"/>
  <c r="G1374" i="3"/>
  <c r="A1375" i="3" s="1"/>
  <c r="E1374" i="3"/>
  <c r="F1374" i="3"/>
  <c r="D1374" i="3"/>
  <c r="B1375" i="3" l="1"/>
  <c r="E1375" i="3"/>
  <c r="H1375" i="3"/>
  <c r="G1375" i="3"/>
  <c r="A1376" i="3" s="1"/>
  <c r="F1375" i="3"/>
  <c r="D1375" i="3"/>
  <c r="C1375" i="3"/>
  <c r="H1376" i="3" l="1"/>
  <c r="G1376" i="3"/>
  <c r="A1377" i="3" s="1"/>
  <c r="E1376" i="3"/>
  <c r="F1376" i="3"/>
  <c r="D1376" i="3"/>
  <c r="C1376" i="3"/>
  <c r="B1376" i="3"/>
  <c r="C1377" i="3" l="1"/>
  <c r="B1377" i="3"/>
  <c r="H1377" i="3"/>
  <c r="E1377" i="3"/>
  <c r="D1377" i="3"/>
  <c r="G1377" i="3"/>
  <c r="A1378" i="3" s="1"/>
  <c r="F1377" i="3"/>
  <c r="C1378" i="3" l="1"/>
  <c r="B1378" i="3"/>
  <c r="E1378" i="3"/>
  <c r="D1378" i="3"/>
  <c r="F1378" i="3"/>
  <c r="H1378" i="3"/>
  <c r="G1378" i="3"/>
  <c r="A1379" i="3" s="1"/>
  <c r="C1379" i="3" l="1"/>
  <c r="B1379" i="3"/>
  <c r="G1379" i="3"/>
  <c r="A1380" i="3" s="1"/>
  <c r="F1379" i="3"/>
  <c r="E1379" i="3"/>
  <c r="H1379" i="3"/>
  <c r="D1379" i="3"/>
  <c r="C1380" i="3" l="1"/>
  <c r="B1380" i="3"/>
  <c r="H1380" i="3"/>
  <c r="F1380" i="3"/>
  <c r="E1380" i="3"/>
  <c r="D1380" i="3"/>
  <c r="G1380" i="3"/>
  <c r="A1381" i="3" s="1"/>
  <c r="F1381" i="3" l="1"/>
  <c r="E1381" i="3"/>
  <c r="C1381" i="3"/>
  <c r="H1381" i="3"/>
  <c r="G1381" i="3"/>
  <c r="A1382" i="3" s="1"/>
  <c r="D1381" i="3"/>
  <c r="B1381" i="3"/>
  <c r="C1382" i="3" l="1"/>
  <c r="E1382" i="3"/>
  <c r="D1382" i="3"/>
  <c r="B1382" i="3"/>
  <c r="H1382" i="3"/>
  <c r="G1382" i="3"/>
  <c r="A1383" i="3" s="1"/>
  <c r="F1382" i="3"/>
  <c r="C1383" i="3" l="1"/>
  <c r="B1383" i="3"/>
  <c r="G1383" i="3"/>
  <c r="A1384" i="3" s="1"/>
  <c r="F1383" i="3"/>
  <c r="H1383" i="3"/>
  <c r="D1383" i="3"/>
  <c r="E1383" i="3"/>
  <c r="H1384" i="3" l="1"/>
  <c r="F1384" i="3"/>
  <c r="G1384" i="3"/>
  <c r="A1385" i="3" s="1"/>
  <c r="D1384" i="3"/>
  <c r="B1384" i="3"/>
  <c r="E1384" i="3"/>
  <c r="C1384" i="3"/>
  <c r="B1385" i="3" l="1"/>
  <c r="H1385" i="3"/>
  <c r="G1385" i="3"/>
  <c r="A1386" i="3" s="1"/>
  <c r="F1385" i="3"/>
  <c r="C1385" i="3"/>
  <c r="E1385" i="3"/>
  <c r="D1385" i="3"/>
  <c r="C1386" i="3" l="1"/>
  <c r="B1386" i="3"/>
  <c r="E1386" i="3"/>
  <c r="D1386" i="3"/>
  <c r="G1386" i="3"/>
  <c r="A1387" i="3" s="1"/>
  <c r="F1386" i="3"/>
  <c r="H1386" i="3"/>
  <c r="H1387" i="3" l="1"/>
  <c r="G1387" i="3"/>
  <c r="A1388" i="3" s="1"/>
  <c r="C1387" i="3"/>
  <c r="B1387" i="3"/>
  <c r="F1387" i="3"/>
  <c r="E1387" i="3"/>
  <c r="D1387" i="3"/>
  <c r="D1388" i="3" l="1"/>
  <c r="C1388" i="3"/>
  <c r="H1388" i="3"/>
  <c r="G1388" i="3"/>
  <c r="A1389" i="3" s="1"/>
  <c r="E1388" i="3"/>
  <c r="F1388" i="3"/>
  <c r="B1388" i="3"/>
  <c r="C1389" i="3" l="1"/>
  <c r="B1389" i="3"/>
  <c r="G1389" i="3"/>
  <c r="A1390" i="3" s="1"/>
  <c r="D1389" i="3"/>
  <c r="H1389" i="3"/>
  <c r="E1389" i="3"/>
  <c r="F1389" i="3"/>
  <c r="F1390" i="3" l="1"/>
  <c r="E1390" i="3"/>
  <c r="D1390" i="3"/>
  <c r="C1390" i="3"/>
  <c r="H1390" i="3"/>
  <c r="G1390" i="3"/>
  <c r="A1391" i="3" s="1"/>
  <c r="B1390" i="3"/>
  <c r="G1391" i="3" l="1"/>
  <c r="A1392" i="3" s="1"/>
  <c r="F1391" i="3"/>
  <c r="D1391" i="3"/>
  <c r="C1391" i="3"/>
  <c r="B1391" i="3"/>
  <c r="H1391" i="3"/>
  <c r="E1391" i="3"/>
  <c r="C1392" i="3" l="1"/>
  <c r="B1392" i="3"/>
  <c r="H1392" i="3"/>
  <c r="F1392" i="3"/>
  <c r="G1392" i="3"/>
  <c r="A1393" i="3" s="1"/>
  <c r="D1392" i="3"/>
  <c r="E1392" i="3"/>
  <c r="B1393" i="3" l="1"/>
  <c r="F1393" i="3"/>
  <c r="E1393" i="3"/>
  <c r="D1393" i="3"/>
  <c r="C1393" i="3"/>
  <c r="H1393" i="3"/>
  <c r="G1393" i="3"/>
  <c r="A1394" i="3" s="1"/>
  <c r="G1394" i="3" l="1"/>
  <c r="A1395" i="3" s="1"/>
  <c r="H1394" i="3"/>
  <c r="F1394" i="3"/>
  <c r="E1394" i="3"/>
  <c r="D1394" i="3"/>
  <c r="B1394" i="3"/>
  <c r="C1394" i="3"/>
  <c r="C1395" i="3" l="1"/>
  <c r="B1395" i="3"/>
  <c r="E1395" i="3"/>
  <c r="D1395" i="3"/>
  <c r="G1395" i="3"/>
  <c r="A1396" i="3" s="1"/>
  <c r="H1395" i="3"/>
  <c r="F1395" i="3"/>
  <c r="G1396" i="3" l="1"/>
  <c r="A1397" i="3" s="1"/>
  <c r="F1396" i="3"/>
  <c r="D1396" i="3"/>
  <c r="H1396" i="3"/>
  <c r="E1396" i="3"/>
  <c r="B1396" i="3"/>
  <c r="C1396" i="3"/>
  <c r="C1397" i="3" l="1"/>
  <c r="B1397" i="3"/>
  <c r="E1397" i="3"/>
  <c r="D1397" i="3"/>
  <c r="H1397" i="3"/>
  <c r="G1397" i="3"/>
  <c r="A1398" i="3" s="1"/>
  <c r="F1397" i="3"/>
  <c r="C1398" i="3" l="1"/>
  <c r="B1398" i="3"/>
  <c r="H1398" i="3"/>
  <c r="G1398" i="3"/>
  <c r="A1399" i="3" s="1"/>
  <c r="E1398" i="3"/>
  <c r="F1398" i="3"/>
  <c r="D1398" i="3"/>
  <c r="F1399" i="3" l="1"/>
  <c r="E1399" i="3"/>
  <c r="D1399" i="3"/>
  <c r="C1399" i="3"/>
  <c r="H1399" i="3"/>
  <c r="G1399" i="3"/>
  <c r="A1400" i="3" s="1"/>
  <c r="B1399" i="3"/>
  <c r="E1400" i="3" l="1"/>
  <c r="D1400" i="3"/>
  <c r="B1400" i="3"/>
  <c r="G1400" i="3"/>
  <c r="A1401" i="3" s="1"/>
  <c r="H1400" i="3"/>
  <c r="F1400" i="3"/>
  <c r="C1400" i="3"/>
  <c r="C1401" i="3" l="1"/>
  <c r="B1401" i="3"/>
  <c r="H1401" i="3"/>
  <c r="G1401" i="3"/>
  <c r="A1402" i="3" s="1"/>
  <c r="F1401" i="3"/>
  <c r="E1401" i="3"/>
  <c r="D1401" i="3"/>
  <c r="C1402" i="3" l="1"/>
  <c r="B1402" i="3"/>
  <c r="H1402" i="3"/>
  <c r="G1402" i="3"/>
  <c r="A1403" i="3" s="1"/>
  <c r="E1402" i="3"/>
  <c r="F1402" i="3"/>
  <c r="D1402" i="3"/>
  <c r="H1403" i="3" l="1"/>
  <c r="G1403" i="3"/>
  <c r="A1404" i="3" s="1"/>
  <c r="F1403" i="3"/>
  <c r="E1403" i="3"/>
  <c r="D1403" i="3"/>
  <c r="B1403" i="3"/>
  <c r="C1403" i="3"/>
  <c r="C1404" i="3" l="1"/>
  <c r="B1404" i="3"/>
  <c r="F1404" i="3"/>
  <c r="E1404" i="3"/>
  <c r="G1404" i="3"/>
  <c r="A1405" i="3" s="1"/>
  <c r="H1404" i="3"/>
  <c r="D1404" i="3"/>
  <c r="F1405" i="3" l="1"/>
  <c r="E1405" i="3"/>
  <c r="C1405" i="3"/>
  <c r="G1405" i="3"/>
  <c r="A1406" i="3" s="1"/>
  <c r="D1405" i="3"/>
  <c r="B1405" i="3"/>
  <c r="H1405" i="3"/>
  <c r="C1406" i="3" l="1"/>
  <c r="B1406" i="3"/>
  <c r="D1406" i="3"/>
  <c r="H1406" i="3"/>
  <c r="F1406" i="3"/>
  <c r="E1406" i="3"/>
  <c r="G1406" i="3"/>
  <c r="A1407" i="3" s="1"/>
  <c r="C1407" i="3" l="1"/>
  <c r="B1407" i="3"/>
  <c r="H1407" i="3"/>
  <c r="G1407" i="3"/>
  <c r="A1408" i="3" s="1"/>
  <c r="D1407" i="3"/>
  <c r="F1407" i="3"/>
  <c r="E1407" i="3"/>
  <c r="H1408" i="3" l="1"/>
  <c r="F1408" i="3"/>
  <c r="D1408" i="3"/>
  <c r="C1408" i="3"/>
  <c r="G1408" i="3"/>
  <c r="A1409" i="3" s="1"/>
  <c r="E1408" i="3"/>
  <c r="B1408" i="3"/>
  <c r="C1409" i="3" l="1"/>
  <c r="G1409" i="3"/>
  <c r="A1410" i="3" s="1"/>
  <c r="F1409" i="3"/>
  <c r="E1409" i="3"/>
  <c r="B1409" i="3"/>
  <c r="D1409" i="3"/>
  <c r="H1409" i="3"/>
  <c r="C1410" i="3" l="1"/>
  <c r="B1410" i="3"/>
  <c r="G1410" i="3"/>
  <c r="A1411" i="3" s="1"/>
  <c r="F1410" i="3"/>
  <c r="H1410" i="3"/>
  <c r="E1410" i="3"/>
  <c r="D1410" i="3"/>
  <c r="G1411" i="3" l="1"/>
  <c r="A1412" i="3" s="1"/>
  <c r="H1411" i="3"/>
  <c r="F1411" i="3"/>
  <c r="C1411" i="3"/>
  <c r="B1411" i="3"/>
  <c r="D1411" i="3"/>
  <c r="E1411" i="3"/>
  <c r="D1412" i="3" l="1"/>
  <c r="C1412" i="3"/>
  <c r="E1412" i="3"/>
  <c r="B1412" i="3"/>
  <c r="H1412" i="3"/>
  <c r="G1412" i="3"/>
  <c r="A1413" i="3" s="1"/>
  <c r="F1412" i="3"/>
  <c r="C1413" i="3" l="1"/>
  <c r="B1413" i="3"/>
  <c r="E1413" i="3"/>
  <c r="D1413" i="3"/>
  <c r="G1413" i="3"/>
  <c r="A1414" i="3" s="1"/>
  <c r="H1413" i="3"/>
  <c r="F1413" i="3"/>
  <c r="H1414" i="3" l="1"/>
  <c r="G1414" i="3"/>
  <c r="A1415" i="3" s="1"/>
  <c r="F1414" i="3"/>
  <c r="B1414" i="3"/>
  <c r="E1414" i="3"/>
  <c r="D1414" i="3"/>
  <c r="C1414" i="3"/>
  <c r="G1415" i="3" l="1"/>
  <c r="A1416" i="3" s="1"/>
  <c r="F1415" i="3"/>
  <c r="D1415" i="3"/>
  <c r="H1415" i="3"/>
  <c r="E1415" i="3"/>
  <c r="C1415" i="3"/>
  <c r="B1415" i="3"/>
  <c r="C1416" i="3" l="1"/>
  <c r="B1416" i="3"/>
  <c r="F1416" i="3"/>
  <c r="E1416" i="3"/>
  <c r="G1416" i="3"/>
  <c r="A1417" i="3" s="1"/>
  <c r="D1416" i="3"/>
  <c r="H1416" i="3"/>
  <c r="F1417" i="3" l="1"/>
  <c r="E1417" i="3"/>
  <c r="D1417" i="3"/>
  <c r="C1417" i="3"/>
  <c r="H1417" i="3"/>
  <c r="G1417" i="3"/>
  <c r="A1418" i="3" s="1"/>
  <c r="B1417" i="3"/>
  <c r="G1418" i="3" l="1"/>
  <c r="A1419" i="3" s="1"/>
  <c r="E1418" i="3"/>
  <c r="D1418" i="3"/>
  <c r="C1418" i="3"/>
  <c r="B1418" i="3"/>
  <c r="F1418" i="3"/>
  <c r="H1418" i="3"/>
  <c r="C1419" i="3" l="1"/>
  <c r="B1419" i="3"/>
  <c r="E1419" i="3"/>
  <c r="D1419" i="3"/>
  <c r="G1419" i="3"/>
  <c r="A1420" i="3" s="1"/>
  <c r="F1419" i="3"/>
  <c r="H1419" i="3"/>
  <c r="D1420" i="3" l="1"/>
  <c r="C1420" i="3"/>
  <c r="B1420" i="3"/>
  <c r="H1420" i="3"/>
  <c r="G1420" i="3"/>
  <c r="A1421" i="3" s="1"/>
  <c r="F1420" i="3"/>
  <c r="E1420" i="3"/>
  <c r="G1421" i="3" l="1"/>
  <c r="A1422" i="3" s="1"/>
  <c r="F1421" i="3"/>
  <c r="E1421" i="3"/>
  <c r="D1421" i="3"/>
  <c r="H1421" i="3"/>
  <c r="C1421" i="3"/>
  <c r="B1421" i="3"/>
  <c r="C1422" i="3" l="1"/>
  <c r="B1422" i="3"/>
  <c r="H1422" i="3"/>
  <c r="G1422" i="3"/>
  <c r="A1423" i="3" s="1"/>
  <c r="E1422" i="3"/>
  <c r="D1422" i="3"/>
  <c r="F1422" i="3"/>
  <c r="G1423" i="3" l="1"/>
  <c r="A1424" i="3" s="1"/>
  <c r="H1423" i="3"/>
  <c r="B1423" i="3"/>
  <c r="C1423" i="3"/>
  <c r="F1423" i="3"/>
  <c r="E1423" i="3"/>
  <c r="D1423" i="3"/>
  <c r="B1424" i="3" l="1"/>
  <c r="C1424" i="3"/>
  <c r="H1424" i="3"/>
  <c r="G1424" i="3"/>
  <c r="A1425" i="3" s="1"/>
  <c r="F1424" i="3"/>
  <c r="E1424" i="3"/>
  <c r="D1424" i="3"/>
  <c r="C1425" i="3" l="1"/>
  <c r="B1425" i="3"/>
  <c r="H1425" i="3"/>
  <c r="F1425" i="3"/>
  <c r="G1425" i="3"/>
  <c r="A1426" i="3" s="1"/>
  <c r="D1425" i="3"/>
  <c r="E1425" i="3"/>
  <c r="C1426" i="3" l="1"/>
  <c r="B1426" i="3"/>
  <c r="F1426" i="3"/>
  <c r="E1426" i="3"/>
  <c r="D1426" i="3"/>
  <c r="H1426" i="3"/>
  <c r="G1426" i="3"/>
  <c r="A1427" i="3" s="1"/>
  <c r="H1427" i="3" l="1"/>
  <c r="G1427" i="3"/>
  <c r="A1428" i="3" s="1"/>
  <c r="E1427" i="3"/>
  <c r="D1427" i="3"/>
  <c r="F1427" i="3"/>
  <c r="C1427" i="3"/>
  <c r="B1427" i="3"/>
  <c r="C1428" i="3" l="1"/>
  <c r="B1428" i="3"/>
  <c r="G1428" i="3"/>
  <c r="A1429" i="3" s="1"/>
  <c r="F1428" i="3"/>
  <c r="H1428" i="3"/>
  <c r="E1428" i="3"/>
  <c r="D1428" i="3"/>
  <c r="F1429" i="3" l="1"/>
  <c r="E1429" i="3"/>
  <c r="C1429" i="3"/>
  <c r="H1429" i="3"/>
  <c r="G1429" i="3"/>
  <c r="A1430" i="3" s="1"/>
  <c r="D1429" i="3"/>
  <c r="B1429" i="3"/>
  <c r="G1430" i="3" l="1"/>
  <c r="A1431" i="3" s="1"/>
  <c r="F1430" i="3"/>
  <c r="E1430" i="3"/>
  <c r="D1430" i="3"/>
  <c r="C1430" i="3"/>
  <c r="B1430" i="3"/>
  <c r="H1430" i="3"/>
  <c r="C1431" i="3" l="1"/>
  <c r="B1431" i="3"/>
  <c r="H1431" i="3"/>
  <c r="F1431" i="3"/>
  <c r="D1431" i="3"/>
  <c r="G1431" i="3"/>
  <c r="A1432" i="3" s="1"/>
  <c r="E1431" i="3"/>
  <c r="H1432" i="3" l="1"/>
  <c r="F1432" i="3"/>
  <c r="G1432" i="3"/>
  <c r="A1433" i="3" s="1"/>
  <c r="E1432" i="3"/>
  <c r="D1432" i="3"/>
  <c r="C1432" i="3"/>
  <c r="B1432" i="3"/>
  <c r="C1433" i="3" l="1"/>
  <c r="B1433" i="3"/>
  <c r="G1433" i="3"/>
  <c r="A1434" i="3" s="1"/>
  <c r="H1433" i="3"/>
  <c r="D1433" i="3"/>
  <c r="F1433" i="3"/>
  <c r="E1433" i="3"/>
  <c r="C1434" i="3" l="1"/>
  <c r="B1434" i="3"/>
  <c r="H1434" i="3"/>
  <c r="F1434" i="3"/>
  <c r="E1434" i="3"/>
  <c r="D1434" i="3"/>
  <c r="G1434" i="3"/>
  <c r="A1435" i="3" s="1"/>
  <c r="G1435" i="3" l="1"/>
  <c r="A1436" i="3" s="1"/>
  <c r="F1435" i="3"/>
  <c r="D1435" i="3"/>
  <c r="C1435" i="3"/>
  <c r="B1435" i="3"/>
  <c r="H1435" i="3"/>
  <c r="E1435" i="3"/>
  <c r="D1436" i="3" l="1"/>
  <c r="C1436" i="3"/>
  <c r="H1436" i="3"/>
  <c r="G1436" i="3"/>
  <c r="A1437" i="3" s="1"/>
  <c r="F1436" i="3"/>
  <c r="E1436" i="3"/>
  <c r="B1436" i="3"/>
  <c r="C1437" i="3" l="1"/>
  <c r="B1437" i="3"/>
  <c r="G1437" i="3"/>
  <c r="A1438" i="3" s="1"/>
  <c r="F1437" i="3"/>
  <c r="H1437" i="3"/>
  <c r="E1437" i="3"/>
  <c r="D1437" i="3"/>
  <c r="F1438" i="3" l="1"/>
  <c r="E1438" i="3"/>
  <c r="D1438" i="3"/>
  <c r="C1438" i="3"/>
  <c r="B1438" i="3"/>
  <c r="G1438" i="3"/>
  <c r="A1439" i="3" s="1"/>
  <c r="H1438" i="3"/>
  <c r="G1439" i="3" l="1"/>
  <c r="A1440" i="3" s="1"/>
  <c r="F1439" i="3"/>
  <c r="D1439" i="3"/>
  <c r="H1439" i="3"/>
  <c r="E1439" i="3"/>
  <c r="B1439" i="3"/>
  <c r="C1439" i="3"/>
  <c r="C1440" i="3" l="1"/>
  <c r="B1440" i="3"/>
  <c r="E1440" i="3"/>
  <c r="D1440" i="3"/>
  <c r="G1440" i="3"/>
  <c r="A1441" i="3" s="1"/>
  <c r="H1440" i="3"/>
  <c r="F1440" i="3"/>
  <c r="E1441" i="3" l="1"/>
  <c r="H1441" i="3"/>
  <c r="D1441" i="3"/>
  <c r="C1441" i="3"/>
  <c r="B1441" i="3"/>
  <c r="G1441" i="3"/>
  <c r="A1442" i="3" s="1"/>
  <c r="F1441" i="3"/>
  <c r="H1442" i="3" l="1"/>
  <c r="E1442" i="3"/>
  <c r="G1442" i="3"/>
  <c r="A1443" i="3" s="1"/>
  <c r="F1442" i="3"/>
  <c r="D1442" i="3"/>
  <c r="C1442" i="3"/>
  <c r="B1442" i="3"/>
  <c r="C1443" i="3" l="1"/>
  <c r="B1443" i="3"/>
  <c r="F1443" i="3"/>
  <c r="E1443" i="3"/>
  <c r="G1443" i="3"/>
  <c r="A1444" i="3" s="1"/>
  <c r="H1443" i="3"/>
  <c r="D1443" i="3"/>
  <c r="E1444" i="3" l="1"/>
  <c r="B1444" i="3"/>
  <c r="H1444" i="3"/>
  <c r="G1444" i="3"/>
  <c r="A1445" i="3" s="1"/>
  <c r="F1444" i="3"/>
  <c r="D1444" i="3"/>
  <c r="C1444" i="3"/>
  <c r="C1445" i="3" l="1"/>
  <c r="B1445" i="3"/>
  <c r="D1445" i="3"/>
  <c r="G1445" i="3"/>
  <c r="A1446" i="3" s="1"/>
  <c r="F1445" i="3"/>
  <c r="H1445" i="3"/>
  <c r="E1445" i="3"/>
  <c r="E1446" i="3" l="1"/>
  <c r="D1446" i="3"/>
  <c r="C1446" i="3"/>
  <c r="H1446" i="3"/>
  <c r="G1446" i="3"/>
  <c r="A1447" i="3" s="1"/>
  <c r="F1446" i="3"/>
  <c r="B1446" i="3"/>
  <c r="G1447" i="3" l="1"/>
  <c r="A1448" i="3" s="1"/>
  <c r="D1447" i="3"/>
  <c r="C1447" i="3"/>
  <c r="H1447" i="3"/>
  <c r="F1447" i="3"/>
  <c r="B1447" i="3"/>
  <c r="E1447" i="3"/>
  <c r="C1448" i="3" l="1"/>
  <c r="B1448" i="3"/>
  <c r="F1448" i="3"/>
  <c r="E1448" i="3"/>
  <c r="D1448" i="3"/>
  <c r="H1448" i="3"/>
  <c r="G1448" i="3"/>
  <c r="A1449" i="3" s="1"/>
  <c r="G1449" i="3" l="1"/>
  <c r="A1450" i="3" s="1"/>
  <c r="F1449" i="3"/>
  <c r="E1449" i="3"/>
  <c r="H1449" i="3"/>
  <c r="D1449" i="3"/>
  <c r="C1449" i="3"/>
  <c r="B1449" i="3"/>
  <c r="G1450" i="3" l="1"/>
  <c r="A1451" i="3" s="1"/>
  <c r="B1450" i="3"/>
  <c r="D1450" i="3"/>
  <c r="H1450" i="3"/>
  <c r="F1450" i="3"/>
  <c r="E1450" i="3"/>
  <c r="C1450" i="3"/>
  <c r="C1451" i="3" l="1"/>
  <c r="B1451" i="3"/>
  <c r="E1451" i="3"/>
  <c r="D1451" i="3"/>
  <c r="H1451" i="3"/>
  <c r="G1451" i="3"/>
  <c r="A1452" i="3" s="1"/>
  <c r="F1451" i="3"/>
  <c r="H1452" i="3" l="1"/>
  <c r="G1452" i="3"/>
  <c r="A1453" i="3" s="1"/>
  <c r="E1452" i="3"/>
  <c r="C1452" i="3"/>
  <c r="B1452" i="3"/>
  <c r="F1452" i="3"/>
  <c r="D1452" i="3"/>
  <c r="G1453" i="3" l="1"/>
  <c r="A1454" i="3" s="1"/>
  <c r="C1453" i="3"/>
  <c r="B1453" i="3"/>
  <c r="F1453" i="3"/>
  <c r="E1453" i="3"/>
  <c r="H1453" i="3"/>
  <c r="D1453" i="3"/>
  <c r="C1454" i="3" l="1"/>
  <c r="B1454" i="3"/>
  <c r="E1454" i="3"/>
  <c r="H1454" i="3"/>
  <c r="G1454" i="3"/>
  <c r="A1455" i="3" s="1"/>
  <c r="D1454" i="3"/>
  <c r="F1454" i="3"/>
  <c r="C1455" i="3" l="1"/>
  <c r="B1455" i="3"/>
  <c r="E1455" i="3"/>
  <c r="D1455" i="3"/>
  <c r="G1455" i="3"/>
  <c r="A1456" i="3" s="1"/>
  <c r="H1455" i="3"/>
  <c r="F1455" i="3"/>
  <c r="C1456" i="3" l="1"/>
  <c r="B1456" i="3"/>
  <c r="D1456" i="3"/>
  <c r="E1456" i="3"/>
  <c r="H1456" i="3"/>
  <c r="G1456" i="3"/>
  <c r="A1457" i="3" s="1"/>
  <c r="F1456" i="3"/>
  <c r="C1457" i="3" l="1"/>
  <c r="B1457" i="3"/>
  <c r="G1457" i="3"/>
  <c r="A1458" i="3" s="1"/>
  <c r="H1457" i="3"/>
  <c r="F1457" i="3"/>
  <c r="D1457" i="3"/>
  <c r="E1457" i="3"/>
  <c r="H1458" i="3" l="1"/>
  <c r="F1458" i="3"/>
  <c r="B1458" i="3"/>
  <c r="E1458" i="3"/>
  <c r="D1458" i="3"/>
  <c r="C1458" i="3"/>
  <c r="G1458" i="3"/>
  <c r="A1459" i="3" s="1"/>
  <c r="E1459" i="3" l="1"/>
  <c r="D1459" i="3"/>
  <c r="C1459" i="3"/>
  <c r="F1459" i="3"/>
  <c r="B1459" i="3"/>
  <c r="H1459" i="3"/>
  <c r="G1459" i="3"/>
  <c r="A1460" i="3" s="1"/>
  <c r="C1460" i="3" l="1"/>
  <c r="B1460" i="3"/>
  <c r="G1460" i="3"/>
  <c r="A1461" i="3" s="1"/>
  <c r="F1460" i="3"/>
  <c r="E1460" i="3"/>
  <c r="D1460" i="3"/>
  <c r="H1460" i="3"/>
  <c r="F1461" i="3" l="1"/>
  <c r="H1461" i="3"/>
  <c r="B1461" i="3"/>
  <c r="C1461" i="3"/>
  <c r="G1461" i="3"/>
  <c r="A1462" i="3" s="1"/>
  <c r="E1461" i="3"/>
  <c r="D1461" i="3"/>
  <c r="G1462" i="3" l="1"/>
  <c r="A1463" i="3" s="1"/>
  <c r="F1462" i="3"/>
  <c r="E1462" i="3"/>
  <c r="D1462" i="3"/>
  <c r="C1462" i="3"/>
  <c r="B1462" i="3"/>
  <c r="H1462" i="3"/>
  <c r="C1463" i="3" l="1"/>
  <c r="B1463" i="3"/>
  <c r="D1463" i="3"/>
  <c r="E1463" i="3"/>
  <c r="H1463" i="3"/>
  <c r="G1463" i="3"/>
  <c r="A1464" i="3" s="1"/>
  <c r="F1463" i="3"/>
  <c r="C1464" i="3" l="1"/>
  <c r="B1464" i="3"/>
  <c r="F1464" i="3"/>
  <c r="E1464" i="3"/>
  <c r="D1464" i="3"/>
  <c r="H1464" i="3"/>
  <c r="G1464" i="3"/>
  <c r="A1465" i="3" s="1"/>
  <c r="H1465" i="3" l="1"/>
  <c r="G1465" i="3"/>
  <c r="A1466" i="3" s="1"/>
  <c r="E1465" i="3"/>
  <c r="F1465" i="3"/>
  <c r="D1465" i="3"/>
  <c r="C1465" i="3"/>
  <c r="B1465" i="3"/>
  <c r="C1466" i="3" l="1"/>
  <c r="B1466" i="3"/>
  <c r="H1466" i="3"/>
  <c r="D1466" i="3"/>
  <c r="F1466" i="3"/>
  <c r="G1466" i="3"/>
  <c r="A1467" i="3" s="1"/>
  <c r="E1466" i="3"/>
  <c r="C1467" i="3" l="1"/>
  <c r="B1467" i="3"/>
  <c r="G1467" i="3"/>
  <c r="A1468" i="3" s="1"/>
  <c r="D1467" i="3"/>
  <c r="F1467" i="3"/>
  <c r="E1467" i="3"/>
  <c r="H1467" i="3"/>
  <c r="B1468" i="3" l="1"/>
  <c r="H1468" i="3"/>
  <c r="C1468" i="3"/>
  <c r="G1468" i="3"/>
  <c r="A1469" i="3" s="1"/>
  <c r="F1468" i="3"/>
  <c r="E1468" i="3"/>
  <c r="D1468" i="3"/>
  <c r="E1469" i="3" l="1"/>
  <c r="D1469" i="3"/>
  <c r="G1469" i="3"/>
  <c r="A1470" i="3" s="1"/>
  <c r="F1469" i="3"/>
  <c r="C1469" i="3"/>
  <c r="B1469" i="3"/>
  <c r="H1469" i="3"/>
  <c r="C1470" i="3" l="1"/>
  <c r="B1470" i="3"/>
  <c r="E1470" i="3"/>
  <c r="H1470" i="3"/>
  <c r="F1470" i="3"/>
  <c r="G1470" i="3"/>
  <c r="A1471" i="3" s="1"/>
  <c r="D1470" i="3"/>
  <c r="C1471" i="3" l="1"/>
  <c r="E1471" i="3"/>
  <c r="H1471" i="3"/>
  <c r="G1471" i="3"/>
  <c r="A1472" i="3" s="1"/>
  <c r="D1471" i="3"/>
  <c r="F1471" i="3"/>
  <c r="B1471" i="3"/>
  <c r="G1472" i="3" l="1"/>
  <c r="A1473" i="3" s="1"/>
  <c r="F1472" i="3"/>
  <c r="H1472" i="3"/>
  <c r="D1472" i="3"/>
  <c r="C1472" i="3"/>
  <c r="B1472" i="3"/>
  <c r="E1472" i="3"/>
  <c r="C1473" i="3" l="1"/>
  <c r="B1473" i="3"/>
  <c r="E1473" i="3"/>
  <c r="D1473" i="3"/>
  <c r="F1473" i="3"/>
  <c r="G1473" i="3"/>
  <c r="A1474" i="3" s="1"/>
  <c r="H1473" i="3"/>
  <c r="G1474" i="3" l="1"/>
  <c r="A1475" i="3" s="1"/>
  <c r="F1474" i="3"/>
  <c r="D1474" i="3"/>
  <c r="H1474" i="3"/>
  <c r="E1474" i="3"/>
  <c r="C1474" i="3"/>
  <c r="B1474" i="3"/>
  <c r="H1475" i="3" l="1"/>
  <c r="E1475" i="3"/>
  <c r="F1475" i="3"/>
  <c r="B1475" i="3"/>
  <c r="G1475" i="3"/>
  <c r="A1476" i="3" s="1"/>
  <c r="D1475" i="3"/>
  <c r="C1475" i="3"/>
  <c r="C1476" i="3" l="1"/>
  <c r="B1476" i="3"/>
  <c r="H1476" i="3"/>
  <c r="G1476" i="3"/>
  <c r="A1477" i="3" s="1"/>
  <c r="E1476" i="3"/>
  <c r="D1476" i="3"/>
  <c r="F1476" i="3"/>
  <c r="H1477" i="3" l="1"/>
  <c r="G1477" i="3"/>
  <c r="A1478" i="3" s="1"/>
  <c r="D1477" i="3"/>
  <c r="C1477" i="3"/>
  <c r="F1477" i="3"/>
  <c r="E1477" i="3"/>
  <c r="B1477" i="3"/>
  <c r="C1478" i="3" l="1"/>
  <c r="H1478" i="3"/>
  <c r="D1478" i="3"/>
  <c r="B1478" i="3"/>
  <c r="F1478" i="3"/>
  <c r="E1478" i="3"/>
  <c r="G1478" i="3"/>
  <c r="A1479" i="3" s="1"/>
  <c r="C1479" i="3" l="1"/>
  <c r="B1479" i="3"/>
  <c r="E1479" i="3"/>
  <c r="D1479" i="3"/>
  <c r="G1479" i="3"/>
  <c r="A1480" i="3" s="1"/>
  <c r="H1479" i="3"/>
  <c r="F1479" i="3"/>
  <c r="E1480" i="3" l="1"/>
  <c r="D1480" i="3"/>
  <c r="C1480" i="3"/>
  <c r="H1480" i="3"/>
  <c r="F1480" i="3"/>
  <c r="G1480" i="3"/>
  <c r="A1481" i="3" s="1"/>
  <c r="B1480" i="3"/>
  <c r="G1481" i="3" l="1"/>
  <c r="A1482" i="3" s="1"/>
  <c r="E1481" i="3"/>
  <c r="D1481" i="3"/>
  <c r="B1481" i="3"/>
  <c r="F1481" i="3"/>
  <c r="C1481" i="3"/>
  <c r="H1481" i="3"/>
  <c r="C1482" i="3" l="1"/>
  <c r="B1482" i="3"/>
  <c r="G1482" i="3"/>
  <c r="A1483" i="3" s="1"/>
  <c r="F1482" i="3"/>
  <c r="H1482" i="3"/>
  <c r="E1482" i="3"/>
  <c r="D1482" i="3"/>
  <c r="H1483" i="3" l="1"/>
  <c r="G1483" i="3"/>
  <c r="A1484" i="3" s="1"/>
  <c r="E1483" i="3"/>
  <c r="F1483" i="3"/>
  <c r="D1483" i="3"/>
  <c r="B1483" i="3"/>
  <c r="C1483" i="3"/>
  <c r="D1484" i="3" l="1"/>
  <c r="G1484" i="3"/>
  <c r="A1485" i="3" s="1"/>
  <c r="H1484" i="3"/>
  <c r="F1484" i="3"/>
  <c r="E1484" i="3"/>
  <c r="C1484" i="3"/>
  <c r="B1484" i="3"/>
  <c r="C1485" i="3" l="1"/>
  <c r="B1485" i="3"/>
  <c r="H1485" i="3"/>
  <c r="E1485" i="3"/>
  <c r="D1485" i="3"/>
  <c r="G1485" i="3"/>
  <c r="A1486" i="3" s="1"/>
  <c r="F1485" i="3"/>
  <c r="H1486" i="3" l="1"/>
  <c r="D1486" i="3"/>
  <c r="G1486" i="3"/>
  <c r="A1487" i="3" s="1"/>
  <c r="F1486" i="3"/>
  <c r="E1486" i="3"/>
  <c r="C1486" i="3"/>
  <c r="B1486" i="3"/>
  <c r="E1487" i="3" l="1"/>
  <c r="D1487" i="3"/>
  <c r="C1487" i="3"/>
  <c r="B1487" i="3"/>
  <c r="H1487" i="3"/>
  <c r="F1487" i="3"/>
  <c r="G1487" i="3"/>
  <c r="A1488" i="3" s="1"/>
  <c r="C1488" i="3" l="1"/>
  <c r="B1488" i="3"/>
  <c r="F1488" i="3"/>
  <c r="H1488" i="3"/>
  <c r="E1488" i="3"/>
  <c r="G1488" i="3"/>
  <c r="A1489" i="3" s="1"/>
  <c r="D1488" i="3"/>
  <c r="C1489" i="3" l="1"/>
  <c r="B1489" i="3"/>
  <c r="H1489" i="3"/>
  <c r="G1489" i="3"/>
  <c r="A1490" i="3" s="1"/>
  <c r="E1489" i="3"/>
  <c r="D1489" i="3"/>
  <c r="F1489" i="3"/>
  <c r="H1490" i="3" l="1"/>
  <c r="G1490" i="3"/>
  <c r="A1491" i="3" s="1"/>
  <c r="F1490" i="3"/>
  <c r="E1490" i="3"/>
  <c r="D1490" i="3"/>
  <c r="B1490" i="3"/>
  <c r="C1490" i="3"/>
  <c r="C1491" i="3" l="1"/>
  <c r="B1491" i="3"/>
  <c r="D1491" i="3"/>
  <c r="F1491" i="3"/>
  <c r="H1491" i="3"/>
  <c r="E1491" i="3"/>
  <c r="G1491" i="3"/>
  <c r="A1492" i="3" s="1"/>
  <c r="E1492" i="3" l="1"/>
  <c r="D1492" i="3"/>
  <c r="G1492" i="3"/>
  <c r="A1493" i="3" s="1"/>
  <c r="F1492" i="3"/>
  <c r="C1492" i="3"/>
  <c r="B1492" i="3"/>
  <c r="H1492" i="3"/>
  <c r="H1493" i="3" l="1"/>
  <c r="F1493" i="3"/>
  <c r="G1493" i="3"/>
  <c r="A1494" i="3" s="1"/>
  <c r="D1493" i="3"/>
  <c r="C1493" i="3"/>
  <c r="B1493" i="3"/>
  <c r="E1493" i="3"/>
  <c r="C1494" i="3" l="1"/>
  <c r="B1494" i="3"/>
  <c r="G1494" i="3"/>
  <c r="A1495" i="3" s="1"/>
  <c r="F1494" i="3"/>
  <c r="E1494" i="3"/>
  <c r="H1494" i="3"/>
  <c r="D1494" i="3"/>
  <c r="G1495" i="3" l="1"/>
  <c r="A1496" i="3" s="1"/>
  <c r="F1495" i="3"/>
  <c r="H1495" i="3"/>
  <c r="E1495" i="3"/>
  <c r="D1495" i="3"/>
  <c r="C1495" i="3"/>
  <c r="B1495" i="3"/>
  <c r="C1496" i="3" l="1"/>
  <c r="H1496" i="3"/>
  <c r="G1496" i="3"/>
  <c r="A1497" i="3" s="1"/>
  <c r="F1496" i="3"/>
  <c r="E1496" i="3"/>
  <c r="D1496" i="3"/>
  <c r="B1496" i="3"/>
  <c r="C1497" i="3" l="1"/>
  <c r="B1497" i="3"/>
  <c r="E1497" i="3"/>
  <c r="H1497" i="3"/>
  <c r="F1497" i="3"/>
  <c r="G1497" i="3"/>
  <c r="A1498" i="3" s="1"/>
  <c r="D1497" i="3"/>
  <c r="H1498" i="3" l="1"/>
  <c r="C1498" i="3"/>
  <c r="B1498" i="3"/>
  <c r="G1498" i="3"/>
  <c r="A1499" i="3" s="1"/>
  <c r="F1498" i="3"/>
  <c r="D1498" i="3"/>
  <c r="E1498" i="3"/>
  <c r="G1499" i="3" l="1"/>
  <c r="A1500" i="3" s="1"/>
  <c r="H1499" i="3"/>
  <c r="E1499" i="3"/>
  <c r="F1499" i="3"/>
  <c r="D1499" i="3"/>
  <c r="B1499" i="3"/>
  <c r="C1499" i="3"/>
  <c r="C1500" i="3" l="1"/>
  <c r="B1500" i="3"/>
  <c r="D1500" i="3"/>
  <c r="F1500" i="3"/>
  <c r="E1500" i="3"/>
  <c r="H1500" i="3"/>
  <c r="G1500" i="3"/>
  <c r="A1501" i="3" s="1"/>
  <c r="G1501" i="3" l="1"/>
  <c r="A1502" i="3" s="1"/>
  <c r="F1501" i="3"/>
  <c r="E1501" i="3"/>
  <c r="C1501" i="3"/>
  <c r="D1501" i="3"/>
  <c r="B1501" i="3"/>
  <c r="H1501" i="3"/>
  <c r="C1502" i="3" l="1"/>
  <c r="B1502" i="3"/>
  <c r="G1502" i="3"/>
  <c r="A1503" i="3" s="1"/>
  <c r="H1502" i="3"/>
  <c r="F1502" i="3"/>
  <c r="E1502" i="3"/>
  <c r="D1502" i="3"/>
  <c r="C1503" i="3" l="1"/>
  <c r="B1503" i="3"/>
  <c r="E1503" i="3"/>
  <c r="D1503" i="3"/>
  <c r="F1503" i="3"/>
  <c r="H1503" i="3"/>
  <c r="G1503" i="3"/>
  <c r="A1504" i="3" s="1"/>
  <c r="H1504" i="3" l="1"/>
  <c r="G1504" i="3"/>
  <c r="A1505" i="3" s="1"/>
  <c r="E1504" i="3"/>
  <c r="F1504" i="3"/>
  <c r="D1504" i="3"/>
  <c r="C1504" i="3"/>
  <c r="B1504" i="3"/>
  <c r="E1505" i="3" l="1"/>
  <c r="D1505" i="3"/>
  <c r="C1505" i="3"/>
  <c r="B1505" i="3"/>
  <c r="H1505" i="3"/>
  <c r="G1505" i="3"/>
  <c r="A1506" i="3" s="1"/>
  <c r="F1505" i="3"/>
  <c r="C1506" i="3" l="1"/>
  <c r="B1506" i="3"/>
  <c r="E1506" i="3"/>
  <c r="F1506" i="3"/>
  <c r="D1506" i="3"/>
  <c r="H1506" i="3"/>
  <c r="G1506" i="3"/>
  <c r="A1507" i="3" s="1"/>
  <c r="G1507" i="3" l="1"/>
  <c r="A1508" i="3" s="1"/>
  <c r="F1507" i="3"/>
  <c r="D1507" i="3"/>
  <c r="H1507" i="3"/>
  <c r="E1507" i="3"/>
  <c r="B1507" i="3"/>
  <c r="C1507" i="3"/>
  <c r="G1508" i="3" l="1"/>
  <c r="A1509" i="3" s="1"/>
  <c r="F1508" i="3"/>
  <c r="H1508" i="3"/>
  <c r="E1508" i="3"/>
  <c r="D1508" i="3"/>
  <c r="C1508" i="3"/>
  <c r="B1508" i="3"/>
  <c r="C1509" i="3" l="1"/>
  <c r="B1509" i="3"/>
  <c r="F1509" i="3"/>
  <c r="E1509" i="3"/>
  <c r="D1509" i="3"/>
  <c r="H1509" i="3"/>
  <c r="G1509" i="3"/>
  <c r="A1510" i="3" s="1"/>
  <c r="E1510" i="3" l="1"/>
  <c r="B1510" i="3"/>
  <c r="H1510" i="3"/>
  <c r="G1510" i="3"/>
  <c r="A1511" i="3" s="1"/>
  <c r="D1510" i="3"/>
  <c r="C1510" i="3"/>
  <c r="F1510" i="3"/>
  <c r="H1511" i="3" l="1"/>
  <c r="F1511" i="3"/>
  <c r="G1511" i="3"/>
  <c r="A1512" i="3" s="1"/>
  <c r="B1511" i="3"/>
  <c r="E1511" i="3"/>
  <c r="D1511" i="3"/>
  <c r="C1511" i="3"/>
  <c r="C1512" i="3" l="1"/>
  <c r="B1512" i="3"/>
  <c r="G1512" i="3"/>
  <c r="A1513" i="3" s="1"/>
  <c r="F1512" i="3"/>
  <c r="E1512" i="3"/>
  <c r="H1512" i="3"/>
  <c r="D1512" i="3"/>
  <c r="B1513" i="3" l="1"/>
  <c r="D1513" i="3"/>
  <c r="C1513" i="3"/>
  <c r="H1513" i="3"/>
  <c r="G1513" i="3"/>
  <c r="A1514" i="3" s="1"/>
  <c r="E1513" i="3"/>
  <c r="F1513" i="3"/>
  <c r="C1514" i="3" l="1"/>
  <c r="B1514" i="3"/>
  <c r="H1514" i="3"/>
  <c r="G1514" i="3"/>
  <c r="A1515" i="3" s="1"/>
  <c r="E1514" i="3"/>
  <c r="D1514" i="3"/>
  <c r="F1514" i="3"/>
  <c r="F1515" i="3" l="1"/>
  <c r="C1515" i="3"/>
  <c r="B1515" i="3"/>
  <c r="E1515" i="3"/>
  <c r="D1515" i="3"/>
  <c r="G1515" i="3"/>
  <c r="A1516" i="3" s="1"/>
  <c r="H1515" i="3"/>
  <c r="D1516" i="3" l="1"/>
  <c r="C1516" i="3"/>
  <c r="B1516" i="3"/>
  <c r="H1516" i="3"/>
  <c r="G1516" i="3"/>
  <c r="A1517" i="3" s="1"/>
  <c r="F1516" i="3"/>
  <c r="E1516" i="3"/>
  <c r="F1517" i="3" l="1"/>
  <c r="C1517" i="3"/>
  <c r="B1517" i="3"/>
  <c r="H1517" i="3"/>
  <c r="G1517" i="3"/>
  <c r="A1518" i="3" s="1"/>
  <c r="D1517" i="3"/>
  <c r="E1517" i="3"/>
  <c r="F1518" i="3" l="1"/>
  <c r="D1518" i="3"/>
  <c r="C1518" i="3"/>
  <c r="H1518" i="3"/>
  <c r="G1518" i="3"/>
  <c r="A1519" i="3" s="1"/>
  <c r="E1518" i="3"/>
  <c r="B1518" i="3"/>
  <c r="H1519" i="3" l="1"/>
  <c r="G1519" i="3"/>
  <c r="A1520" i="3" s="1"/>
  <c r="D1519" i="3"/>
  <c r="C1519" i="3"/>
  <c r="B1519" i="3"/>
  <c r="E1519" i="3"/>
  <c r="F1519" i="3"/>
  <c r="E1520" i="3" l="1"/>
  <c r="H1520" i="3"/>
  <c r="G1520" i="3"/>
  <c r="A1521" i="3" s="1"/>
  <c r="F1520" i="3"/>
  <c r="D1520" i="3"/>
  <c r="C1520" i="3"/>
  <c r="B1520" i="3"/>
  <c r="F1521" i="3" l="1"/>
  <c r="E1521" i="3"/>
  <c r="D1521" i="3"/>
  <c r="C1521" i="3"/>
  <c r="G1521" i="3"/>
  <c r="A1522" i="3" s="1"/>
  <c r="H1521" i="3"/>
  <c r="B1521" i="3"/>
  <c r="D1522" i="3" l="1"/>
  <c r="C1522" i="3"/>
  <c r="B1522" i="3"/>
  <c r="G1522" i="3"/>
  <c r="A1523" i="3" s="1"/>
  <c r="F1522" i="3"/>
  <c r="H1522" i="3"/>
  <c r="E1522" i="3"/>
  <c r="F1523" i="3" l="1"/>
  <c r="E1523" i="3"/>
  <c r="D1523" i="3"/>
  <c r="B1523" i="3"/>
  <c r="C1523" i="3"/>
  <c r="H1523" i="3"/>
  <c r="G1523" i="3"/>
  <c r="A1524" i="3" s="1"/>
  <c r="F1524" i="3" l="1"/>
  <c r="G1524" i="3"/>
  <c r="A1525" i="3" s="1"/>
  <c r="E1524" i="3"/>
  <c r="C1524" i="3"/>
  <c r="B1524" i="3"/>
  <c r="H1524" i="3"/>
  <c r="D1524" i="3"/>
  <c r="G1525" i="3" l="1"/>
  <c r="A1526" i="3" s="1"/>
  <c r="F1525" i="3"/>
  <c r="C1525" i="3"/>
  <c r="D1525" i="3"/>
  <c r="H1525" i="3"/>
  <c r="E1525" i="3"/>
  <c r="B1525" i="3"/>
  <c r="G1526" i="3" l="1"/>
  <c r="A1527" i="3" s="1"/>
  <c r="F1526" i="3"/>
  <c r="D1526" i="3"/>
  <c r="H1526" i="3"/>
  <c r="C1526" i="3"/>
  <c r="E1526" i="3"/>
  <c r="B1526" i="3"/>
  <c r="F1527" i="3" l="1"/>
  <c r="H1527" i="3"/>
  <c r="G1527" i="3"/>
  <c r="A1528" i="3" s="1"/>
  <c r="C1527" i="3"/>
  <c r="B1527" i="3"/>
  <c r="E1527" i="3"/>
  <c r="D1527" i="3"/>
  <c r="H1528" i="3" l="1"/>
  <c r="B1528" i="3"/>
  <c r="G1528" i="3"/>
  <c r="A1529" i="3" s="1"/>
  <c r="E1528" i="3"/>
  <c r="D1528" i="3"/>
  <c r="C1528" i="3"/>
  <c r="F1528" i="3"/>
  <c r="B1529" i="3" l="1"/>
  <c r="C1529" i="3"/>
  <c r="H1529" i="3"/>
  <c r="G1529" i="3"/>
  <c r="A1530" i="3" s="1"/>
  <c r="F1529" i="3"/>
  <c r="E1529" i="3"/>
  <c r="D1529" i="3"/>
  <c r="F1530" i="3" l="1"/>
  <c r="H1530" i="3"/>
  <c r="G1530" i="3"/>
  <c r="A1531" i="3" s="1"/>
  <c r="C1530" i="3"/>
  <c r="B1530" i="3"/>
  <c r="E1530" i="3"/>
  <c r="D1530" i="3"/>
  <c r="C1531" i="3" l="1"/>
  <c r="B1531" i="3"/>
  <c r="H1531" i="3"/>
  <c r="G1531" i="3"/>
  <c r="A1532" i="3" s="1"/>
  <c r="F1531" i="3"/>
  <c r="E1531" i="3"/>
  <c r="D1531" i="3"/>
  <c r="E1532" i="3" l="1"/>
  <c r="D1532" i="3"/>
  <c r="G1532" i="3"/>
  <c r="A1533" i="3" s="1"/>
  <c r="C1532" i="3"/>
  <c r="B1532" i="3"/>
  <c r="H1532" i="3"/>
  <c r="F1532" i="3"/>
  <c r="F1533" i="3" l="1"/>
  <c r="D1533" i="3"/>
  <c r="C1533" i="3"/>
  <c r="B1533" i="3"/>
  <c r="G1533" i="3"/>
  <c r="A1534" i="3" s="1"/>
  <c r="E1533" i="3"/>
  <c r="H1533" i="3"/>
  <c r="B1534" i="3" l="1"/>
  <c r="H1534" i="3"/>
  <c r="G1534" i="3"/>
  <c r="A1535" i="3" s="1"/>
  <c r="F1534" i="3"/>
  <c r="D1534" i="3"/>
  <c r="C1534" i="3"/>
  <c r="E1534" i="3"/>
  <c r="H1535" i="3" l="1"/>
  <c r="G1535" i="3"/>
  <c r="A1536" i="3" s="1"/>
  <c r="F1535" i="3"/>
  <c r="B1535" i="3"/>
  <c r="C1535" i="3"/>
  <c r="E1535" i="3"/>
  <c r="D1535" i="3"/>
  <c r="F1536" i="3" l="1"/>
  <c r="D1536" i="3"/>
  <c r="H1536" i="3"/>
  <c r="G1536" i="3"/>
  <c r="A1537" i="3" s="1"/>
  <c r="E1536" i="3"/>
  <c r="C1536" i="3"/>
  <c r="B1536" i="3"/>
  <c r="C1537" i="3" l="1"/>
  <c r="B1537" i="3"/>
  <c r="H1537" i="3"/>
  <c r="F1537" i="3"/>
  <c r="E1537" i="3"/>
  <c r="D1537" i="3"/>
  <c r="G1537" i="3"/>
  <c r="A1538" i="3" s="1"/>
  <c r="E1538" i="3" l="1"/>
  <c r="D1538" i="3"/>
  <c r="C1538" i="3"/>
  <c r="B1538" i="3"/>
  <c r="H1538" i="3"/>
  <c r="F1538" i="3"/>
  <c r="G1538" i="3"/>
  <c r="A1539" i="3" s="1"/>
  <c r="F1539" i="3" l="1"/>
  <c r="C1539" i="3"/>
  <c r="B1539" i="3"/>
  <c r="H1539" i="3"/>
  <c r="G1539" i="3"/>
  <c r="A1540" i="3" s="1"/>
  <c r="D1539" i="3"/>
  <c r="E1539" i="3"/>
  <c r="D1540" i="3" l="1"/>
  <c r="C1540" i="3"/>
  <c r="B1540" i="3"/>
  <c r="H1540" i="3"/>
  <c r="F1540" i="3"/>
  <c r="E1540" i="3"/>
  <c r="G1540" i="3"/>
  <c r="A1541" i="3" s="1"/>
  <c r="H1541" i="3" l="1"/>
  <c r="C1541" i="3"/>
  <c r="B1541" i="3"/>
  <c r="E1541" i="3"/>
  <c r="F1541" i="3"/>
  <c r="D1541" i="3"/>
  <c r="G1541" i="3"/>
  <c r="A1542" i="3" s="1"/>
  <c r="F1542" i="3" l="1"/>
  <c r="G1542" i="3"/>
  <c r="A1543" i="3" s="1"/>
  <c r="E1542" i="3"/>
  <c r="B1542" i="3"/>
  <c r="H1542" i="3"/>
  <c r="D1542" i="3"/>
  <c r="C1542" i="3"/>
  <c r="E1543" i="3" l="1"/>
  <c r="D1543" i="3"/>
  <c r="F1543" i="3"/>
  <c r="C1543" i="3"/>
  <c r="H1543" i="3"/>
  <c r="G1543" i="3"/>
  <c r="A1544" i="3" s="1"/>
  <c r="B1543" i="3"/>
  <c r="E1544" i="3" l="1"/>
  <c r="D1544" i="3"/>
  <c r="C1544" i="3"/>
  <c r="B1544" i="3"/>
  <c r="G1544" i="3"/>
  <c r="A1545" i="3" s="1"/>
  <c r="F1544" i="3"/>
  <c r="H1544" i="3"/>
  <c r="F1545" i="3" l="1"/>
  <c r="H1545" i="3"/>
  <c r="G1545" i="3"/>
  <c r="A1546" i="3" s="1"/>
  <c r="E1545" i="3"/>
  <c r="D1545" i="3"/>
  <c r="C1545" i="3"/>
  <c r="B1545" i="3"/>
  <c r="F1546" i="3" l="1"/>
  <c r="E1546" i="3"/>
  <c r="B1546" i="3"/>
  <c r="H1546" i="3"/>
  <c r="C1546" i="3"/>
  <c r="G1546" i="3"/>
  <c r="A1547" i="3" s="1"/>
  <c r="D1546" i="3"/>
  <c r="F1547" i="3" l="1"/>
  <c r="B1547" i="3"/>
  <c r="H1547" i="3"/>
  <c r="G1547" i="3"/>
  <c r="A1548" i="3" s="1"/>
  <c r="D1547" i="3"/>
  <c r="E1547" i="3"/>
  <c r="C1547" i="3"/>
  <c r="F1548" i="3" l="1"/>
  <c r="D1548" i="3"/>
  <c r="C1548" i="3"/>
  <c r="B1548" i="3"/>
  <c r="H1548" i="3"/>
  <c r="E1548" i="3"/>
  <c r="G1548" i="3"/>
  <c r="A1549" i="3" s="1"/>
  <c r="G1549" i="3" l="1"/>
  <c r="A1550" i="3" s="1"/>
  <c r="F1549" i="3"/>
  <c r="E1549" i="3"/>
  <c r="D1549" i="3"/>
  <c r="H1549" i="3"/>
  <c r="C1549" i="3"/>
  <c r="B1549" i="3"/>
  <c r="E1550" i="3" l="1"/>
  <c r="D1550" i="3"/>
  <c r="C1550" i="3"/>
  <c r="B1550" i="3"/>
  <c r="G1550" i="3"/>
  <c r="A1551" i="3" s="1"/>
  <c r="F1550" i="3"/>
  <c r="H1550" i="3"/>
  <c r="F1551" i="3" l="1"/>
  <c r="C1551" i="3"/>
  <c r="G1551" i="3"/>
  <c r="A1552" i="3" s="1"/>
  <c r="E1551" i="3"/>
  <c r="D1551" i="3"/>
  <c r="B1551" i="3"/>
  <c r="H1551" i="3"/>
  <c r="H1552" i="3" l="1"/>
  <c r="G1552" i="3"/>
  <c r="A1553" i="3" s="1"/>
  <c r="B1552" i="3"/>
  <c r="F1552" i="3"/>
  <c r="E1552" i="3"/>
  <c r="C1552" i="3"/>
  <c r="D1552" i="3"/>
  <c r="B1553" i="3" l="1"/>
  <c r="F1553" i="3"/>
  <c r="E1553" i="3"/>
  <c r="D1553" i="3"/>
  <c r="H1553" i="3"/>
  <c r="C1553" i="3"/>
  <c r="G1553" i="3"/>
  <c r="A1554" i="3" s="1"/>
  <c r="F1554" i="3" l="1"/>
  <c r="G1554" i="3"/>
  <c r="A1555" i="3" s="1"/>
  <c r="E1554" i="3"/>
  <c r="D1554" i="3"/>
  <c r="C1554" i="3"/>
  <c r="H1554" i="3"/>
  <c r="B1554" i="3"/>
  <c r="H1555" i="3" l="1"/>
  <c r="B1555" i="3"/>
  <c r="F1555" i="3"/>
  <c r="E1555" i="3"/>
  <c r="D1555" i="3"/>
  <c r="G1555" i="3"/>
  <c r="A1556" i="3" s="1"/>
  <c r="C1555" i="3"/>
  <c r="E1556" i="3" l="1"/>
  <c r="D1556" i="3"/>
  <c r="B1556" i="3"/>
  <c r="C1556" i="3"/>
  <c r="H1556" i="3"/>
  <c r="F1556" i="3"/>
  <c r="G1556" i="3"/>
  <c r="A1557" i="3" s="1"/>
  <c r="F1557" i="3" l="1"/>
  <c r="C1557" i="3"/>
  <c r="B1557" i="3"/>
  <c r="E1557" i="3"/>
  <c r="H1557" i="3"/>
  <c r="G1557" i="3"/>
  <c r="A1558" i="3" s="1"/>
  <c r="D1557" i="3"/>
  <c r="F1558" i="3" l="1"/>
  <c r="H1558" i="3"/>
  <c r="G1558" i="3"/>
  <c r="A1559" i="3" s="1"/>
  <c r="E1558" i="3"/>
  <c r="D1558" i="3"/>
  <c r="C1558" i="3"/>
  <c r="B1558" i="3"/>
  <c r="B1559" i="3" l="1"/>
  <c r="H1559" i="3"/>
  <c r="G1559" i="3"/>
  <c r="A1560" i="3" s="1"/>
  <c r="C1559" i="3"/>
  <c r="F1559" i="3"/>
  <c r="E1559" i="3"/>
  <c r="D1559" i="3"/>
  <c r="F1560" i="3" l="1"/>
  <c r="H1560" i="3"/>
  <c r="G1560" i="3"/>
  <c r="A1561" i="3" s="1"/>
  <c r="D1560" i="3"/>
  <c r="B1560" i="3"/>
  <c r="C1560" i="3"/>
  <c r="E1560" i="3"/>
  <c r="C1561" i="3" l="1"/>
  <c r="B1561" i="3"/>
  <c r="H1561" i="3"/>
  <c r="F1561" i="3"/>
  <c r="E1561" i="3"/>
  <c r="D1561" i="3"/>
  <c r="G1561" i="3"/>
  <c r="A1562" i="3" s="1"/>
  <c r="C1562" i="3" l="1"/>
  <c r="B1562" i="3"/>
  <c r="E1562" i="3"/>
  <c r="F1562" i="3"/>
  <c r="D1562" i="3"/>
  <c r="G1562" i="3"/>
  <c r="A1563" i="3" s="1"/>
  <c r="H1562" i="3"/>
  <c r="F1563" i="3" l="1"/>
  <c r="C1563" i="3"/>
  <c r="B1563" i="3"/>
  <c r="G1563" i="3"/>
  <c r="A1564" i="3" s="1"/>
  <c r="E1563" i="3"/>
  <c r="D1563" i="3"/>
  <c r="H1563" i="3"/>
  <c r="F1564" i="3" l="1"/>
  <c r="E1564" i="3"/>
  <c r="D1564" i="3"/>
  <c r="H1564" i="3"/>
  <c r="C1564" i="3"/>
  <c r="B1564" i="3"/>
  <c r="G1564" i="3"/>
  <c r="A1565" i="3" s="1"/>
  <c r="D1565" i="3" l="1"/>
  <c r="C1565" i="3"/>
  <c r="H1565" i="3"/>
  <c r="G1565" i="3"/>
  <c r="A1566" i="3" s="1"/>
  <c r="F1565" i="3"/>
  <c r="E1565" i="3"/>
  <c r="B1565" i="3"/>
  <c r="F1566" i="3" l="1"/>
  <c r="G1566" i="3"/>
  <c r="A1567" i="3" s="1"/>
  <c r="E1566" i="3"/>
  <c r="B1566" i="3"/>
  <c r="D1566" i="3"/>
  <c r="C1566" i="3"/>
  <c r="H1566" i="3"/>
  <c r="H1567" i="3" l="1"/>
  <c r="G1567" i="3"/>
  <c r="A1568" i="3" s="1"/>
  <c r="F1567" i="3"/>
  <c r="E1567" i="3"/>
  <c r="B1567" i="3"/>
  <c r="C1567" i="3"/>
  <c r="D1567" i="3"/>
  <c r="E1568" i="3" l="1"/>
  <c r="D1568" i="3"/>
  <c r="C1568" i="3"/>
  <c r="B1568" i="3"/>
  <c r="G1568" i="3"/>
  <c r="A1569" i="3" s="1"/>
  <c r="F1568" i="3"/>
  <c r="H1568" i="3"/>
  <c r="F1569" i="3" l="1"/>
  <c r="D1569" i="3"/>
  <c r="G1569" i="3"/>
  <c r="A1570" i="3" s="1"/>
  <c r="H1569" i="3"/>
  <c r="E1569" i="3"/>
  <c r="B1569" i="3"/>
  <c r="C1569" i="3"/>
  <c r="C1570" i="3" l="1"/>
  <c r="B1570" i="3"/>
  <c r="E1570" i="3"/>
  <c r="D1570" i="3"/>
  <c r="F1570" i="3"/>
  <c r="G1570" i="3"/>
  <c r="A1571" i="3" s="1"/>
  <c r="H1570" i="3"/>
  <c r="G1571" i="3" l="1"/>
  <c r="A1572" i="3" s="1"/>
  <c r="F1571" i="3"/>
  <c r="E1571" i="3"/>
  <c r="D1571" i="3"/>
  <c r="C1571" i="3"/>
  <c r="H1571" i="3"/>
  <c r="B1571" i="3"/>
  <c r="F1572" i="3" l="1"/>
  <c r="D1572" i="3"/>
  <c r="C1572" i="3"/>
  <c r="B1572" i="3"/>
  <c r="H1572" i="3"/>
  <c r="G1572" i="3"/>
  <c r="A1573" i="3" s="1"/>
  <c r="E1572" i="3"/>
  <c r="G1573" i="3" l="1"/>
  <c r="A1574" i="3" s="1"/>
  <c r="F1573" i="3"/>
  <c r="B1573" i="3"/>
  <c r="E1573" i="3"/>
  <c r="H1573" i="3"/>
  <c r="D1573" i="3"/>
  <c r="C1573" i="3"/>
  <c r="H1574" i="3" l="1"/>
  <c r="B1574" i="3"/>
  <c r="D1574" i="3"/>
  <c r="C1574" i="3"/>
  <c r="F1574" i="3"/>
  <c r="E1574" i="3"/>
  <c r="G1574" i="3"/>
  <c r="A1575" i="3" s="1"/>
  <c r="F1575" i="3" l="1"/>
  <c r="D1575" i="3"/>
  <c r="G1575" i="3"/>
  <c r="A1576" i="3" s="1"/>
  <c r="E1575" i="3"/>
  <c r="B1575" i="3"/>
  <c r="C1575" i="3"/>
  <c r="H1575" i="3"/>
  <c r="C1576" i="3" l="1"/>
  <c r="B1576" i="3"/>
  <c r="H1576" i="3"/>
  <c r="E1576" i="3"/>
  <c r="D1576" i="3"/>
  <c r="G1576" i="3"/>
  <c r="A1577" i="3" s="1"/>
  <c r="F1576" i="3"/>
  <c r="C1577" i="3" l="1"/>
  <c r="B1577" i="3"/>
  <c r="G1577" i="3"/>
  <c r="A1578" i="3" s="1"/>
  <c r="E1577" i="3"/>
  <c r="D1577" i="3"/>
  <c r="H1577" i="3"/>
  <c r="F1577" i="3"/>
  <c r="F1578" i="3" l="1"/>
  <c r="D1578" i="3"/>
  <c r="C1578" i="3"/>
  <c r="B1578" i="3"/>
  <c r="G1578" i="3"/>
  <c r="A1579" i="3" s="1"/>
  <c r="E1578" i="3"/>
  <c r="H1578" i="3"/>
  <c r="H1579" i="3" l="1"/>
  <c r="G1579" i="3"/>
  <c r="A1580" i="3" s="1"/>
  <c r="D1579" i="3"/>
  <c r="F1579" i="3"/>
  <c r="E1579" i="3"/>
  <c r="C1579" i="3"/>
  <c r="B1579" i="3"/>
  <c r="G1580" i="3" l="1"/>
  <c r="A1581" i="3" s="1"/>
  <c r="F1580" i="3"/>
  <c r="E1580" i="3"/>
  <c r="H1580" i="3"/>
  <c r="C1580" i="3"/>
  <c r="B1580" i="3"/>
  <c r="D1580" i="3"/>
  <c r="F1581" i="3" l="1"/>
  <c r="D1581" i="3"/>
  <c r="G1581" i="3"/>
  <c r="A1582" i="3" s="1"/>
  <c r="E1581" i="3"/>
  <c r="H1581" i="3"/>
  <c r="B1581" i="3"/>
  <c r="C1581" i="3"/>
  <c r="D1582" i="3" l="1"/>
  <c r="C1582" i="3"/>
  <c r="B1582" i="3"/>
  <c r="H1582" i="3"/>
  <c r="G1582" i="3"/>
  <c r="A1583" i="3" s="1"/>
  <c r="F1582" i="3"/>
  <c r="E1582" i="3"/>
  <c r="G1583" i="3" l="1"/>
  <c r="A1584" i="3" s="1"/>
  <c r="F1583" i="3"/>
  <c r="E1583" i="3"/>
  <c r="H1583" i="3"/>
  <c r="C1583" i="3"/>
  <c r="D1583" i="3"/>
  <c r="B1583" i="3"/>
  <c r="F1584" i="3" l="1"/>
  <c r="D1584" i="3"/>
  <c r="H1584" i="3"/>
  <c r="C1584" i="3"/>
  <c r="B1584" i="3"/>
  <c r="G1584" i="3"/>
  <c r="A1585" i="3" s="1"/>
  <c r="E1584" i="3"/>
  <c r="G1585" i="3" l="1"/>
  <c r="A1586" i="3" s="1"/>
  <c r="C1585" i="3"/>
  <c r="H1585" i="3"/>
  <c r="F1585" i="3"/>
  <c r="E1585" i="3"/>
  <c r="B1585" i="3"/>
  <c r="D1585" i="3"/>
  <c r="F1586" i="3" l="1"/>
  <c r="E1586" i="3"/>
  <c r="D1586" i="3"/>
  <c r="C1586" i="3"/>
  <c r="H1586" i="3"/>
  <c r="B1586" i="3"/>
  <c r="G1586" i="3"/>
  <c r="A1587" i="3" s="1"/>
  <c r="F1587" i="3" l="1"/>
  <c r="D1587" i="3"/>
  <c r="H1587" i="3"/>
  <c r="G1587" i="3"/>
  <c r="A1588" i="3" s="1"/>
  <c r="E1587" i="3"/>
  <c r="C1587" i="3"/>
  <c r="B1587" i="3"/>
  <c r="C1588" i="3" l="1"/>
  <c r="B1588" i="3"/>
  <c r="H1588" i="3"/>
  <c r="G1588" i="3"/>
  <c r="A1589" i="3" s="1"/>
  <c r="E1588" i="3"/>
  <c r="F1588" i="3"/>
  <c r="D1588" i="3"/>
  <c r="E1589" i="3" l="1"/>
  <c r="D1589" i="3"/>
  <c r="H1589" i="3"/>
  <c r="G1589" i="3"/>
  <c r="A1590" i="3" s="1"/>
  <c r="F1589" i="3"/>
  <c r="C1589" i="3"/>
  <c r="B1589" i="3"/>
  <c r="F1590" i="3" l="1"/>
  <c r="D1590" i="3"/>
  <c r="H1590" i="3"/>
  <c r="G1590" i="3"/>
  <c r="A1591" i="3" s="1"/>
  <c r="B1590" i="3"/>
  <c r="C1590" i="3"/>
  <c r="E1590" i="3"/>
  <c r="E1591" i="3" l="1"/>
  <c r="D1591" i="3"/>
  <c r="G1591" i="3"/>
  <c r="A1592" i="3" s="1"/>
  <c r="F1591" i="3"/>
  <c r="H1591" i="3"/>
  <c r="C1591" i="3"/>
  <c r="B1591" i="3"/>
  <c r="H1592" i="3" l="1"/>
  <c r="G1592" i="3"/>
  <c r="A1593" i="3" s="1"/>
  <c r="E1592" i="3"/>
  <c r="B1592" i="3"/>
  <c r="F1592" i="3"/>
  <c r="C1592" i="3"/>
  <c r="D1592" i="3"/>
  <c r="F1593" i="3" l="1"/>
  <c r="D1593" i="3"/>
  <c r="C1593" i="3"/>
  <c r="H1593" i="3"/>
  <c r="G1593" i="3"/>
  <c r="A1594" i="3" s="1"/>
  <c r="E1593" i="3"/>
  <c r="B1593" i="3"/>
  <c r="G1594" i="3" l="1"/>
  <c r="A1595" i="3" s="1"/>
  <c r="F1594" i="3"/>
  <c r="E1594" i="3"/>
  <c r="H1594" i="3"/>
  <c r="C1594" i="3"/>
  <c r="D1594" i="3"/>
  <c r="B1594" i="3"/>
  <c r="C1595" i="3" l="1"/>
  <c r="B1595" i="3"/>
  <c r="G1595" i="3"/>
  <c r="A1596" i="3" s="1"/>
  <c r="F1595" i="3"/>
  <c r="E1595" i="3"/>
  <c r="H1595" i="3"/>
  <c r="D1595" i="3"/>
  <c r="F1596" i="3" l="1"/>
  <c r="D1596" i="3"/>
  <c r="C1596" i="3"/>
  <c r="B1596" i="3"/>
  <c r="G1596" i="3"/>
  <c r="A1597" i="3" s="1"/>
  <c r="H1596" i="3"/>
  <c r="E1596" i="3"/>
  <c r="H1597" i="3" l="1"/>
  <c r="C1597" i="3"/>
  <c r="F1597" i="3"/>
  <c r="G1597" i="3"/>
  <c r="A1598" i="3" s="1"/>
  <c r="B1597" i="3"/>
  <c r="E1597" i="3"/>
  <c r="D1597" i="3"/>
  <c r="G1598" i="3" l="1"/>
  <c r="A1599" i="3" s="1"/>
  <c r="F1598" i="3"/>
  <c r="C1598" i="3"/>
  <c r="B1598" i="3"/>
  <c r="H1598" i="3"/>
  <c r="E1598" i="3"/>
  <c r="D1598" i="3"/>
  <c r="F1599" i="3" l="1"/>
  <c r="D1599" i="3"/>
  <c r="G1599" i="3"/>
  <c r="A1600" i="3" s="1"/>
  <c r="E1599" i="3"/>
  <c r="C1599" i="3"/>
  <c r="B1599" i="3"/>
  <c r="H1599" i="3"/>
  <c r="G1600" i="3" l="1"/>
  <c r="A1601" i="3" s="1"/>
  <c r="F1600" i="3"/>
  <c r="E1600" i="3"/>
  <c r="D1600" i="3"/>
  <c r="H1600" i="3"/>
  <c r="C1600" i="3"/>
  <c r="B1600" i="3"/>
  <c r="C1601" i="3" l="1"/>
  <c r="B1601" i="3"/>
  <c r="H1601" i="3"/>
  <c r="G1601" i="3"/>
  <c r="A1602" i="3" s="1"/>
  <c r="F1601" i="3"/>
  <c r="E1601" i="3"/>
  <c r="D1601" i="3"/>
  <c r="F1602" i="3" l="1"/>
  <c r="D1602" i="3"/>
  <c r="C1602" i="3"/>
  <c r="B1602" i="3"/>
  <c r="G1602" i="3"/>
  <c r="A1603" i="3" s="1"/>
  <c r="E1602" i="3"/>
  <c r="H1602" i="3"/>
  <c r="E1603" i="3" l="1"/>
  <c r="D1603" i="3"/>
  <c r="C1603" i="3"/>
  <c r="H1603" i="3"/>
  <c r="G1603" i="3"/>
  <c r="A1604" i="3" s="1"/>
  <c r="B1603" i="3"/>
  <c r="F1603" i="3"/>
  <c r="E1604" i="3" l="1"/>
  <c r="D1604" i="3"/>
  <c r="H1604" i="3"/>
  <c r="F1604" i="3"/>
  <c r="B1604" i="3"/>
  <c r="G1604" i="3"/>
  <c r="A1605" i="3" s="1"/>
  <c r="C1604" i="3"/>
  <c r="F1605" i="3" l="1"/>
  <c r="D1605" i="3"/>
  <c r="H1605" i="3"/>
  <c r="E1605" i="3"/>
  <c r="C1605" i="3"/>
  <c r="B1605" i="3"/>
  <c r="G1605" i="3"/>
  <c r="A1606" i="3" s="1"/>
  <c r="E1606" i="3" l="1"/>
  <c r="G1606" i="3"/>
  <c r="A1607" i="3" s="1"/>
  <c r="F1606" i="3"/>
  <c r="D1606" i="3"/>
  <c r="C1606" i="3"/>
  <c r="H1606" i="3"/>
  <c r="B1606" i="3"/>
  <c r="G1607" i="3" l="1"/>
  <c r="A1608" i="3" s="1"/>
  <c r="F1607" i="3"/>
  <c r="C1607" i="3"/>
  <c r="B1607" i="3"/>
  <c r="E1607" i="3"/>
  <c r="D1607" i="3"/>
  <c r="H1607" i="3"/>
  <c r="F1608" i="3" l="1"/>
  <c r="D1608" i="3"/>
  <c r="G1608" i="3"/>
  <c r="A1609" i="3" s="1"/>
  <c r="E1608" i="3"/>
  <c r="H1608" i="3"/>
  <c r="C1608" i="3"/>
  <c r="B1608" i="3"/>
  <c r="E1609" i="3" l="1"/>
  <c r="D1609" i="3"/>
  <c r="H1609" i="3"/>
  <c r="G1609" i="3"/>
  <c r="A1610" i="3" s="1"/>
  <c r="C1609" i="3"/>
  <c r="B1609" i="3"/>
  <c r="F1609" i="3"/>
  <c r="H1610" i="3" l="1"/>
  <c r="G1610" i="3"/>
  <c r="A1611" i="3" s="1"/>
  <c r="B1610" i="3"/>
  <c r="C1610" i="3"/>
  <c r="F1610" i="3"/>
  <c r="E1610" i="3"/>
  <c r="D1610" i="3"/>
  <c r="F1611" i="3" l="1"/>
  <c r="D1611" i="3"/>
  <c r="C1611" i="3"/>
  <c r="B1611" i="3"/>
  <c r="E1611" i="3"/>
  <c r="G1611" i="3"/>
  <c r="A1612" i="3" s="1"/>
  <c r="H1611" i="3"/>
  <c r="H1612" i="3" l="1"/>
  <c r="G1612" i="3"/>
  <c r="A1613" i="3" s="1"/>
  <c r="B1612" i="3"/>
  <c r="F1612" i="3"/>
  <c r="E1612" i="3"/>
  <c r="D1612" i="3"/>
  <c r="C1612" i="3"/>
  <c r="H1613" i="3" l="1"/>
  <c r="B1613" i="3"/>
  <c r="G1613" i="3"/>
  <c r="A1614" i="3" s="1"/>
  <c r="F1613" i="3"/>
  <c r="E1613" i="3"/>
  <c r="D1613" i="3"/>
  <c r="C1613" i="3"/>
  <c r="F1614" i="3" l="1"/>
  <c r="D1614" i="3"/>
  <c r="C1614" i="3"/>
  <c r="B1614" i="3"/>
  <c r="H1614" i="3"/>
  <c r="G1614" i="3"/>
  <c r="A1615" i="3" s="1"/>
  <c r="E1614" i="3"/>
  <c r="C1615" i="3" l="1"/>
  <c r="B1615" i="3"/>
  <c r="F1615" i="3"/>
  <c r="E1615" i="3"/>
  <c r="D1615" i="3"/>
  <c r="H1615" i="3"/>
  <c r="G1615" i="3"/>
  <c r="A1616" i="3" s="1"/>
  <c r="E1616" i="3" l="1"/>
  <c r="D1616" i="3"/>
  <c r="G1616" i="3"/>
  <c r="A1617" i="3" s="1"/>
  <c r="H1616" i="3"/>
  <c r="F1616" i="3"/>
  <c r="B1616" i="3"/>
  <c r="C1616" i="3"/>
  <c r="F1617" i="3" l="1"/>
  <c r="D1617" i="3"/>
  <c r="G1617" i="3"/>
  <c r="A1618" i="3" s="1"/>
  <c r="E1617" i="3"/>
  <c r="C1617" i="3"/>
  <c r="H1617" i="3"/>
  <c r="B1617" i="3"/>
  <c r="H1618" i="3" l="1"/>
  <c r="G1618" i="3"/>
  <c r="A1619" i="3" s="1"/>
  <c r="D1618" i="3"/>
  <c r="E1618" i="3"/>
  <c r="F1618" i="3"/>
  <c r="C1618" i="3"/>
  <c r="B1618" i="3"/>
  <c r="H1619" i="3" l="1"/>
  <c r="E1619" i="3"/>
  <c r="D1619" i="3"/>
  <c r="C1619" i="3"/>
  <c r="B1619" i="3"/>
  <c r="G1619" i="3"/>
  <c r="A1620" i="3" s="1"/>
  <c r="F1619" i="3"/>
  <c r="F1620" i="3" l="1"/>
  <c r="D1620" i="3"/>
  <c r="H1620" i="3"/>
  <c r="G1620" i="3"/>
  <c r="A1621" i="3" s="1"/>
  <c r="E1620" i="3"/>
  <c r="B1620" i="3"/>
  <c r="C1620" i="3"/>
  <c r="D1621" i="3" l="1"/>
  <c r="C1621" i="3"/>
  <c r="F1621" i="3"/>
  <c r="E1621" i="3"/>
  <c r="B1621" i="3"/>
  <c r="H1621" i="3"/>
  <c r="G1621" i="3"/>
  <c r="A1622" i="3" s="1"/>
  <c r="G1622" i="3" l="1"/>
  <c r="A1623" i="3" s="1"/>
  <c r="F1622" i="3"/>
  <c r="E1622" i="3"/>
  <c r="H1622" i="3"/>
  <c r="D1622" i="3"/>
  <c r="C1622" i="3"/>
  <c r="B1622" i="3"/>
  <c r="F1623" i="3" l="1"/>
  <c r="D1623" i="3"/>
  <c r="G1623" i="3"/>
  <c r="A1624" i="3" s="1"/>
  <c r="E1623" i="3"/>
  <c r="H1623" i="3"/>
  <c r="B1623" i="3"/>
  <c r="C1623" i="3"/>
  <c r="C1624" i="3" l="1"/>
  <c r="B1624" i="3"/>
  <c r="G1624" i="3"/>
  <c r="A1625" i="3" s="1"/>
  <c r="E1624" i="3"/>
  <c r="D1624" i="3"/>
  <c r="H1624" i="3"/>
  <c r="F1624" i="3"/>
  <c r="H1625" i="3" l="1"/>
  <c r="B1625" i="3"/>
  <c r="G1625" i="3"/>
  <c r="A1626" i="3" s="1"/>
  <c r="F1625" i="3"/>
  <c r="E1625" i="3"/>
  <c r="D1625" i="3"/>
  <c r="C1625" i="3"/>
  <c r="F1626" i="3" l="1"/>
  <c r="D1626" i="3"/>
  <c r="G1626" i="3"/>
  <c r="A1627" i="3" s="1"/>
  <c r="E1626" i="3"/>
  <c r="C1626" i="3"/>
  <c r="H1626" i="3"/>
  <c r="B1626" i="3"/>
  <c r="E1627" i="3" l="1"/>
  <c r="D1627" i="3"/>
  <c r="C1627" i="3"/>
  <c r="B1627" i="3"/>
  <c r="G1627" i="3"/>
  <c r="A1628" i="3" s="1"/>
  <c r="F1627" i="3"/>
  <c r="H1627" i="3"/>
  <c r="E1628" i="3" l="1"/>
  <c r="H1628" i="3"/>
  <c r="G1628" i="3"/>
  <c r="A1629" i="3" s="1"/>
  <c r="F1628" i="3"/>
  <c r="D1628" i="3"/>
  <c r="B1628" i="3"/>
  <c r="C1628" i="3"/>
  <c r="F1629" i="3" l="1"/>
  <c r="D1629" i="3"/>
  <c r="E1629" i="3"/>
  <c r="H1629" i="3"/>
  <c r="G1629" i="3"/>
  <c r="A1630" i="3" s="1"/>
  <c r="C1629" i="3"/>
  <c r="B1629" i="3"/>
  <c r="G1630" i="3" l="1"/>
  <c r="A1631" i="3" s="1"/>
  <c r="F1630" i="3"/>
  <c r="H1630" i="3"/>
  <c r="E1630" i="3"/>
  <c r="D1630" i="3"/>
  <c r="C1630" i="3"/>
  <c r="B1630" i="3"/>
  <c r="H1631" i="3" l="1"/>
  <c r="B1631" i="3"/>
  <c r="F1631" i="3"/>
  <c r="E1631" i="3"/>
  <c r="C1631" i="3"/>
  <c r="G1631" i="3"/>
  <c r="A1632" i="3" s="1"/>
  <c r="D1631" i="3"/>
  <c r="F1632" i="3" l="1"/>
  <c r="D1632" i="3"/>
  <c r="C1632" i="3"/>
  <c r="E1632" i="3"/>
  <c r="G1632" i="3"/>
  <c r="A1633" i="3" s="1"/>
  <c r="B1632" i="3"/>
  <c r="H1632" i="3"/>
  <c r="H1633" i="3" l="1"/>
  <c r="D1633" i="3"/>
  <c r="C1633" i="3"/>
  <c r="B1633" i="3"/>
  <c r="E1633" i="3"/>
  <c r="F1633" i="3"/>
  <c r="G1633" i="3"/>
  <c r="A1634" i="3" s="1"/>
  <c r="E1634" i="3" l="1"/>
  <c r="D1634" i="3"/>
  <c r="G1634" i="3"/>
  <c r="A1635" i="3" s="1"/>
  <c r="F1634" i="3"/>
  <c r="C1634" i="3"/>
  <c r="H1634" i="3"/>
  <c r="B1634" i="3"/>
  <c r="F1635" i="3" l="1"/>
  <c r="D1635" i="3"/>
  <c r="E1635" i="3"/>
  <c r="H1635" i="3"/>
  <c r="G1635" i="3"/>
  <c r="A1636" i="3" s="1"/>
  <c r="C1635" i="3"/>
  <c r="B1635" i="3"/>
  <c r="D1636" i="3" l="1"/>
  <c r="C1636" i="3"/>
  <c r="E1636" i="3"/>
  <c r="H1636" i="3"/>
  <c r="G1636" i="3"/>
  <c r="A1637" i="3" s="1"/>
  <c r="B1636" i="3"/>
  <c r="F1636" i="3"/>
  <c r="C1637" i="3" l="1"/>
  <c r="B1637" i="3"/>
  <c r="H1637" i="3"/>
  <c r="G1637" i="3"/>
  <c r="A1638" i="3" s="1"/>
  <c r="F1637" i="3"/>
  <c r="E1637" i="3"/>
  <c r="D1637" i="3"/>
  <c r="F1638" i="3" l="1"/>
  <c r="D1638" i="3"/>
  <c r="G1638" i="3"/>
  <c r="A1639" i="3" s="1"/>
  <c r="E1638" i="3"/>
  <c r="C1638" i="3"/>
  <c r="H1638" i="3"/>
  <c r="B1638" i="3"/>
  <c r="D1639" i="3" l="1"/>
  <c r="C1639" i="3"/>
  <c r="G1639" i="3"/>
  <c r="A1640" i="3" s="1"/>
  <c r="F1639" i="3"/>
  <c r="B1639" i="3"/>
  <c r="H1639" i="3"/>
  <c r="E1639" i="3"/>
  <c r="E1640" i="3" l="1"/>
  <c r="D1640" i="3"/>
  <c r="B1640" i="3"/>
  <c r="H1640" i="3"/>
  <c r="G1640" i="3"/>
  <c r="A1641" i="3" s="1"/>
  <c r="F1640" i="3"/>
  <c r="C1640" i="3"/>
  <c r="F1641" i="3" l="1"/>
  <c r="D1641" i="3"/>
  <c r="G1641" i="3"/>
  <c r="A1642" i="3" s="1"/>
  <c r="E1641" i="3"/>
  <c r="B1641" i="3"/>
  <c r="C1641" i="3"/>
  <c r="H1641" i="3"/>
  <c r="E1642" i="3" l="1"/>
  <c r="D1642" i="3"/>
  <c r="C1642" i="3"/>
  <c r="H1642" i="3"/>
  <c r="B1642" i="3"/>
  <c r="G1642" i="3"/>
  <c r="A1643" i="3" s="1"/>
  <c r="F1642" i="3"/>
  <c r="G1643" i="3" l="1"/>
  <c r="A1644" i="3" s="1"/>
  <c r="F1643" i="3"/>
  <c r="C1643" i="3"/>
  <c r="B1643" i="3"/>
  <c r="H1643" i="3"/>
  <c r="E1643" i="3"/>
  <c r="D1643" i="3"/>
  <c r="F1644" i="3" l="1"/>
  <c r="D1644" i="3"/>
  <c r="B1644" i="3"/>
  <c r="G1644" i="3"/>
  <c r="A1645" i="3" s="1"/>
  <c r="H1644" i="3"/>
  <c r="E1644" i="3"/>
  <c r="C1644" i="3"/>
  <c r="C1645" i="3" l="1"/>
  <c r="B1645" i="3"/>
  <c r="D1645" i="3"/>
  <c r="G1645" i="3"/>
  <c r="A1646" i="3" s="1"/>
  <c r="H1645" i="3"/>
  <c r="F1645" i="3"/>
  <c r="E1645" i="3"/>
  <c r="H1646" i="3" l="1"/>
  <c r="C1646" i="3"/>
  <c r="B1646" i="3"/>
  <c r="G1646" i="3"/>
  <c r="A1647" i="3" s="1"/>
  <c r="F1646" i="3"/>
  <c r="D1646" i="3"/>
  <c r="E1646" i="3"/>
  <c r="F1647" i="3" l="1"/>
  <c r="D1647" i="3"/>
  <c r="H1647" i="3"/>
  <c r="G1647" i="3"/>
  <c r="A1648" i="3" s="1"/>
  <c r="B1647" i="3"/>
  <c r="E1647" i="3"/>
  <c r="C1647" i="3"/>
  <c r="G1648" i="3" l="1"/>
  <c r="A1649" i="3" s="1"/>
  <c r="F1648" i="3"/>
  <c r="B1648" i="3"/>
  <c r="D1648" i="3"/>
  <c r="C1648" i="3"/>
  <c r="E1648" i="3"/>
  <c r="H1648" i="3"/>
  <c r="H1649" i="3" l="1"/>
  <c r="G1649" i="3"/>
  <c r="A1650" i="3" s="1"/>
  <c r="C1649" i="3"/>
  <c r="F1649" i="3"/>
  <c r="E1649" i="3"/>
  <c r="D1649" i="3"/>
  <c r="B1649" i="3"/>
  <c r="F1650" i="3" l="1"/>
  <c r="D1650" i="3"/>
  <c r="C1650" i="3"/>
  <c r="B1650" i="3"/>
  <c r="H1650" i="3"/>
  <c r="G1650" i="3"/>
  <c r="A1651" i="3" s="1"/>
  <c r="E1650" i="3"/>
  <c r="H1651" i="3" l="1"/>
  <c r="G1651" i="3"/>
  <c r="A1652" i="3" s="1"/>
  <c r="C1651" i="3"/>
  <c r="B1651" i="3"/>
  <c r="F1651" i="3"/>
  <c r="E1651" i="3"/>
  <c r="D1651" i="3"/>
  <c r="C1652" i="3" l="1"/>
  <c r="B1652" i="3"/>
  <c r="H1652" i="3"/>
  <c r="G1652" i="3"/>
  <c r="A1653" i="3" s="1"/>
  <c r="F1652" i="3"/>
  <c r="E1652" i="3"/>
  <c r="D1652" i="3"/>
  <c r="F1653" i="3" l="1"/>
  <c r="D1653" i="3"/>
  <c r="G1653" i="3"/>
  <c r="A1654" i="3" s="1"/>
  <c r="E1653" i="3"/>
  <c r="H1653" i="3"/>
  <c r="C1653" i="3"/>
  <c r="B1653" i="3"/>
  <c r="C1654" i="3" l="1"/>
  <c r="B1654" i="3"/>
  <c r="E1654" i="3"/>
  <c r="H1654" i="3"/>
  <c r="F1654" i="3"/>
  <c r="G1654" i="3"/>
  <c r="A1655" i="3" s="1"/>
  <c r="D1654" i="3"/>
  <c r="G1655" i="3" l="1"/>
  <c r="A1656" i="3" s="1"/>
  <c r="F1655" i="3"/>
  <c r="H1655" i="3"/>
  <c r="E1655" i="3"/>
  <c r="B1655" i="3"/>
  <c r="D1655" i="3"/>
  <c r="C1655" i="3"/>
  <c r="F1656" i="3" l="1"/>
  <c r="D1656" i="3"/>
  <c r="H1656" i="3"/>
  <c r="E1656" i="3"/>
  <c r="G1656" i="3"/>
  <c r="A1657" i="3" s="1"/>
  <c r="C1656" i="3"/>
  <c r="B1656" i="3"/>
  <c r="H1657" i="3" l="1"/>
  <c r="G1657" i="3"/>
  <c r="A1658" i="3" s="1"/>
  <c r="F1657" i="3"/>
  <c r="E1657" i="3"/>
  <c r="B1657" i="3"/>
  <c r="D1657" i="3"/>
  <c r="C1657" i="3"/>
  <c r="C1658" i="3" l="1"/>
  <c r="B1658" i="3"/>
  <c r="H1658" i="3"/>
  <c r="G1658" i="3"/>
  <c r="A1659" i="3" s="1"/>
  <c r="F1658" i="3"/>
  <c r="E1658" i="3"/>
  <c r="D1658" i="3"/>
  <c r="F1659" i="3" l="1"/>
  <c r="D1659" i="3"/>
  <c r="C1659" i="3"/>
  <c r="B1659" i="3"/>
  <c r="H1659" i="3"/>
  <c r="G1659" i="3"/>
  <c r="A1660" i="3" s="1"/>
  <c r="E1659" i="3"/>
  <c r="C1660" i="3" l="1"/>
  <c r="B1660" i="3"/>
  <c r="E1660" i="3"/>
  <c r="H1660" i="3"/>
  <c r="G1660" i="3"/>
  <c r="A1661" i="3" s="1"/>
  <c r="F1660" i="3"/>
  <c r="D1660" i="3"/>
  <c r="G1661" i="3" l="1"/>
  <c r="A1662" i="3" s="1"/>
  <c r="F1661" i="3"/>
  <c r="E1661" i="3"/>
  <c r="H1661" i="3"/>
  <c r="B1661" i="3"/>
  <c r="D1661" i="3"/>
  <c r="C1661" i="3"/>
  <c r="F1662" i="3" l="1"/>
  <c r="D1662" i="3"/>
  <c r="H1662" i="3"/>
  <c r="G1662" i="3"/>
  <c r="A1663" i="3" s="1"/>
  <c r="E1662" i="3"/>
  <c r="C1662" i="3"/>
  <c r="B1662" i="3"/>
  <c r="E1663" i="3" l="1"/>
  <c r="D1663" i="3"/>
  <c r="H1663" i="3"/>
  <c r="G1663" i="3"/>
  <c r="A1664" i="3" s="1"/>
  <c r="B1663" i="3"/>
  <c r="F1663" i="3"/>
  <c r="C1663" i="3"/>
  <c r="C1664" i="3" l="1"/>
  <c r="B1664" i="3"/>
  <c r="D1664" i="3"/>
  <c r="H1664" i="3"/>
  <c r="E1664" i="3"/>
  <c r="G1664" i="3"/>
  <c r="A1665" i="3" s="1"/>
  <c r="F1664" i="3"/>
  <c r="F1665" i="3" l="1"/>
  <c r="D1665" i="3"/>
  <c r="G1665" i="3"/>
  <c r="A1666" i="3" s="1"/>
  <c r="E1665" i="3"/>
  <c r="C1665" i="3"/>
  <c r="H1665" i="3"/>
  <c r="B1665" i="3"/>
  <c r="G1666" i="3" l="1"/>
  <c r="A1667" i="3" s="1"/>
  <c r="F1666" i="3"/>
  <c r="E1666" i="3"/>
  <c r="D1666" i="3"/>
  <c r="B1666" i="3"/>
  <c r="H1666" i="3"/>
  <c r="C1666" i="3"/>
  <c r="F1667" i="3" l="1"/>
  <c r="E1667" i="3"/>
  <c r="H1667" i="3"/>
  <c r="G1667" i="3"/>
  <c r="A1668" i="3" s="1"/>
  <c r="D1667" i="3"/>
  <c r="C1667" i="3"/>
  <c r="B1667" i="3"/>
  <c r="F1668" i="3" l="1"/>
  <c r="D1668" i="3"/>
  <c r="B1668" i="3"/>
  <c r="E1668" i="3"/>
  <c r="C1668" i="3"/>
  <c r="G1668" i="3"/>
  <c r="A1669" i="3" s="1"/>
  <c r="H1668" i="3"/>
  <c r="H1669" i="3" l="1"/>
  <c r="E1669" i="3"/>
  <c r="D1669" i="3"/>
  <c r="C1669" i="3"/>
  <c r="G1669" i="3"/>
  <c r="A1670" i="3" s="1"/>
  <c r="B1669" i="3"/>
  <c r="F1669" i="3"/>
  <c r="C1670" i="3" l="1"/>
  <c r="B1670" i="3"/>
  <c r="D1670" i="3"/>
  <c r="H1670" i="3"/>
  <c r="G1670" i="3"/>
  <c r="A1671" i="3" s="1"/>
  <c r="E1670" i="3"/>
  <c r="F1670" i="3"/>
  <c r="F1671" i="3" l="1"/>
  <c r="D1671" i="3"/>
  <c r="E1671" i="3"/>
  <c r="C1671" i="3"/>
  <c r="H1671" i="3"/>
  <c r="G1671" i="3"/>
  <c r="A1672" i="3" s="1"/>
  <c r="B1671" i="3"/>
  <c r="F1672" i="3" l="1"/>
  <c r="E1672" i="3"/>
  <c r="D1672" i="3"/>
  <c r="C1672" i="3"/>
  <c r="G1672" i="3"/>
  <c r="A1673" i="3" s="1"/>
  <c r="H1672" i="3"/>
  <c r="B1672" i="3"/>
  <c r="C1673" i="3" l="1"/>
  <c r="B1673" i="3"/>
  <c r="G1673" i="3"/>
  <c r="A1674" i="3" s="1"/>
  <c r="F1673" i="3"/>
  <c r="E1673" i="3"/>
  <c r="D1673" i="3"/>
  <c r="H1673" i="3"/>
  <c r="F1674" i="3" l="1"/>
  <c r="D1674" i="3"/>
  <c r="C1674" i="3"/>
  <c r="G1674" i="3"/>
  <c r="A1675" i="3" s="1"/>
  <c r="E1674" i="3"/>
  <c r="B1674" i="3"/>
  <c r="H1674" i="3"/>
  <c r="D1675" i="3" l="1"/>
  <c r="C1675" i="3"/>
  <c r="H1675" i="3"/>
  <c r="G1675" i="3"/>
  <c r="A1676" i="3" s="1"/>
  <c r="E1675" i="3"/>
  <c r="F1675" i="3"/>
  <c r="B1675" i="3"/>
  <c r="E1676" i="3" l="1"/>
  <c r="D1676" i="3"/>
  <c r="H1676" i="3"/>
  <c r="C1676" i="3"/>
  <c r="B1676" i="3"/>
  <c r="G1676" i="3"/>
  <c r="A1677" i="3" s="1"/>
  <c r="F1676" i="3"/>
  <c r="F1677" i="3" l="1"/>
  <c r="D1677" i="3"/>
  <c r="C1677" i="3"/>
  <c r="B1677" i="3"/>
  <c r="G1677" i="3"/>
  <c r="A1678" i="3" s="1"/>
  <c r="E1677" i="3"/>
  <c r="H1677" i="3"/>
  <c r="B1678" i="3" l="1"/>
  <c r="H1678" i="3"/>
  <c r="G1678" i="3"/>
  <c r="A1679" i="3" s="1"/>
  <c r="F1678" i="3"/>
  <c r="D1678" i="3"/>
  <c r="E1678" i="3"/>
  <c r="C1678" i="3"/>
  <c r="G1679" i="3" l="1"/>
  <c r="A1680" i="3" s="1"/>
  <c r="F1679" i="3"/>
  <c r="B1679" i="3"/>
  <c r="H1679" i="3"/>
  <c r="E1679" i="3"/>
  <c r="D1679" i="3"/>
  <c r="C1679" i="3"/>
  <c r="F1680" i="3" l="1"/>
  <c r="D1680" i="3"/>
  <c r="H1680" i="3"/>
  <c r="E1680" i="3"/>
  <c r="C1680" i="3"/>
  <c r="B1680" i="3"/>
  <c r="G1680" i="3"/>
  <c r="A1681" i="3" s="1"/>
  <c r="E1681" i="3" l="1"/>
  <c r="D1681" i="3"/>
  <c r="C1681" i="3"/>
  <c r="G1681" i="3"/>
  <c r="A1682" i="3" s="1"/>
  <c r="F1681" i="3"/>
  <c r="B1681" i="3"/>
  <c r="H1681" i="3"/>
  <c r="F1682" i="3" l="1"/>
  <c r="H1682" i="3"/>
  <c r="E1682" i="3"/>
  <c r="D1682" i="3"/>
  <c r="C1682" i="3"/>
  <c r="B1682" i="3"/>
  <c r="G1682" i="3"/>
  <c r="A1683" i="3" s="1"/>
  <c r="G1683" i="3" l="1"/>
  <c r="A1684" i="3" s="1"/>
  <c r="E1683" i="3"/>
  <c r="B1683" i="3"/>
  <c r="C1683" i="3"/>
  <c r="D1683" i="3"/>
  <c r="H1683" i="3"/>
  <c r="F1683" i="3"/>
  <c r="F1684" i="3" l="1"/>
  <c r="E1684" i="3"/>
  <c r="H1684" i="3"/>
  <c r="G1684" i="3"/>
  <c r="A1685" i="3" s="1"/>
  <c r="D1684" i="3"/>
  <c r="C1684" i="3"/>
  <c r="B1684" i="3"/>
  <c r="F1685" i="3" l="1"/>
  <c r="D1685" i="3"/>
  <c r="C1685" i="3"/>
  <c r="B1685" i="3"/>
  <c r="G1685" i="3"/>
  <c r="A1686" i="3" s="1"/>
  <c r="E1685" i="3"/>
  <c r="H1685" i="3"/>
  <c r="H1686" i="3" l="1"/>
  <c r="F1686" i="3"/>
  <c r="E1686" i="3"/>
  <c r="D1686" i="3"/>
  <c r="G1686" i="3"/>
  <c r="A1687" i="3" s="1"/>
  <c r="B1686" i="3"/>
  <c r="C1686" i="3"/>
  <c r="D1687" i="3" l="1"/>
  <c r="C1687" i="3"/>
  <c r="H1687" i="3"/>
  <c r="G1687" i="3"/>
  <c r="A1688" i="3" s="1"/>
  <c r="F1687" i="3"/>
  <c r="E1687" i="3"/>
  <c r="B1687" i="3"/>
  <c r="F1688" i="3" l="1"/>
  <c r="C1688" i="3"/>
  <c r="B1688" i="3"/>
  <c r="H1688" i="3"/>
  <c r="E1688" i="3"/>
  <c r="G1688" i="3"/>
  <c r="A1689" i="3" s="1"/>
  <c r="D1688" i="3"/>
  <c r="G1689" i="3" l="1"/>
  <c r="A1690" i="3" s="1"/>
  <c r="H1689" i="3"/>
  <c r="D1689" i="3"/>
  <c r="C1689" i="3"/>
  <c r="B1689" i="3"/>
  <c r="E1689" i="3"/>
  <c r="F1689" i="3"/>
  <c r="B1690" i="3" l="1"/>
  <c r="E1690" i="3"/>
  <c r="D1690" i="3"/>
  <c r="C1690" i="3"/>
  <c r="F1690" i="3"/>
  <c r="H1690" i="3"/>
  <c r="G1690" i="3"/>
  <c r="A1691" i="3" s="1"/>
  <c r="F1691" i="3" l="1"/>
  <c r="H1691" i="3"/>
  <c r="C1691" i="3"/>
  <c r="B1691" i="3"/>
  <c r="G1691" i="3"/>
  <c r="A1692" i="3" s="1"/>
  <c r="D1691" i="3"/>
  <c r="E1691" i="3"/>
  <c r="H1692" i="3" l="1"/>
  <c r="G1692" i="3"/>
  <c r="A1693" i="3" s="1"/>
  <c r="F1692" i="3"/>
  <c r="E1692" i="3"/>
  <c r="D1692" i="3"/>
  <c r="C1692" i="3"/>
  <c r="B1692" i="3"/>
  <c r="B1693" i="3" l="1"/>
  <c r="E1693" i="3"/>
  <c r="D1693" i="3"/>
  <c r="G1693" i="3"/>
  <c r="A1694" i="3" s="1"/>
  <c r="F1693" i="3"/>
  <c r="C1693" i="3"/>
  <c r="H1693" i="3"/>
  <c r="F1694" i="3" l="1"/>
  <c r="G1694" i="3"/>
  <c r="A1695" i="3" s="1"/>
  <c r="H1694" i="3"/>
  <c r="E1694" i="3"/>
  <c r="C1694" i="3"/>
  <c r="D1694" i="3"/>
  <c r="B1694" i="3"/>
  <c r="F1695" i="3" l="1"/>
  <c r="E1695" i="3"/>
  <c r="C1695" i="3"/>
  <c r="B1695" i="3"/>
  <c r="D1695" i="3"/>
  <c r="H1695" i="3"/>
  <c r="G1695" i="3"/>
  <c r="A1696" i="3" s="1"/>
  <c r="C1696" i="3" l="1"/>
  <c r="H1696" i="3"/>
  <c r="G1696" i="3"/>
  <c r="A1697" i="3" s="1"/>
  <c r="D1696" i="3"/>
  <c r="B1696" i="3"/>
  <c r="E1696" i="3"/>
  <c r="F1696" i="3"/>
  <c r="F1697" i="3" l="1"/>
  <c r="G1697" i="3"/>
  <c r="A1698" i="3" s="1"/>
  <c r="E1697" i="3"/>
  <c r="D1697" i="3"/>
  <c r="H1697" i="3"/>
  <c r="C1697" i="3"/>
  <c r="B1697" i="3"/>
  <c r="C1698" i="3" l="1"/>
  <c r="B1698" i="3"/>
  <c r="E1698" i="3"/>
  <c r="H1698" i="3"/>
  <c r="G1698" i="3"/>
  <c r="A1699" i="3" s="1"/>
  <c r="F1698" i="3"/>
  <c r="D1698" i="3"/>
  <c r="D1699" i="3" l="1"/>
  <c r="B1699" i="3"/>
  <c r="E1699" i="3"/>
  <c r="C1699" i="3"/>
  <c r="F1699" i="3"/>
  <c r="H1699" i="3"/>
  <c r="G1699" i="3"/>
  <c r="A1700" i="3" s="1"/>
  <c r="F1700" i="3" l="1"/>
  <c r="C1700" i="3"/>
  <c r="B1700" i="3"/>
  <c r="H1700" i="3"/>
  <c r="E1700" i="3"/>
  <c r="G1700" i="3"/>
  <c r="A1701" i="3" s="1"/>
  <c r="D1700" i="3"/>
  <c r="C1701" i="3" l="1"/>
  <c r="G1701" i="3"/>
  <c r="A1702" i="3" s="1"/>
  <c r="F1701" i="3"/>
  <c r="E1701" i="3"/>
  <c r="H1701" i="3"/>
  <c r="D1701" i="3"/>
  <c r="B1701" i="3"/>
  <c r="E1702" i="3" l="1"/>
  <c r="C1702" i="3"/>
  <c r="H1702" i="3"/>
  <c r="G1702" i="3"/>
  <c r="A1703" i="3" s="1"/>
  <c r="B1702" i="3"/>
  <c r="D1702" i="3"/>
  <c r="F1702" i="3"/>
  <c r="F1703" i="3" l="1"/>
  <c r="G1703" i="3"/>
  <c r="A1704" i="3" s="1"/>
  <c r="E1703" i="3"/>
  <c r="B1703" i="3"/>
  <c r="H1703" i="3"/>
  <c r="D1703" i="3"/>
  <c r="C1703" i="3"/>
  <c r="H1704" i="3" l="1"/>
  <c r="C1704" i="3"/>
  <c r="B1704" i="3"/>
  <c r="G1704" i="3"/>
  <c r="A1705" i="3" s="1"/>
  <c r="F1704" i="3"/>
  <c r="E1704" i="3"/>
  <c r="D1704" i="3"/>
  <c r="F1705" i="3" l="1"/>
  <c r="D1705" i="3"/>
  <c r="H1705" i="3"/>
  <c r="G1705" i="3"/>
  <c r="A1706" i="3" s="1"/>
  <c r="B1705" i="3"/>
  <c r="E1705" i="3"/>
  <c r="C1705" i="3"/>
  <c r="F1706" i="3" l="1"/>
  <c r="H1706" i="3"/>
  <c r="G1706" i="3"/>
  <c r="A1707" i="3" s="1"/>
  <c r="C1706" i="3"/>
  <c r="B1706" i="3"/>
  <c r="D1706" i="3"/>
  <c r="E1706" i="3"/>
  <c r="B1707" i="3" l="1"/>
  <c r="H1707" i="3"/>
  <c r="F1707" i="3"/>
  <c r="G1707" i="3"/>
  <c r="A1708" i="3" s="1"/>
  <c r="E1707" i="3"/>
  <c r="D1707" i="3"/>
  <c r="C1707" i="3"/>
  <c r="G1708" i="3" l="1"/>
  <c r="A1709" i="3" s="1"/>
  <c r="E1708" i="3"/>
  <c r="F1708" i="3"/>
  <c r="H1708" i="3"/>
  <c r="D1708" i="3"/>
  <c r="C1708" i="3"/>
  <c r="B1708" i="3"/>
  <c r="F1709" i="3" l="1"/>
  <c r="H1709" i="3"/>
  <c r="C1709" i="3"/>
  <c r="B1709" i="3"/>
  <c r="E1709" i="3"/>
  <c r="D1709" i="3"/>
  <c r="G1709" i="3"/>
  <c r="A1710" i="3" s="1"/>
  <c r="E1710" i="3" l="1"/>
  <c r="D1710" i="3"/>
  <c r="G1710" i="3"/>
  <c r="A1711" i="3" s="1"/>
  <c r="F1710" i="3"/>
  <c r="B1710" i="3"/>
  <c r="C1710" i="3"/>
  <c r="H1710" i="3"/>
  <c r="H1711" i="3" l="1"/>
  <c r="F1711" i="3"/>
  <c r="E1711" i="3"/>
  <c r="G1711" i="3"/>
  <c r="A1712" i="3" s="1"/>
  <c r="D1711" i="3"/>
  <c r="B1711" i="3"/>
  <c r="C1711" i="3"/>
  <c r="F1712" i="3" l="1"/>
  <c r="D1712" i="3"/>
  <c r="C1712" i="3"/>
  <c r="B1712" i="3"/>
  <c r="H1712" i="3"/>
  <c r="G1712" i="3"/>
  <c r="A1713" i="3" s="1"/>
  <c r="E1712" i="3"/>
  <c r="H1713" i="3" l="1"/>
  <c r="G1713" i="3"/>
  <c r="A1714" i="3" s="1"/>
  <c r="F1713" i="3"/>
  <c r="E1713" i="3"/>
  <c r="D1713" i="3"/>
  <c r="C1713" i="3"/>
  <c r="B1713" i="3"/>
  <c r="G1714" i="3" l="1"/>
  <c r="A1715" i="3" s="1"/>
  <c r="D1714" i="3"/>
  <c r="C1714" i="3"/>
  <c r="F1714" i="3"/>
  <c r="E1714" i="3"/>
  <c r="B1714" i="3"/>
  <c r="H1714" i="3"/>
  <c r="F1715" i="3" l="1"/>
  <c r="H1715" i="3"/>
  <c r="G1715" i="3"/>
  <c r="A1716" i="3" s="1"/>
  <c r="D1715" i="3"/>
  <c r="C1715" i="3"/>
  <c r="B1715" i="3"/>
  <c r="E1715" i="3"/>
  <c r="B1716" i="3" l="1"/>
  <c r="E1716" i="3"/>
  <c r="D1716" i="3"/>
  <c r="H1716" i="3"/>
  <c r="G1716" i="3"/>
  <c r="A1717" i="3" s="1"/>
  <c r="C1716" i="3"/>
  <c r="F1716" i="3"/>
  <c r="H1717" i="3" l="1"/>
  <c r="C1717" i="3"/>
  <c r="B1717" i="3"/>
  <c r="G1717" i="3"/>
  <c r="A1718" i="3" s="1"/>
  <c r="F1717" i="3"/>
  <c r="E1717" i="3"/>
  <c r="D1717" i="3"/>
  <c r="F1718" i="3" l="1"/>
  <c r="B1718" i="3"/>
  <c r="C1718" i="3"/>
  <c r="H1718" i="3"/>
  <c r="G1718" i="3"/>
  <c r="A1719" i="3" s="1"/>
  <c r="D1718" i="3"/>
  <c r="E1718" i="3"/>
  <c r="G1719" i="3" l="1"/>
  <c r="A1720" i="3" s="1"/>
  <c r="F1719" i="3"/>
  <c r="E1719" i="3"/>
  <c r="D1719" i="3"/>
  <c r="C1719" i="3"/>
  <c r="H1719" i="3"/>
  <c r="B1719" i="3"/>
  <c r="F1720" i="3" l="1"/>
  <c r="E1720" i="3"/>
  <c r="G1720" i="3"/>
  <c r="A1721" i="3" s="1"/>
  <c r="D1720" i="3"/>
  <c r="B1720" i="3"/>
  <c r="H1720" i="3"/>
  <c r="C1720" i="3"/>
  <c r="F1721" i="3" l="1"/>
  <c r="C1721" i="3"/>
  <c r="H1721" i="3"/>
  <c r="G1721" i="3"/>
  <c r="A1722" i="3" s="1"/>
  <c r="E1721" i="3"/>
  <c r="D1721" i="3"/>
  <c r="B1721" i="3"/>
  <c r="H1722" i="3" l="1"/>
  <c r="G1722" i="3"/>
  <c r="A1723" i="3" s="1"/>
  <c r="D1722" i="3"/>
  <c r="C1722" i="3"/>
  <c r="F1722" i="3"/>
  <c r="E1722" i="3"/>
  <c r="B1722" i="3"/>
  <c r="H1723" i="3" l="1"/>
  <c r="D1723" i="3"/>
  <c r="F1723" i="3"/>
  <c r="G1723" i="3"/>
  <c r="A1724" i="3" s="1"/>
  <c r="E1723" i="3"/>
  <c r="C1723" i="3"/>
  <c r="B1723" i="3"/>
  <c r="F1724" i="3" l="1"/>
  <c r="D1724" i="3"/>
  <c r="B1724" i="3"/>
  <c r="H1724" i="3"/>
  <c r="G1724" i="3"/>
  <c r="A1725" i="3" s="1"/>
  <c r="E1724" i="3"/>
  <c r="C1724" i="3"/>
  <c r="F1725" i="3" l="1"/>
  <c r="E1725" i="3"/>
  <c r="B1725" i="3"/>
  <c r="D1725" i="3"/>
  <c r="C1725" i="3"/>
  <c r="H1725" i="3"/>
  <c r="G1725" i="3"/>
  <c r="A1726" i="3" s="1"/>
  <c r="H1726" i="3" l="1"/>
  <c r="G1726" i="3"/>
  <c r="A1727" i="3" s="1"/>
  <c r="F1726" i="3"/>
  <c r="D1726" i="3"/>
  <c r="C1726" i="3"/>
  <c r="B1726" i="3"/>
  <c r="E1726" i="3"/>
  <c r="F1727" i="3" l="1"/>
  <c r="E1727" i="3"/>
  <c r="C1727" i="3"/>
  <c r="G1727" i="3"/>
  <c r="A1728" i="3" s="1"/>
  <c r="D1727" i="3"/>
  <c r="B1727" i="3"/>
  <c r="H1727" i="3"/>
  <c r="H1728" i="3" l="1"/>
  <c r="G1728" i="3"/>
  <c r="A1729" i="3" s="1"/>
  <c r="E1728" i="3"/>
  <c r="F1728" i="3"/>
  <c r="C1728" i="3"/>
  <c r="D1728" i="3"/>
  <c r="B1728" i="3"/>
  <c r="C1729" i="3" l="1"/>
  <c r="B1729" i="3"/>
  <c r="D1729" i="3"/>
  <c r="F1729" i="3"/>
  <c r="E1729" i="3"/>
  <c r="G1729" i="3"/>
  <c r="A1730" i="3" s="1"/>
  <c r="H1729" i="3"/>
  <c r="F1730" i="3" l="1"/>
  <c r="G1730" i="3"/>
  <c r="A1731" i="3" s="1"/>
  <c r="D1730" i="3"/>
  <c r="E1730" i="3"/>
  <c r="C1730" i="3"/>
  <c r="B1730" i="3"/>
  <c r="H1730" i="3"/>
  <c r="B1731" i="3" l="1"/>
  <c r="C1731" i="3"/>
  <c r="G1731" i="3"/>
  <c r="A1732" i="3" s="1"/>
  <c r="F1731" i="3"/>
  <c r="E1731" i="3"/>
  <c r="H1731" i="3"/>
  <c r="D1731" i="3"/>
  <c r="H1732" i="3" l="1"/>
  <c r="G1732" i="3"/>
  <c r="A1733" i="3" s="1"/>
  <c r="E1732" i="3"/>
  <c r="D1732" i="3"/>
  <c r="C1732" i="3"/>
  <c r="B1732" i="3"/>
  <c r="F1732" i="3"/>
  <c r="F1733" i="3" l="1"/>
  <c r="H1733" i="3"/>
  <c r="E1733" i="3"/>
  <c r="D1733" i="3"/>
  <c r="C1733" i="3"/>
  <c r="B1733" i="3"/>
  <c r="G1733" i="3"/>
  <c r="A1734" i="3" s="1"/>
  <c r="E1734" i="3" l="1"/>
  <c r="D1734" i="3"/>
  <c r="H1734" i="3"/>
  <c r="B1734" i="3"/>
  <c r="F1734" i="3"/>
  <c r="C1734" i="3"/>
  <c r="G1734" i="3"/>
  <c r="A1735" i="3" s="1"/>
  <c r="G1735" i="3" l="1"/>
  <c r="A1736" i="3" s="1"/>
  <c r="F1735" i="3"/>
  <c r="E1735" i="3"/>
  <c r="H1735" i="3"/>
  <c r="B1735" i="3"/>
  <c r="D1735" i="3"/>
  <c r="C1735" i="3"/>
  <c r="F1736" i="3" l="1"/>
  <c r="G1736" i="3"/>
  <c r="A1737" i="3" s="1"/>
  <c r="E1736" i="3"/>
  <c r="D1736" i="3"/>
  <c r="C1736" i="3"/>
  <c r="B1736" i="3"/>
  <c r="H1736" i="3"/>
  <c r="H1737" i="3" l="1"/>
  <c r="G1737" i="3"/>
  <c r="A1738" i="3" s="1"/>
  <c r="F1737" i="3"/>
  <c r="E1737" i="3"/>
  <c r="C1737" i="3"/>
  <c r="B1737" i="3"/>
  <c r="D1737" i="3"/>
  <c r="E1738" i="3" l="1"/>
  <c r="G1738" i="3"/>
  <c r="A1739" i="3" s="1"/>
  <c r="F1738" i="3"/>
  <c r="C1738" i="3"/>
  <c r="H1738" i="3"/>
  <c r="D1738" i="3"/>
  <c r="B1738" i="3"/>
  <c r="F1739" i="3" l="1"/>
  <c r="H1739" i="3"/>
  <c r="G1739" i="3"/>
  <c r="A1740" i="3" s="1"/>
  <c r="E1739" i="3"/>
  <c r="C1739" i="3"/>
  <c r="D1739" i="3"/>
  <c r="B1739" i="3"/>
  <c r="B1740" i="3" l="1"/>
  <c r="E1740" i="3"/>
  <c r="D1740" i="3"/>
  <c r="H1740" i="3"/>
  <c r="F1740" i="3"/>
  <c r="C1740" i="3"/>
  <c r="G1740" i="3"/>
  <c r="A1741" i="3" s="1"/>
  <c r="C1741" i="3" l="1"/>
  <c r="B1741" i="3"/>
  <c r="H1741" i="3"/>
  <c r="G1741" i="3"/>
  <c r="A1742" i="3" s="1"/>
  <c r="F1741" i="3"/>
  <c r="E1741" i="3"/>
  <c r="D1741" i="3"/>
  <c r="F1742" i="3" l="1"/>
  <c r="B1742" i="3"/>
  <c r="D1742" i="3"/>
  <c r="C1742" i="3"/>
  <c r="G1742" i="3"/>
  <c r="A1743" i="3" s="1"/>
  <c r="E1742" i="3"/>
  <c r="H1742" i="3"/>
  <c r="C1743" i="3" l="1"/>
  <c r="H1743" i="3"/>
  <c r="G1743" i="3"/>
  <c r="A1744" i="3" s="1"/>
  <c r="F1743" i="3"/>
  <c r="D1743" i="3"/>
  <c r="E1743" i="3"/>
  <c r="B1743" i="3"/>
  <c r="F1744" i="3" l="1"/>
  <c r="E1744" i="3"/>
  <c r="B1744" i="3"/>
  <c r="D1744" i="3"/>
  <c r="C1744" i="3"/>
  <c r="H1744" i="3"/>
  <c r="G1744" i="3"/>
  <c r="A1745" i="3" s="1"/>
  <c r="F1745" i="3" l="1"/>
  <c r="H1745" i="3"/>
  <c r="G1745" i="3"/>
  <c r="A1746" i="3" s="1"/>
  <c r="B1745" i="3"/>
  <c r="D1745" i="3"/>
  <c r="E1745" i="3"/>
  <c r="C1745" i="3"/>
  <c r="D1746" i="3" l="1"/>
  <c r="B1746" i="3"/>
  <c r="E1746" i="3"/>
  <c r="C1746" i="3"/>
  <c r="G1746" i="3"/>
  <c r="A1747" i="3" s="1"/>
  <c r="H1746" i="3"/>
  <c r="F1746" i="3"/>
  <c r="H1747" i="3" l="1"/>
  <c r="G1747" i="3"/>
  <c r="A1748" i="3" s="1"/>
  <c r="F1747" i="3"/>
  <c r="E1747" i="3"/>
  <c r="D1747" i="3"/>
  <c r="C1747" i="3"/>
  <c r="B1747" i="3"/>
  <c r="F1748" i="3" l="1"/>
  <c r="G1748" i="3"/>
  <c r="A1749" i="3" s="1"/>
  <c r="E1748" i="3"/>
  <c r="D1748" i="3"/>
  <c r="B1748" i="3"/>
  <c r="H1748" i="3"/>
  <c r="C1748" i="3"/>
  <c r="E1749" i="3" l="1"/>
  <c r="C1749" i="3"/>
  <c r="G1749" i="3"/>
  <c r="A1750" i="3" s="1"/>
  <c r="H1749" i="3"/>
  <c r="F1749" i="3"/>
  <c r="B1749" i="3"/>
  <c r="D1749" i="3"/>
  <c r="E1750" i="3" l="1"/>
  <c r="D1750" i="3"/>
  <c r="C1750" i="3"/>
  <c r="H1750" i="3"/>
  <c r="G1750" i="3"/>
  <c r="A1751" i="3" s="1"/>
  <c r="B1750" i="3"/>
  <c r="F1750" i="3"/>
  <c r="F1751" i="3" l="1"/>
  <c r="D1751" i="3"/>
  <c r="C1751" i="3"/>
  <c r="G1751" i="3"/>
  <c r="A1752" i="3" s="1"/>
  <c r="E1751" i="3"/>
  <c r="H1751" i="3"/>
  <c r="B1751" i="3"/>
  <c r="F1752" i="3" l="1"/>
  <c r="D1752" i="3"/>
  <c r="H1752" i="3"/>
  <c r="G1752" i="3"/>
  <c r="A1753" i="3" s="1"/>
  <c r="B1752" i="3"/>
  <c r="E1752" i="3"/>
  <c r="C1752" i="3"/>
  <c r="D1753" i="3" l="1"/>
  <c r="F1753" i="3"/>
  <c r="E1753" i="3"/>
  <c r="C1753" i="3"/>
  <c r="B1753" i="3"/>
  <c r="H1753" i="3"/>
  <c r="G1753" i="3"/>
  <c r="A1754" i="3" s="1"/>
  <c r="F1754" i="3" l="1"/>
  <c r="H1754" i="3"/>
  <c r="G1754" i="3"/>
  <c r="A1755" i="3" s="1"/>
  <c r="E1754" i="3"/>
  <c r="D1754" i="3"/>
  <c r="C1754" i="3"/>
  <c r="B1754" i="3"/>
  <c r="G1755" i="3" l="1"/>
  <c r="A1756" i="3" s="1"/>
  <c r="E1755" i="3"/>
  <c r="D1755" i="3"/>
  <c r="C1755" i="3"/>
  <c r="H1755" i="3"/>
  <c r="F1755" i="3"/>
  <c r="B1755" i="3"/>
  <c r="H1756" i="3" l="1"/>
  <c r="G1756" i="3"/>
  <c r="A1757" i="3" s="1"/>
  <c r="D1756" i="3"/>
  <c r="C1756" i="3"/>
  <c r="E1756" i="3"/>
  <c r="B1756" i="3"/>
  <c r="F1756" i="3"/>
  <c r="F1757" i="3" l="1"/>
  <c r="B1757" i="3"/>
  <c r="G1757" i="3"/>
  <c r="A1758" i="3" s="1"/>
  <c r="H1757" i="3"/>
  <c r="E1757" i="3"/>
  <c r="C1757" i="3"/>
  <c r="D1757" i="3"/>
  <c r="H1758" i="3" l="1"/>
  <c r="F1758" i="3"/>
  <c r="C1758" i="3"/>
  <c r="B1758" i="3"/>
  <c r="G1758" i="3"/>
  <c r="A1759" i="3" s="1"/>
  <c r="E1758" i="3"/>
  <c r="D1758" i="3"/>
  <c r="C1759" i="3" l="1"/>
  <c r="B1759" i="3"/>
  <c r="D1759" i="3"/>
  <c r="F1759" i="3"/>
  <c r="E1759" i="3"/>
  <c r="H1759" i="3"/>
  <c r="G1759" i="3"/>
  <c r="A1760" i="3" s="1"/>
  <c r="F1760" i="3" l="1"/>
  <c r="H1760" i="3"/>
  <c r="G1760" i="3"/>
  <c r="A1761" i="3" s="1"/>
  <c r="D1760" i="3"/>
  <c r="C1760" i="3"/>
  <c r="B1760" i="3"/>
  <c r="E1760" i="3"/>
  <c r="G1761" i="3" l="1"/>
  <c r="A1762" i="3" s="1"/>
  <c r="F1761" i="3"/>
  <c r="E1761" i="3"/>
  <c r="D1761" i="3"/>
  <c r="C1761" i="3"/>
  <c r="B1761" i="3"/>
  <c r="H1761" i="3"/>
  <c r="H1762" i="3" l="1"/>
  <c r="G1762" i="3"/>
  <c r="A1763" i="3" s="1"/>
  <c r="F1762" i="3"/>
  <c r="E1762" i="3"/>
  <c r="D1762" i="3"/>
  <c r="B1762" i="3"/>
  <c r="C1762" i="3"/>
  <c r="F1763" i="3" l="1"/>
  <c r="E1763" i="3"/>
  <c r="D1763" i="3"/>
  <c r="C1763" i="3"/>
  <c r="H1763" i="3"/>
  <c r="G1763" i="3"/>
  <c r="A1764" i="3" s="1"/>
  <c r="B1763" i="3"/>
  <c r="H1764" i="3" l="1"/>
  <c r="E1764" i="3"/>
  <c r="D1764" i="3"/>
  <c r="G1764" i="3"/>
  <c r="A1765" i="3" s="1"/>
  <c r="F1764" i="3"/>
  <c r="C1764" i="3"/>
  <c r="B1764" i="3"/>
  <c r="B1765" i="3" l="1"/>
  <c r="C1765" i="3"/>
  <c r="H1765" i="3"/>
  <c r="G1765" i="3"/>
  <c r="A1766" i="3" s="1"/>
  <c r="D1765" i="3"/>
  <c r="E1765" i="3"/>
  <c r="F1765" i="3"/>
  <c r="F1766" i="3" l="1"/>
  <c r="E1766" i="3"/>
  <c r="D1766" i="3"/>
  <c r="C1766" i="3"/>
  <c r="B1766" i="3"/>
  <c r="H1766" i="3"/>
  <c r="G1766" i="3"/>
  <c r="A1767" i="3" s="1"/>
  <c r="G1767" i="3" l="1"/>
  <c r="A1768" i="3" s="1"/>
  <c r="F1767" i="3"/>
  <c r="E1767" i="3"/>
  <c r="B1767" i="3"/>
  <c r="D1767" i="3"/>
  <c r="H1767" i="3"/>
  <c r="C1767" i="3"/>
  <c r="C1768" i="3" l="1"/>
  <c r="F1768" i="3"/>
  <c r="E1768" i="3"/>
  <c r="D1768" i="3"/>
  <c r="B1768" i="3"/>
  <c r="H1768" i="3"/>
  <c r="G1768" i="3"/>
  <c r="A1769" i="3" s="1"/>
  <c r="F1769" i="3" l="1"/>
  <c r="E1769" i="3"/>
  <c r="H1769" i="3"/>
  <c r="G1769" i="3"/>
  <c r="A1770" i="3" s="1"/>
  <c r="D1769" i="3"/>
  <c r="C1769" i="3"/>
  <c r="B1769" i="3"/>
  <c r="C1770" i="3" l="1"/>
  <c r="B1770" i="3"/>
  <c r="E1770" i="3"/>
  <c r="D1770" i="3"/>
  <c r="H1770" i="3"/>
  <c r="G1770" i="3"/>
  <c r="A1771" i="3" s="1"/>
  <c r="F1770" i="3"/>
  <c r="D1771" i="3" l="1"/>
  <c r="B1771" i="3"/>
  <c r="H1771" i="3"/>
  <c r="F1771" i="3"/>
  <c r="E1771" i="3"/>
  <c r="C1771" i="3"/>
  <c r="G1771" i="3"/>
  <c r="A1772" i="3" s="1"/>
  <c r="F1772" i="3" l="1"/>
  <c r="C1772" i="3"/>
  <c r="B1772" i="3"/>
  <c r="G1772" i="3"/>
  <c r="A1773" i="3" s="1"/>
  <c r="E1772" i="3"/>
  <c r="D1772" i="3"/>
  <c r="H1772" i="3"/>
  <c r="H1773" i="3" l="1"/>
  <c r="G1773" i="3"/>
  <c r="A1774" i="3" s="1"/>
  <c r="D1773" i="3"/>
  <c r="C1773" i="3"/>
  <c r="F1773" i="3"/>
  <c r="B1773" i="3"/>
  <c r="E1773" i="3"/>
  <c r="E1774" i="3" l="1"/>
  <c r="C1774" i="3"/>
  <c r="H1774" i="3"/>
  <c r="G1774" i="3"/>
  <c r="A1775" i="3" s="1"/>
  <c r="F1774" i="3"/>
  <c r="D1774" i="3"/>
  <c r="B1774" i="3"/>
  <c r="F1775" i="3" l="1"/>
  <c r="D1775" i="3"/>
  <c r="C1775" i="3"/>
  <c r="H1775" i="3"/>
  <c r="G1775" i="3"/>
  <c r="A1776" i="3" s="1"/>
  <c r="E1775" i="3"/>
  <c r="B1775" i="3"/>
  <c r="H1776" i="3" l="1"/>
  <c r="G1776" i="3"/>
  <c r="A1777" i="3" s="1"/>
  <c r="F1776" i="3"/>
  <c r="E1776" i="3"/>
  <c r="D1776" i="3"/>
  <c r="C1776" i="3"/>
  <c r="B1776" i="3"/>
  <c r="F1777" i="3" l="1"/>
  <c r="D1777" i="3"/>
  <c r="G1777" i="3"/>
  <c r="A1778" i="3" s="1"/>
  <c r="E1777" i="3"/>
  <c r="B1777" i="3"/>
  <c r="H1777" i="3"/>
  <c r="C1777" i="3"/>
  <c r="F1778" i="3" l="1"/>
  <c r="H1778" i="3"/>
  <c r="G1778" i="3"/>
  <c r="A1779" i="3" s="1"/>
  <c r="C1778" i="3"/>
  <c r="D1778" i="3"/>
  <c r="B1778" i="3"/>
  <c r="E1778" i="3"/>
  <c r="F1779" i="3" l="1"/>
  <c r="E1779" i="3"/>
  <c r="D1779" i="3"/>
  <c r="C1779" i="3"/>
  <c r="B1779" i="3"/>
  <c r="G1779" i="3"/>
  <c r="A1780" i="3" s="1"/>
  <c r="H1779" i="3"/>
  <c r="G1780" i="3" l="1"/>
  <c r="A1781" i="3" s="1"/>
  <c r="E1780" i="3"/>
  <c r="D1780" i="3"/>
  <c r="C1780" i="3"/>
  <c r="H1780" i="3"/>
  <c r="F1780" i="3"/>
  <c r="B1780" i="3"/>
  <c r="F1781" i="3" l="1"/>
  <c r="D1781" i="3"/>
  <c r="C1781" i="3"/>
  <c r="E1781" i="3"/>
  <c r="B1781" i="3"/>
  <c r="H1781" i="3"/>
  <c r="G1781" i="3"/>
  <c r="A1782" i="3" s="1"/>
  <c r="C1782" i="3" l="1"/>
  <c r="B1782" i="3"/>
  <c r="H1782" i="3"/>
  <c r="G1782" i="3"/>
  <c r="A1783" i="3" s="1"/>
  <c r="F1782" i="3"/>
  <c r="E1782" i="3"/>
  <c r="D1782" i="3"/>
  <c r="H1783" i="3" l="1"/>
  <c r="F1783" i="3"/>
  <c r="C1783" i="3"/>
  <c r="B1783" i="3"/>
  <c r="G1783" i="3"/>
  <c r="A1784" i="3" s="1"/>
  <c r="E1783" i="3"/>
  <c r="D1783" i="3"/>
  <c r="F1784" i="3" l="1"/>
  <c r="D1784" i="3"/>
  <c r="C1784" i="3"/>
  <c r="H1784" i="3"/>
  <c r="E1784" i="3"/>
  <c r="B1784" i="3"/>
  <c r="G1784" i="3"/>
  <c r="A1785" i="3" s="1"/>
  <c r="F1785" i="3" l="1"/>
  <c r="E1785" i="3"/>
  <c r="B1785" i="3"/>
  <c r="H1785" i="3"/>
  <c r="G1785" i="3"/>
  <c r="A1786" i="3" s="1"/>
  <c r="D1785" i="3"/>
  <c r="C1785" i="3"/>
  <c r="G1786" i="3" l="1"/>
  <c r="A1787" i="3" s="1"/>
  <c r="H1786" i="3"/>
  <c r="C1786" i="3"/>
  <c r="B1786" i="3"/>
  <c r="F1786" i="3"/>
  <c r="E1786" i="3"/>
  <c r="D1786" i="3"/>
  <c r="F1787" i="3" l="1"/>
  <c r="B1787" i="3"/>
  <c r="E1787" i="3"/>
  <c r="H1787" i="3"/>
  <c r="G1787" i="3"/>
  <c r="A1788" i="3" s="1"/>
  <c r="C1787" i="3"/>
  <c r="D1787" i="3"/>
  <c r="H1788" i="3" l="1"/>
  <c r="G1788" i="3"/>
  <c r="A1789" i="3" s="1"/>
  <c r="F1788" i="3"/>
  <c r="C1788" i="3"/>
  <c r="B1788" i="3"/>
  <c r="E1788" i="3"/>
  <c r="D1788" i="3"/>
  <c r="H1789" i="3" l="1"/>
  <c r="C1789" i="3"/>
  <c r="B1789" i="3"/>
  <c r="G1789" i="3"/>
  <c r="A1790" i="3" s="1"/>
  <c r="F1789" i="3"/>
  <c r="E1789" i="3"/>
  <c r="D1789" i="3"/>
  <c r="F1790" i="3" l="1"/>
  <c r="B1790" i="3"/>
  <c r="H1790" i="3"/>
  <c r="G1790" i="3"/>
  <c r="A1791" i="3" s="1"/>
  <c r="D1790" i="3"/>
  <c r="C1790" i="3"/>
  <c r="E1790" i="3"/>
  <c r="E1791" i="3" l="1"/>
  <c r="D1791" i="3"/>
  <c r="B1791" i="3"/>
  <c r="G1791" i="3"/>
  <c r="A1792" i="3" s="1"/>
  <c r="F1791" i="3"/>
  <c r="C1791" i="3"/>
  <c r="H1791" i="3"/>
  <c r="D1792" i="3" l="1"/>
  <c r="C1792" i="3"/>
  <c r="F1792" i="3"/>
  <c r="E1792" i="3"/>
  <c r="H1792" i="3"/>
  <c r="G1792" i="3"/>
  <c r="A1793" i="3" s="1"/>
  <c r="B1792" i="3"/>
  <c r="F1793" i="3" l="1"/>
  <c r="C1793" i="3"/>
  <c r="G1793" i="3"/>
  <c r="A1794" i="3" s="1"/>
  <c r="B1793" i="3"/>
  <c r="H1793" i="3"/>
  <c r="E1793" i="3"/>
  <c r="D1793" i="3"/>
  <c r="E1794" i="3" l="1"/>
  <c r="D1794" i="3"/>
  <c r="H1794" i="3"/>
  <c r="G1794" i="3"/>
  <c r="A1795" i="3" s="1"/>
  <c r="F1794" i="3"/>
  <c r="C1794" i="3"/>
  <c r="B1794" i="3"/>
  <c r="G1795" i="3" l="1"/>
  <c r="A1796" i="3" s="1"/>
  <c r="F1795" i="3"/>
  <c r="B1795" i="3"/>
  <c r="H1795" i="3"/>
  <c r="D1795" i="3"/>
  <c r="C1795" i="3"/>
  <c r="E1795" i="3"/>
  <c r="F1796" i="3" l="1"/>
  <c r="D1796" i="3"/>
  <c r="B1796" i="3"/>
  <c r="E1796" i="3"/>
  <c r="C1796" i="3"/>
  <c r="H1796" i="3"/>
  <c r="G1796" i="3"/>
  <c r="A1797" i="3" s="1"/>
  <c r="D1797" i="3" l="1"/>
  <c r="C1797" i="3"/>
  <c r="B1797" i="3"/>
  <c r="H1797" i="3"/>
  <c r="G1797" i="3"/>
  <c r="A1798" i="3" s="1"/>
  <c r="F1797" i="3"/>
  <c r="E1797" i="3"/>
  <c r="B1798" i="3" l="1"/>
  <c r="H1798" i="3"/>
  <c r="G1798" i="3"/>
  <c r="A1799" i="3" s="1"/>
  <c r="E1798" i="3"/>
  <c r="D1798" i="3"/>
  <c r="F1798" i="3"/>
  <c r="C1798" i="3"/>
  <c r="F1799" i="3" l="1"/>
  <c r="E1799" i="3"/>
  <c r="C1799" i="3"/>
  <c r="B1799" i="3"/>
  <c r="D1799" i="3"/>
  <c r="H1799" i="3"/>
  <c r="G1799" i="3"/>
  <c r="A1800" i="3" s="1"/>
  <c r="C1800" i="3" l="1"/>
  <c r="B1800" i="3"/>
  <c r="H1800" i="3"/>
  <c r="G1800" i="3"/>
  <c r="A1801" i="3" s="1"/>
  <c r="F1800" i="3"/>
  <c r="E1800" i="3"/>
  <c r="D1800" i="3"/>
  <c r="G1801" i="3" l="1"/>
  <c r="A1802" i="3" s="1"/>
  <c r="F1801" i="3"/>
  <c r="E1801" i="3"/>
  <c r="D1801" i="3"/>
  <c r="C1801" i="3"/>
  <c r="B1801" i="3"/>
  <c r="H1801" i="3"/>
  <c r="F1802" i="3" l="1"/>
  <c r="G1802" i="3"/>
  <c r="A1803" i="3" s="1"/>
  <c r="D1802" i="3"/>
  <c r="H1802" i="3"/>
  <c r="E1802" i="3"/>
  <c r="B1802" i="3"/>
  <c r="C1802" i="3"/>
  <c r="H1803" i="3" l="1"/>
  <c r="G1803" i="3"/>
  <c r="A1804" i="3" s="1"/>
  <c r="F1803" i="3"/>
  <c r="E1803" i="3"/>
  <c r="D1803" i="3"/>
  <c r="C1803" i="3"/>
  <c r="B1803" i="3"/>
  <c r="H1804" i="3" l="1"/>
  <c r="F1804" i="3"/>
  <c r="G1804" i="3"/>
  <c r="A1805" i="3" s="1"/>
  <c r="E1804" i="3"/>
  <c r="D1804" i="3"/>
  <c r="C1804" i="3"/>
  <c r="B1804" i="3"/>
  <c r="F1805" i="3" l="1"/>
  <c r="H1805" i="3"/>
  <c r="E1805" i="3"/>
  <c r="D1805" i="3"/>
  <c r="C1805" i="3"/>
  <c r="G1805" i="3"/>
  <c r="A1806" i="3" s="1"/>
  <c r="B1805" i="3"/>
  <c r="C1806" i="3" l="1"/>
  <c r="B1806" i="3"/>
  <c r="E1806" i="3"/>
  <c r="D1806" i="3"/>
  <c r="H1806" i="3"/>
  <c r="G1806" i="3"/>
  <c r="A1807" i="3" s="1"/>
  <c r="F1806" i="3"/>
  <c r="E1807" i="3" l="1"/>
  <c r="D1807" i="3"/>
  <c r="H1807" i="3"/>
  <c r="B1807" i="3"/>
  <c r="C1807" i="3"/>
  <c r="G1807" i="3"/>
  <c r="A1808" i="3" s="1"/>
  <c r="F1807" i="3"/>
  <c r="F1808" i="3" l="1"/>
  <c r="G1808" i="3"/>
  <c r="A1809" i="3" s="1"/>
  <c r="B1808" i="3"/>
  <c r="D1808" i="3"/>
  <c r="H1808" i="3"/>
  <c r="E1808" i="3"/>
  <c r="C1808" i="3"/>
  <c r="F1809" i="3" l="1"/>
  <c r="E1809" i="3"/>
  <c r="D1809" i="3"/>
  <c r="C1809" i="3"/>
  <c r="H1809" i="3"/>
  <c r="G1809" i="3"/>
  <c r="A1810" i="3" s="1"/>
  <c r="B1809" i="3"/>
  <c r="F1810" i="3" l="1"/>
  <c r="E1810" i="3"/>
  <c r="D1810" i="3"/>
  <c r="G1810" i="3"/>
  <c r="A1811" i="3" s="1"/>
  <c r="C1810" i="3"/>
  <c r="H1810" i="3"/>
  <c r="B1810" i="3"/>
  <c r="F1811" i="3" l="1"/>
  <c r="H1811" i="3"/>
  <c r="B1811" i="3"/>
  <c r="D1811" i="3"/>
  <c r="G1811" i="3"/>
  <c r="A1812" i="3" s="1"/>
  <c r="E1811" i="3"/>
  <c r="C1811" i="3"/>
  <c r="B1812" i="3" l="1"/>
  <c r="H1812" i="3"/>
  <c r="F1812" i="3"/>
  <c r="E1812" i="3"/>
  <c r="D1812" i="3"/>
  <c r="G1812" i="3"/>
  <c r="A1813" i="3" s="1"/>
  <c r="C1812" i="3"/>
  <c r="C1813" i="3" l="1"/>
  <c r="B1813" i="3"/>
  <c r="D1813" i="3"/>
  <c r="F1813" i="3"/>
  <c r="H1813" i="3"/>
  <c r="G1813" i="3"/>
  <c r="A1814" i="3" s="1"/>
  <c r="E1813" i="3"/>
  <c r="G1814" i="3" l="1"/>
  <c r="A1815" i="3" s="1"/>
  <c r="F1814" i="3"/>
  <c r="E1814" i="3"/>
  <c r="H1814" i="3"/>
  <c r="B1814" i="3"/>
  <c r="D1814" i="3"/>
  <c r="C1814" i="3"/>
  <c r="E1815" i="3" l="1"/>
  <c r="C1815" i="3"/>
  <c r="B1815" i="3"/>
  <c r="F1815" i="3"/>
  <c r="D1815" i="3"/>
  <c r="G1815" i="3"/>
  <c r="A1816" i="3" s="1"/>
  <c r="H1815" i="3"/>
  <c r="F1816" i="3" l="1"/>
  <c r="E1816" i="3"/>
  <c r="C1816" i="3"/>
  <c r="B1816" i="3"/>
  <c r="H1816" i="3"/>
  <c r="G1816" i="3"/>
  <c r="A1817" i="3" s="1"/>
  <c r="D1816" i="3"/>
  <c r="G1817" i="3" l="1"/>
  <c r="A1818" i="3" s="1"/>
  <c r="F1817" i="3"/>
  <c r="E1817" i="3"/>
  <c r="B1817" i="3"/>
  <c r="H1817" i="3"/>
  <c r="D1817" i="3"/>
  <c r="C1817" i="3"/>
  <c r="H1818" i="3" l="1"/>
  <c r="F1818" i="3"/>
  <c r="G1818" i="3"/>
  <c r="A1819" i="3" s="1"/>
  <c r="E1818" i="3"/>
  <c r="B1818" i="3"/>
  <c r="D1818" i="3"/>
  <c r="C1818" i="3"/>
  <c r="C1819" i="3" l="1"/>
  <c r="B1819" i="3"/>
  <c r="H1819" i="3"/>
  <c r="G1819" i="3"/>
  <c r="A1820" i="3" s="1"/>
  <c r="D1819" i="3"/>
  <c r="E1819" i="3"/>
  <c r="F1819" i="3"/>
  <c r="G1820" i="3" l="1"/>
  <c r="A1821" i="3" s="1"/>
  <c r="F1820" i="3"/>
  <c r="E1820" i="3"/>
  <c r="C1820" i="3"/>
  <c r="B1820" i="3"/>
  <c r="H1820" i="3"/>
  <c r="D1820" i="3"/>
  <c r="D1821" i="3" l="1"/>
  <c r="C1821" i="3"/>
  <c r="H1821" i="3"/>
  <c r="G1821" i="3"/>
  <c r="A1822" i="3" s="1"/>
  <c r="F1821" i="3"/>
  <c r="E1821" i="3"/>
  <c r="B1821" i="3"/>
  <c r="C1822" i="3" l="1"/>
  <c r="E1822" i="3"/>
  <c r="D1822" i="3"/>
  <c r="B1822" i="3"/>
  <c r="G1822" i="3"/>
  <c r="A1823" i="3" s="1"/>
  <c r="F1822" i="3"/>
  <c r="H1822" i="3"/>
  <c r="G1823" i="3" l="1"/>
  <c r="A1824" i="3" s="1"/>
  <c r="F1823" i="3"/>
  <c r="E1823" i="3"/>
  <c r="B1823" i="3"/>
  <c r="H1823" i="3"/>
  <c r="D1823" i="3"/>
  <c r="C1823" i="3"/>
  <c r="C1824" i="3" l="1"/>
  <c r="B1824" i="3"/>
  <c r="H1824" i="3"/>
  <c r="G1824" i="3"/>
  <c r="A1825" i="3" s="1"/>
  <c r="E1824" i="3"/>
  <c r="D1824" i="3"/>
  <c r="F1824" i="3"/>
  <c r="F1825" i="3" l="1"/>
  <c r="D1825" i="3"/>
  <c r="C1825" i="3"/>
  <c r="B1825" i="3"/>
  <c r="G1825" i="3"/>
  <c r="A1826" i="3" s="1"/>
  <c r="H1825" i="3"/>
  <c r="E1825" i="3"/>
  <c r="G1826" i="3" l="1"/>
  <c r="A1827" i="3" s="1"/>
  <c r="F1826" i="3"/>
  <c r="E1826" i="3"/>
  <c r="C1826" i="3"/>
  <c r="B1826" i="3"/>
  <c r="H1826" i="3"/>
  <c r="D1826" i="3"/>
  <c r="F1827" i="3" l="1"/>
  <c r="H1827" i="3"/>
  <c r="D1827" i="3"/>
  <c r="C1827" i="3"/>
  <c r="E1827" i="3"/>
  <c r="B1827" i="3"/>
  <c r="G1827" i="3"/>
  <c r="A1828" i="3" s="1"/>
  <c r="H1828" i="3" l="1"/>
  <c r="D1828" i="3"/>
  <c r="C1828" i="3"/>
  <c r="F1828" i="3"/>
  <c r="E1828" i="3"/>
  <c r="G1828" i="3"/>
  <c r="A1829" i="3" s="1"/>
  <c r="B1828" i="3"/>
  <c r="H1829" i="3" l="1"/>
  <c r="G1829" i="3"/>
  <c r="A1830" i="3" s="1"/>
  <c r="F1829" i="3"/>
  <c r="B1829" i="3"/>
  <c r="E1829" i="3"/>
  <c r="D1829" i="3"/>
  <c r="C1829" i="3"/>
  <c r="F1830" i="3" l="1"/>
  <c r="D1830" i="3"/>
  <c r="C1830" i="3"/>
  <c r="B1830" i="3"/>
  <c r="G1830" i="3"/>
  <c r="A1831" i="3" s="1"/>
  <c r="H1830" i="3"/>
  <c r="E1830" i="3"/>
  <c r="G1831" i="3" l="1"/>
  <c r="A1832" i="3" s="1"/>
  <c r="F1831" i="3"/>
  <c r="E1831" i="3"/>
  <c r="D1831" i="3"/>
  <c r="H1831" i="3"/>
  <c r="B1831" i="3"/>
  <c r="C1831" i="3"/>
  <c r="H1832" i="3" l="1"/>
  <c r="G1832" i="3"/>
  <c r="A1833" i="3" s="1"/>
  <c r="F1832" i="3"/>
  <c r="D1832" i="3"/>
  <c r="E1832" i="3"/>
  <c r="C1832" i="3"/>
  <c r="B1832" i="3"/>
  <c r="F1833" i="3" l="1"/>
  <c r="H1833" i="3"/>
  <c r="G1833" i="3"/>
  <c r="A1834" i="3" s="1"/>
  <c r="E1833" i="3"/>
  <c r="D1833" i="3"/>
  <c r="C1833" i="3"/>
  <c r="B1833" i="3"/>
  <c r="H1834" i="3" l="1"/>
  <c r="G1834" i="3"/>
  <c r="A1835" i="3" s="1"/>
  <c r="C1834" i="3"/>
  <c r="F1834" i="3"/>
  <c r="E1834" i="3"/>
  <c r="D1834" i="3"/>
  <c r="B1834" i="3"/>
  <c r="H1835" i="3" l="1"/>
  <c r="E1835" i="3"/>
  <c r="D1835" i="3"/>
  <c r="G1835" i="3"/>
  <c r="A1836" i="3" s="1"/>
  <c r="F1835" i="3"/>
  <c r="C1835" i="3"/>
  <c r="B1835" i="3"/>
  <c r="F1836" i="3" l="1"/>
  <c r="B1836" i="3"/>
  <c r="E1836" i="3"/>
  <c r="C1836" i="3"/>
  <c r="G1836" i="3"/>
  <c r="A1837" i="3" s="1"/>
  <c r="H1836" i="3"/>
  <c r="D1836" i="3"/>
  <c r="H1837" i="3" l="1"/>
  <c r="F1837" i="3"/>
  <c r="E1837" i="3"/>
  <c r="D1837" i="3"/>
  <c r="B1837" i="3"/>
  <c r="G1837" i="3"/>
  <c r="A1838" i="3" s="1"/>
  <c r="C1837" i="3"/>
  <c r="F1838" i="3" l="1"/>
  <c r="H1838" i="3"/>
  <c r="G1838" i="3"/>
  <c r="A1839" i="3" s="1"/>
  <c r="D1838" i="3"/>
  <c r="C1838" i="3"/>
  <c r="B1838" i="3"/>
  <c r="E1838" i="3"/>
  <c r="F1839" i="3" l="1"/>
  <c r="C1839" i="3"/>
  <c r="B1839" i="3"/>
  <c r="H1839" i="3"/>
  <c r="G1839" i="3"/>
  <c r="A1840" i="3" s="1"/>
  <c r="E1839" i="3"/>
  <c r="D1839" i="3"/>
  <c r="B1840" i="3" l="1"/>
  <c r="E1840" i="3"/>
  <c r="D1840" i="3"/>
  <c r="G1840" i="3"/>
  <c r="A1841" i="3" s="1"/>
  <c r="F1840" i="3"/>
  <c r="C1840" i="3"/>
  <c r="H1840" i="3"/>
  <c r="D1841" i="3" l="1"/>
  <c r="B1841" i="3"/>
  <c r="E1841" i="3"/>
  <c r="C1841" i="3"/>
  <c r="F1841" i="3"/>
  <c r="H1841" i="3"/>
  <c r="G1841" i="3"/>
  <c r="A1842" i="3" s="1"/>
  <c r="F1842" i="3" l="1"/>
  <c r="D1842" i="3"/>
  <c r="C1842" i="3"/>
  <c r="B1842" i="3"/>
  <c r="E1842" i="3"/>
  <c r="H1842" i="3"/>
  <c r="G1842" i="3"/>
  <c r="A1843" i="3" s="1"/>
  <c r="F1843" i="3" l="1"/>
  <c r="D1843" i="3"/>
  <c r="G1843" i="3"/>
  <c r="A1844" i="3" s="1"/>
  <c r="E1843" i="3"/>
  <c r="C1843" i="3"/>
  <c r="B1843" i="3"/>
  <c r="H1843" i="3"/>
  <c r="F1844" i="3" l="1"/>
  <c r="E1844" i="3"/>
  <c r="G1844" i="3"/>
  <c r="A1845" i="3" s="1"/>
  <c r="H1844" i="3"/>
  <c r="D1844" i="3"/>
  <c r="C1844" i="3"/>
  <c r="B1844" i="3"/>
  <c r="F1845" i="3" l="1"/>
  <c r="E1845" i="3"/>
  <c r="D1845" i="3"/>
  <c r="C1845" i="3"/>
  <c r="B1845" i="3"/>
  <c r="H1845" i="3"/>
  <c r="G1845" i="3"/>
  <c r="A1846" i="3" s="1"/>
  <c r="H1846" i="3" l="1"/>
  <c r="G1846" i="3"/>
  <c r="A1847" i="3" s="1"/>
  <c r="F1846" i="3"/>
  <c r="C1846" i="3"/>
  <c r="E1846" i="3"/>
  <c r="B1846" i="3"/>
  <c r="D1846" i="3"/>
  <c r="B1847" i="3" l="1"/>
  <c r="E1847" i="3"/>
  <c r="D1847" i="3"/>
  <c r="H1847" i="3"/>
  <c r="G1847" i="3"/>
  <c r="A1848" i="3" s="1"/>
  <c r="F1847" i="3"/>
  <c r="C1847" i="3"/>
  <c r="D1848" i="3" l="1"/>
  <c r="G1848" i="3"/>
  <c r="A1849" i="3" s="1"/>
  <c r="H1848" i="3"/>
  <c r="F1848" i="3"/>
  <c r="E1848" i="3"/>
  <c r="B1848" i="3"/>
  <c r="C1848" i="3"/>
  <c r="E1849" i="3" l="1"/>
  <c r="D1849" i="3"/>
  <c r="C1849" i="3"/>
  <c r="H1849" i="3"/>
  <c r="G1849" i="3"/>
  <c r="A1850" i="3" s="1"/>
  <c r="F1849" i="3"/>
  <c r="B1849" i="3"/>
  <c r="G1850" i="3" l="1"/>
  <c r="A1851" i="3" s="1"/>
  <c r="E1850" i="3"/>
  <c r="H1850" i="3"/>
  <c r="F1850" i="3"/>
  <c r="C1850" i="3"/>
  <c r="B1850" i="3"/>
  <c r="D1850" i="3"/>
  <c r="D1851" i="3" l="1"/>
  <c r="H1851" i="3"/>
  <c r="G1851" i="3"/>
  <c r="A1852" i="3" s="1"/>
  <c r="E1851" i="3"/>
  <c r="C1851" i="3"/>
  <c r="F1851" i="3"/>
  <c r="B1851" i="3"/>
  <c r="B1852" i="3" l="1"/>
  <c r="D1852" i="3"/>
  <c r="G1852" i="3"/>
  <c r="A1853" i="3" s="1"/>
  <c r="H1852" i="3"/>
  <c r="E1852" i="3"/>
  <c r="F1852" i="3"/>
  <c r="C1852" i="3"/>
  <c r="D1853" i="3" l="1"/>
  <c r="G1853" i="3"/>
  <c r="A1854" i="3" s="1"/>
  <c r="F1853" i="3"/>
  <c r="H1853" i="3"/>
  <c r="E1853" i="3"/>
  <c r="C1853" i="3"/>
  <c r="B1853" i="3"/>
  <c r="D1854" i="3" l="1"/>
  <c r="E1854" i="3"/>
  <c r="B1854" i="3"/>
  <c r="F1854" i="3"/>
  <c r="G1854" i="3"/>
  <c r="A1855" i="3" s="1"/>
  <c r="H1854" i="3"/>
  <c r="C1854" i="3"/>
  <c r="D1855" i="3" l="1"/>
  <c r="C1855" i="3"/>
  <c r="B1855" i="3"/>
  <c r="H1855" i="3"/>
  <c r="G1855" i="3"/>
  <c r="A1856" i="3" s="1"/>
  <c r="F1855" i="3"/>
  <c r="E1855" i="3"/>
  <c r="D1856" i="3" l="1"/>
  <c r="C1856" i="3"/>
  <c r="H1856" i="3"/>
  <c r="G1856" i="3"/>
  <c r="A1857" i="3" s="1"/>
  <c r="F1856" i="3"/>
  <c r="B1856" i="3"/>
  <c r="E1856" i="3"/>
  <c r="D1857" i="3" l="1"/>
  <c r="H1857" i="3"/>
  <c r="C1857" i="3"/>
  <c r="B1857" i="3"/>
  <c r="G1857" i="3"/>
  <c r="A1858" i="3" s="1"/>
  <c r="F1857" i="3"/>
  <c r="E1857" i="3"/>
  <c r="B1858" i="3" l="1"/>
  <c r="F1858" i="3"/>
  <c r="E1858" i="3"/>
  <c r="D1858" i="3"/>
  <c r="C1858" i="3"/>
  <c r="H1858" i="3"/>
  <c r="G1858" i="3"/>
  <c r="A1859" i="3" s="1"/>
  <c r="G1859" i="3" l="1"/>
  <c r="A1860" i="3" s="1"/>
  <c r="F1859" i="3"/>
  <c r="E1859" i="3"/>
  <c r="D1859" i="3"/>
  <c r="C1859" i="3"/>
  <c r="H1859" i="3"/>
  <c r="B1859" i="3"/>
  <c r="D1860" i="3" l="1"/>
  <c r="G1860" i="3"/>
  <c r="A1861" i="3" s="1"/>
  <c r="F1860" i="3"/>
  <c r="C1860" i="3"/>
  <c r="B1860" i="3"/>
  <c r="E1860" i="3"/>
  <c r="H1860" i="3"/>
  <c r="C1861" i="3" l="1"/>
  <c r="H1861" i="3"/>
  <c r="G1861" i="3"/>
  <c r="A1862" i="3" s="1"/>
  <c r="F1861" i="3"/>
  <c r="D1861" i="3"/>
  <c r="E1861" i="3"/>
  <c r="B1861" i="3"/>
  <c r="C1862" i="3" l="1"/>
  <c r="F1862" i="3"/>
  <c r="E1862" i="3"/>
  <c r="D1862" i="3"/>
  <c r="H1862" i="3"/>
  <c r="B1862" i="3"/>
  <c r="G1862" i="3"/>
  <c r="A1863" i="3" s="1"/>
  <c r="D1863" i="3" l="1"/>
  <c r="G1863" i="3"/>
  <c r="A1864" i="3" s="1"/>
  <c r="F1863" i="3"/>
  <c r="B1863" i="3"/>
  <c r="H1863" i="3"/>
  <c r="E1863" i="3"/>
  <c r="C1863" i="3"/>
  <c r="D1864" i="3" l="1"/>
  <c r="H1864" i="3"/>
  <c r="G1864" i="3"/>
  <c r="A1865" i="3" s="1"/>
  <c r="F1864" i="3"/>
  <c r="E1864" i="3"/>
  <c r="B1864" i="3"/>
  <c r="C1864" i="3"/>
  <c r="B1865" i="3" l="1"/>
  <c r="H1865" i="3"/>
  <c r="F1865" i="3"/>
  <c r="G1865" i="3"/>
  <c r="A1866" i="3" s="1"/>
  <c r="E1865" i="3"/>
  <c r="D1865" i="3"/>
  <c r="C1865" i="3"/>
  <c r="D1866" i="3" l="1"/>
  <c r="F1866" i="3"/>
  <c r="E1866" i="3"/>
  <c r="B1866" i="3"/>
  <c r="H1866" i="3"/>
  <c r="G1866" i="3"/>
  <c r="A1867" i="3" s="1"/>
  <c r="C1866" i="3"/>
  <c r="E1867" i="3" l="1"/>
  <c r="G1867" i="3"/>
  <c r="A1868" i="3" s="1"/>
  <c r="F1867" i="3"/>
  <c r="H1867" i="3"/>
  <c r="D1867" i="3"/>
  <c r="C1867" i="3"/>
  <c r="B1867" i="3"/>
  <c r="D1868" i="3" l="1"/>
  <c r="C1868" i="3"/>
  <c r="B1868" i="3"/>
  <c r="E1868" i="3"/>
  <c r="G1868" i="3"/>
  <c r="A1869" i="3" s="1"/>
  <c r="H1868" i="3"/>
  <c r="F1868" i="3"/>
  <c r="D1869" i="3" l="1"/>
  <c r="F1869" i="3"/>
  <c r="C1869" i="3"/>
  <c r="H1869" i="3"/>
  <c r="G1869" i="3"/>
  <c r="A1870" i="3" s="1"/>
  <c r="E1869" i="3"/>
  <c r="B1869" i="3"/>
  <c r="F1870" i="3" l="1"/>
  <c r="C1870" i="3"/>
  <c r="B1870" i="3"/>
  <c r="H1870" i="3"/>
  <c r="G1870" i="3"/>
  <c r="A1871" i="3" s="1"/>
  <c r="E1870" i="3"/>
  <c r="D1870" i="3"/>
  <c r="F1871" i="3" l="1"/>
  <c r="E1871" i="3"/>
  <c r="D1871" i="3"/>
  <c r="H1871" i="3"/>
  <c r="G1871" i="3"/>
  <c r="A1872" i="3" s="1"/>
  <c r="C1871" i="3"/>
  <c r="B1871" i="3"/>
  <c r="D1872" i="3" l="1"/>
  <c r="C1872" i="3"/>
  <c r="G1872" i="3"/>
  <c r="A1873" i="3" s="1"/>
  <c r="F1872" i="3"/>
  <c r="E1872" i="3"/>
  <c r="B1872" i="3"/>
  <c r="H1872" i="3"/>
  <c r="H1873" i="3" l="1"/>
  <c r="D1873" i="3"/>
  <c r="B1873" i="3"/>
  <c r="G1873" i="3"/>
  <c r="A1874" i="3" s="1"/>
  <c r="F1873" i="3"/>
  <c r="C1873" i="3"/>
  <c r="E1873" i="3"/>
  <c r="H1874" i="3" l="1"/>
  <c r="G1874" i="3"/>
  <c r="A1875" i="3" s="1"/>
  <c r="F1874" i="3"/>
  <c r="E1874" i="3"/>
  <c r="B1874" i="3"/>
  <c r="D1874" i="3"/>
  <c r="C1874" i="3"/>
  <c r="D1875" i="3" l="1"/>
  <c r="C1875" i="3"/>
  <c r="B1875" i="3"/>
  <c r="H1875" i="3"/>
  <c r="G1875" i="3"/>
  <c r="A1876" i="3" s="1"/>
  <c r="F1875" i="3"/>
  <c r="E1875" i="3"/>
  <c r="H1876" i="3" l="1"/>
  <c r="C1876" i="3"/>
  <c r="B1876" i="3"/>
  <c r="G1876" i="3"/>
  <c r="A1877" i="3" s="1"/>
  <c r="F1876" i="3"/>
  <c r="E1876" i="3"/>
  <c r="D1876" i="3"/>
  <c r="B1877" i="3" l="1"/>
  <c r="C1877" i="3"/>
  <c r="E1877" i="3"/>
  <c r="D1877" i="3"/>
  <c r="F1877" i="3"/>
  <c r="H1877" i="3"/>
  <c r="G1877" i="3"/>
  <c r="A1878" i="3" s="1"/>
  <c r="D1878" i="3" l="1"/>
  <c r="C1878" i="3"/>
  <c r="F1878" i="3"/>
  <c r="E1878" i="3"/>
  <c r="B1878" i="3"/>
  <c r="H1878" i="3"/>
  <c r="G1878" i="3"/>
  <c r="A1879" i="3" s="1"/>
  <c r="G1879" i="3" l="1"/>
  <c r="A1880" i="3" s="1"/>
  <c r="F1879" i="3"/>
  <c r="E1879" i="3"/>
  <c r="H1879" i="3"/>
  <c r="B1879" i="3"/>
  <c r="D1879" i="3"/>
  <c r="C1879" i="3"/>
  <c r="D1880" i="3" l="1"/>
  <c r="G1880" i="3"/>
  <c r="A1881" i="3" s="1"/>
  <c r="C1880" i="3"/>
  <c r="B1880" i="3"/>
  <c r="E1880" i="3"/>
  <c r="H1880" i="3"/>
  <c r="F1880" i="3"/>
  <c r="D1881" i="3" l="1"/>
  <c r="C1881" i="3"/>
  <c r="H1881" i="3"/>
  <c r="G1881" i="3"/>
  <c r="A1882" i="3" s="1"/>
  <c r="F1881" i="3"/>
  <c r="E1881" i="3"/>
  <c r="B1881" i="3"/>
  <c r="F1882" i="3" l="1"/>
  <c r="E1882" i="3"/>
  <c r="D1882" i="3"/>
  <c r="H1882" i="3"/>
  <c r="G1882" i="3"/>
  <c r="A1883" i="3" s="1"/>
  <c r="C1882" i="3"/>
  <c r="B1882" i="3"/>
  <c r="F1883" i="3" l="1"/>
  <c r="B1883" i="3"/>
  <c r="C1883" i="3"/>
  <c r="E1883" i="3"/>
  <c r="D1883" i="3"/>
  <c r="H1883" i="3"/>
  <c r="G1883" i="3"/>
  <c r="A1884" i="3" s="1"/>
  <c r="D1884" i="3" l="1"/>
  <c r="C1884" i="3"/>
  <c r="G1884" i="3"/>
  <c r="A1885" i="3" s="1"/>
  <c r="F1884" i="3"/>
  <c r="E1884" i="3"/>
  <c r="H1884" i="3"/>
  <c r="B1884" i="3"/>
  <c r="D1885" i="3" l="1"/>
  <c r="C1885" i="3"/>
  <c r="B1885" i="3"/>
  <c r="E1885" i="3"/>
  <c r="H1885" i="3"/>
  <c r="G1885" i="3"/>
  <c r="A1886" i="3" s="1"/>
  <c r="F1885" i="3"/>
  <c r="H1886" i="3" l="1"/>
  <c r="F1886" i="3"/>
  <c r="D1886" i="3"/>
  <c r="C1886" i="3"/>
  <c r="B1886" i="3"/>
  <c r="G1886" i="3"/>
  <c r="A1887" i="3" s="1"/>
  <c r="E1886" i="3"/>
  <c r="D1887" i="3" l="1"/>
  <c r="C1887" i="3"/>
  <c r="B1887" i="3"/>
  <c r="H1887" i="3"/>
  <c r="G1887" i="3"/>
  <c r="A1888" i="3" s="1"/>
  <c r="E1887" i="3"/>
  <c r="F1887" i="3"/>
  <c r="G1888" i="3" l="1"/>
  <c r="A1889" i="3" s="1"/>
  <c r="F1888" i="3"/>
  <c r="E1888" i="3"/>
  <c r="H1888" i="3"/>
  <c r="D1888" i="3"/>
  <c r="C1888" i="3"/>
  <c r="B1888" i="3"/>
  <c r="G1889" i="3" l="1"/>
  <c r="A1890" i="3" s="1"/>
  <c r="B1889" i="3"/>
  <c r="C1889" i="3"/>
  <c r="H1889" i="3"/>
  <c r="F1889" i="3"/>
  <c r="E1889" i="3"/>
  <c r="D1889" i="3"/>
  <c r="E1890" i="3" l="1"/>
  <c r="D1890" i="3"/>
  <c r="C1890" i="3"/>
  <c r="H1890" i="3"/>
  <c r="G1890" i="3"/>
  <c r="A1891" i="3" s="1"/>
  <c r="F1890" i="3"/>
  <c r="B1890" i="3"/>
  <c r="B1891" i="3" l="1"/>
  <c r="H1891" i="3"/>
  <c r="G1891" i="3"/>
  <c r="A1892" i="3" s="1"/>
  <c r="F1891" i="3"/>
  <c r="E1891" i="3"/>
  <c r="D1891" i="3"/>
  <c r="C1891" i="3"/>
  <c r="G1892" i="3" l="1"/>
  <c r="A1893" i="3" s="1"/>
  <c r="C1892" i="3"/>
  <c r="B1892" i="3"/>
  <c r="H1892" i="3"/>
  <c r="F1892" i="3"/>
  <c r="E1892" i="3"/>
  <c r="D1892" i="3"/>
  <c r="F1893" i="3" l="1"/>
  <c r="E1893" i="3"/>
  <c r="H1893" i="3"/>
  <c r="B1893" i="3"/>
  <c r="G1893" i="3"/>
  <c r="A1894" i="3" s="1"/>
  <c r="D1893" i="3"/>
  <c r="C1893" i="3"/>
  <c r="G1894" i="3" l="1"/>
  <c r="A1895" i="3" s="1"/>
  <c r="F1894" i="3"/>
  <c r="E1894" i="3"/>
  <c r="C1894" i="3"/>
  <c r="B1894" i="3"/>
  <c r="D1894" i="3"/>
  <c r="H1894" i="3"/>
  <c r="G1895" i="3" l="1"/>
  <c r="A1896" i="3" s="1"/>
  <c r="H1895" i="3"/>
  <c r="F1895" i="3"/>
  <c r="E1895" i="3"/>
  <c r="C1895" i="3"/>
  <c r="D1895" i="3"/>
  <c r="B1895" i="3"/>
  <c r="G1896" i="3" l="1"/>
  <c r="A1897" i="3" s="1"/>
  <c r="F1896" i="3"/>
  <c r="D1896" i="3"/>
  <c r="H1896" i="3"/>
  <c r="E1896" i="3"/>
  <c r="B1896" i="3"/>
  <c r="C1896" i="3"/>
  <c r="C1897" i="3" l="1"/>
  <c r="D1897" i="3"/>
  <c r="H1897" i="3"/>
  <c r="E1897" i="3"/>
  <c r="B1897" i="3"/>
  <c r="F1897" i="3"/>
  <c r="G1897" i="3"/>
  <c r="A1898" i="3" s="1"/>
  <c r="G1898" i="3" l="1"/>
  <c r="A1899" i="3" s="1"/>
  <c r="H1898" i="3"/>
  <c r="F1898" i="3"/>
  <c r="E1898" i="3"/>
  <c r="B1898" i="3"/>
  <c r="D1898" i="3"/>
  <c r="C1898" i="3"/>
  <c r="H1899" i="3" l="1"/>
  <c r="G1899" i="3"/>
  <c r="A1900" i="3" s="1"/>
  <c r="D1899" i="3"/>
  <c r="C1899" i="3"/>
  <c r="B1899" i="3"/>
  <c r="F1899" i="3"/>
  <c r="E1899" i="3"/>
  <c r="F1900" i="3" l="1"/>
  <c r="B1900" i="3"/>
  <c r="C1900" i="3"/>
  <c r="G1900" i="3"/>
  <c r="A1901" i="3" s="1"/>
  <c r="E1900" i="3"/>
  <c r="D1900" i="3"/>
  <c r="H1900" i="3"/>
  <c r="H1901" i="3" l="1"/>
  <c r="G1901" i="3"/>
  <c r="A1902" i="3" s="1"/>
  <c r="C1901" i="3"/>
  <c r="F1901" i="3"/>
  <c r="E1901" i="3"/>
  <c r="D1901" i="3"/>
  <c r="B1901" i="3"/>
  <c r="H1902" i="3" l="1"/>
  <c r="G1902" i="3"/>
  <c r="A1903" i="3" s="1"/>
  <c r="D1902" i="3"/>
  <c r="C1902" i="3"/>
  <c r="E1902" i="3"/>
  <c r="B1902" i="3"/>
  <c r="F1902" i="3"/>
  <c r="F1903" i="3" l="1"/>
  <c r="B1903" i="3"/>
  <c r="C1903" i="3"/>
  <c r="E1903" i="3"/>
  <c r="H1903" i="3"/>
  <c r="G1903" i="3"/>
  <c r="A1904" i="3" s="1"/>
  <c r="D1903" i="3"/>
  <c r="H1904" i="3" l="1"/>
  <c r="G1904" i="3"/>
  <c r="A1905" i="3" s="1"/>
  <c r="B1904" i="3"/>
  <c r="D1904" i="3"/>
  <c r="F1904" i="3"/>
  <c r="E1904" i="3"/>
  <c r="C1904" i="3"/>
  <c r="G1905" i="3" l="1"/>
  <c r="A1906" i="3" s="1"/>
  <c r="E1905" i="3"/>
  <c r="D1905" i="3"/>
  <c r="C1905" i="3"/>
  <c r="B1905" i="3"/>
  <c r="H1905" i="3"/>
  <c r="F1905" i="3"/>
  <c r="F1906" i="3" l="1"/>
  <c r="G1906" i="3"/>
  <c r="A1907" i="3" s="1"/>
  <c r="E1906" i="3"/>
  <c r="B1906" i="3"/>
  <c r="D1906" i="3"/>
  <c r="C1906" i="3"/>
  <c r="H1906" i="3"/>
  <c r="H1907" i="3" l="1"/>
  <c r="G1907" i="3"/>
  <c r="A1908" i="3" s="1"/>
  <c r="B1907" i="3"/>
  <c r="D1907" i="3"/>
  <c r="C1907" i="3"/>
  <c r="F1907" i="3"/>
  <c r="E1907" i="3"/>
  <c r="D1908" i="3" l="1"/>
  <c r="F1908" i="3"/>
  <c r="E1908" i="3"/>
  <c r="H1908" i="3"/>
  <c r="G1908" i="3"/>
  <c r="A1909" i="3" s="1"/>
  <c r="C1908" i="3"/>
  <c r="B1908" i="3"/>
  <c r="F1909" i="3" l="1"/>
  <c r="H1909" i="3"/>
  <c r="E1909" i="3"/>
  <c r="C1909" i="3"/>
  <c r="B1909" i="3"/>
  <c r="D1909" i="3"/>
  <c r="G1909" i="3"/>
  <c r="A1910" i="3" s="1"/>
  <c r="H1910" i="3" l="1"/>
  <c r="G1910" i="3"/>
  <c r="A1911" i="3" s="1"/>
  <c r="B1910" i="3"/>
  <c r="D1910" i="3"/>
  <c r="C1910" i="3"/>
  <c r="E1910" i="3"/>
  <c r="F1910" i="3"/>
  <c r="E1911" i="3" l="1"/>
  <c r="D1911" i="3"/>
  <c r="C1911" i="3"/>
  <c r="F1911" i="3"/>
  <c r="B1911" i="3"/>
  <c r="H1911" i="3"/>
  <c r="G1911" i="3"/>
  <c r="A1912" i="3" s="1"/>
  <c r="F1912" i="3" l="1"/>
  <c r="B1912" i="3"/>
  <c r="G1912" i="3"/>
  <c r="A1913" i="3" s="1"/>
  <c r="E1912" i="3"/>
  <c r="H1912" i="3"/>
  <c r="C1912" i="3"/>
  <c r="D1912" i="3"/>
  <c r="H1913" i="3" l="1"/>
  <c r="G1913" i="3"/>
  <c r="A1914" i="3" s="1"/>
  <c r="B1913" i="3"/>
  <c r="F1913" i="3"/>
  <c r="D1913" i="3"/>
  <c r="C1913" i="3"/>
  <c r="E1913" i="3"/>
  <c r="B1914" i="3" l="1"/>
  <c r="G1914" i="3"/>
  <c r="A1915" i="3" s="1"/>
  <c r="H1914" i="3"/>
  <c r="C1914" i="3"/>
  <c r="D1914" i="3"/>
  <c r="F1914" i="3"/>
  <c r="E1914" i="3"/>
  <c r="F1915" i="3" l="1"/>
  <c r="D1915" i="3"/>
  <c r="C1915" i="3"/>
  <c r="B1915" i="3"/>
  <c r="E1915" i="3"/>
  <c r="H1915" i="3"/>
  <c r="G1915" i="3"/>
  <c r="A1916" i="3" s="1"/>
  <c r="H1916" i="3" l="1"/>
  <c r="G1916" i="3"/>
  <c r="A1917" i="3" s="1"/>
  <c r="B1916" i="3"/>
  <c r="F1916" i="3"/>
  <c r="E1916" i="3"/>
  <c r="D1916" i="3"/>
  <c r="C1916" i="3"/>
  <c r="F1917" i="3" l="1"/>
  <c r="E1917" i="3"/>
  <c r="H1917" i="3"/>
  <c r="G1917" i="3"/>
  <c r="A1918" i="3" s="1"/>
  <c r="B1917" i="3"/>
  <c r="C1917" i="3"/>
  <c r="D1917" i="3"/>
  <c r="F1918" i="3" l="1"/>
  <c r="H1918" i="3"/>
  <c r="G1918" i="3"/>
  <c r="A1919" i="3" s="1"/>
  <c r="B1918" i="3"/>
  <c r="C1918" i="3"/>
  <c r="E1918" i="3"/>
  <c r="D1918" i="3"/>
  <c r="H1919" i="3" l="1"/>
  <c r="G1919" i="3"/>
  <c r="A1920" i="3" s="1"/>
  <c r="B1919" i="3"/>
  <c r="E1919" i="3"/>
  <c r="D1919" i="3"/>
  <c r="C1919" i="3"/>
  <c r="F1919" i="3"/>
  <c r="B1920" i="3" l="1"/>
  <c r="C1920" i="3"/>
  <c r="E1920" i="3"/>
  <c r="D1920" i="3"/>
  <c r="H1920" i="3"/>
  <c r="G1920" i="3"/>
  <c r="A1921" i="3" s="1"/>
  <c r="F1920" i="3"/>
  <c r="F1921" i="3" l="1"/>
  <c r="B1921" i="3"/>
  <c r="C1921" i="3"/>
  <c r="E1921" i="3"/>
  <c r="H1921" i="3"/>
  <c r="G1921" i="3"/>
  <c r="A1922" i="3" s="1"/>
  <c r="D1921" i="3"/>
  <c r="H1922" i="3" l="1"/>
  <c r="G1922" i="3"/>
  <c r="A1923" i="3" s="1"/>
  <c r="B1922" i="3"/>
  <c r="F1922" i="3"/>
  <c r="E1922" i="3"/>
  <c r="D1922" i="3"/>
  <c r="C1922" i="3"/>
  <c r="H1923" i="3" l="1"/>
  <c r="F1923" i="3"/>
  <c r="E1923" i="3"/>
  <c r="D1923" i="3"/>
  <c r="G1923" i="3"/>
  <c r="A1924" i="3" s="1"/>
  <c r="C1923" i="3"/>
  <c r="B1923" i="3"/>
  <c r="F1924" i="3" l="1"/>
  <c r="G1924" i="3"/>
  <c r="A1925" i="3" s="1"/>
  <c r="E1924" i="3"/>
  <c r="H1924" i="3"/>
  <c r="C1924" i="3"/>
  <c r="D1924" i="3"/>
  <c r="B1924" i="3"/>
  <c r="H1925" i="3" l="1"/>
  <c r="G1925" i="3"/>
  <c r="A1926" i="3" s="1"/>
  <c r="B1925" i="3"/>
  <c r="E1925" i="3"/>
  <c r="C1925" i="3"/>
  <c r="F1925" i="3"/>
  <c r="D1925" i="3"/>
  <c r="B1926" i="3" l="1"/>
  <c r="H1926" i="3"/>
  <c r="F1926" i="3"/>
  <c r="G1926" i="3"/>
  <c r="A1927" i="3" s="1"/>
  <c r="E1926" i="3"/>
  <c r="D1926" i="3"/>
  <c r="C1926" i="3"/>
  <c r="F1927" i="3" l="1"/>
  <c r="G1927" i="3"/>
  <c r="A1928" i="3" s="1"/>
  <c r="E1927" i="3"/>
  <c r="D1927" i="3"/>
  <c r="C1927" i="3"/>
  <c r="H1927" i="3"/>
  <c r="B1927" i="3"/>
  <c r="H1928" i="3" l="1"/>
  <c r="G1928" i="3"/>
  <c r="A1929" i="3" s="1"/>
  <c r="B1928" i="3"/>
  <c r="D1928" i="3"/>
  <c r="C1928" i="3"/>
  <c r="F1928" i="3"/>
  <c r="E1928" i="3"/>
  <c r="E1929" i="3" l="1"/>
  <c r="C1929" i="3"/>
  <c r="B1929" i="3"/>
  <c r="F1929" i="3"/>
  <c r="D1929" i="3"/>
  <c r="H1929" i="3"/>
  <c r="G1929" i="3"/>
  <c r="A1930" i="3" s="1"/>
  <c r="F1930" i="3" l="1"/>
  <c r="C1930" i="3"/>
  <c r="H1930" i="3"/>
  <c r="G1930" i="3"/>
  <c r="A1931" i="3" s="1"/>
  <c r="E1930" i="3"/>
  <c r="D1930" i="3"/>
  <c r="B1930" i="3"/>
  <c r="H1931" i="3" l="1"/>
  <c r="G1931" i="3"/>
  <c r="A1932" i="3" s="1"/>
  <c r="B1931" i="3"/>
  <c r="F1931" i="3"/>
  <c r="E1931" i="3"/>
  <c r="D1931" i="3"/>
  <c r="C1931" i="3"/>
  <c r="B1932" i="3" l="1"/>
  <c r="C1932" i="3"/>
  <c r="D1932" i="3"/>
  <c r="H1932" i="3"/>
  <c r="G1932" i="3"/>
  <c r="A1933" i="3" s="1"/>
  <c r="E1932" i="3"/>
  <c r="F1932" i="3"/>
  <c r="F1933" i="3" l="1"/>
  <c r="H1933" i="3"/>
  <c r="E1933" i="3"/>
  <c r="B1933" i="3"/>
  <c r="D1933" i="3"/>
  <c r="C1933" i="3"/>
  <c r="G1933" i="3"/>
  <c r="A1934" i="3" s="1"/>
  <c r="H1934" i="3" l="1"/>
  <c r="G1934" i="3"/>
  <c r="A1935" i="3" s="1"/>
  <c r="B1934" i="3"/>
  <c r="E1934" i="3"/>
  <c r="D1934" i="3"/>
  <c r="C1934" i="3"/>
  <c r="F1934" i="3"/>
  <c r="F1935" i="3" l="1"/>
  <c r="E1935" i="3"/>
  <c r="H1935" i="3"/>
  <c r="G1935" i="3"/>
  <c r="A1936" i="3" s="1"/>
  <c r="C1935" i="3"/>
  <c r="D1935" i="3"/>
  <c r="B1935" i="3"/>
  <c r="F1936" i="3" l="1"/>
  <c r="B1936" i="3"/>
  <c r="C1936" i="3"/>
  <c r="E1936" i="3"/>
  <c r="H1936" i="3"/>
  <c r="G1936" i="3"/>
  <c r="A1937" i="3" s="1"/>
  <c r="D1936" i="3"/>
  <c r="H1937" i="3" l="1"/>
  <c r="G1937" i="3"/>
  <c r="A1938" i="3" s="1"/>
  <c r="B1937" i="3"/>
  <c r="D1937" i="3"/>
  <c r="C1937" i="3"/>
  <c r="E1937" i="3"/>
  <c r="F1937" i="3"/>
  <c r="E1938" i="3" l="1"/>
  <c r="C1938" i="3"/>
  <c r="B1938" i="3"/>
  <c r="H1938" i="3"/>
  <c r="G1938" i="3"/>
  <c r="A1939" i="3" s="1"/>
  <c r="F1938" i="3"/>
  <c r="D1938" i="3"/>
  <c r="F1939" i="3" l="1"/>
  <c r="B1939" i="3"/>
  <c r="G1939" i="3"/>
  <c r="A1940" i="3" s="1"/>
  <c r="H1939" i="3"/>
  <c r="D1939" i="3"/>
  <c r="C1939" i="3"/>
  <c r="E1939" i="3"/>
  <c r="H1940" i="3" l="1"/>
  <c r="G1940" i="3"/>
  <c r="A1941" i="3" s="1"/>
  <c r="B1940" i="3"/>
  <c r="C1940" i="3"/>
  <c r="F1940" i="3"/>
  <c r="E1940" i="3"/>
  <c r="D1940" i="3"/>
  <c r="F1941" i="3" l="1"/>
  <c r="G1941" i="3"/>
  <c r="A1942" i="3" s="1"/>
  <c r="E1941" i="3"/>
  <c r="C1941" i="3"/>
  <c r="H1941" i="3"/>
  <c r="D1941" i="3"/>
  <c r="B1941" i="3"/>
  <c r="F1942" i="3" l="1"/>
  <c r="G1942" i="3"/>
  <c r="A1943" i="3" s="1"/>
  <c r="E1942" i="3"/>
  <c r="H1942" i="3"/>
  <c r="D1942" i="3"/>
  <c r="C1942" i="3"/>
  <c r="B1942" i="3"/>
  <c r="H1943" i="3" l="1"/>
  <c r="G1943" i="3"/>
  <c r="A1944" i="3" s="1"/>
  <c r="B1943" i="3"/>
  <c r="F1943" i="3"/>
  <c r="C1943" i="3"/>
  <c r="D1943" i="3"/>
  <c r="E1943" i="3"/>
  <c r="D1944" i="3" l="1"/>
  <c r="C1944" i="3"/>
  <c r="B1944" i="3"/>
  <c r="E1944" i="3"/>
  <c r="H1944" i="3"/>
  <c r="G1944" i="3"/>
  <c r="A1945" i="3" s="1"/>
  <c r="F1944" i="3"/>
  <c r="F1945" i="3" l="1"/>
  <c r="E1945" i="3"/>
  <c r="H1945" i="3"/>
  <c r="G1945" i="3"/>
  <c r="A1946" i="3" s="1"/>
  <c r="D1945" i="3"/>
  <c r="C1945" i="3"/>
  <c r="B1945" i="3"/>
  <c r="H1946" i="3" l="1"/>
  <c r="G1946" i="3"/>
  <c r="A1947" i="3" s="1"/>
  <c r="B1946" i="3"/>
  <c r="D1946" i="3"/>
  <c r="C1946" i="3"/>
  <c r="F1946" i="3"/>
  <c r="E1946" i="3"/>
  <c r="F1947" i="3" l="1"/>
  <c r="E1947" i="3"/>
  <c r="G1947" i="3"/>
  <c r="A1948" i="3" s="1"/>
  <c r="H1947" i="3"/>
  <c r="B1947" i="3"/>
  <c r="D1947" i="3"/>
  <c r="C1947" i="3"/>
  <c r="F1948" i="3" l="1"/>
  <c r="C1948" i="3"/>
  <c r="B1948" i="3"/>
  <c r="D1948" i="3"/>
  <c r="H1948" i="3"/>
  <c r="G1948" i="3"/>
  <c r="A1949" i="3" s="1"/>
  <c r="E1948" i="3"/>
  <c r="H1949" i="3" l="1"/>
  <c r="G1949" i="3"/>
  <c r="A1950" i="3" s="1"/>
  <c r="B1949" i="3"/>
  <c r="E1949" i="3"/>
  <c r="D1949" i="3"/>
  <c r="F1949" i="3"/>
  <c r="C1949" i="3"/>
  <c r="B1950" i="3" l="1"/>
  <c r="H1950" i="3"/>
  <c r="F1950" i="3"/>
  <c r="E1950" i="3"/>
  <c r="D1950" i="3"/>
  <c r="C1950" i="3"/>
  <c r="G1950" i="3"/>
  <c r="A1951" i="3" s="1"/>
  <c r="F1951" i="3" l="1"/>
  <c r="D1951" i="3"/>
  <c r="E1951" i="3"/>
  <c r="H1951" i="3"/>
  <c r="G1951" i="3"/>
  <c r="A1952" i="3" s="1"/>
  <c r="B1951" i="3"/>
  <c r="C1951" i="3"/>
  <c r="H1952" i="3" l="1"/>
  <c r="G1952" i="3"/>
  <c r="A1953" i="3" s="1"/>
  <c r="B1952" i="3"/>
  <c r="D1952" i="3"/>
  <c r="C1952" i="3"/>
  <c r="E1952" i="3"/>
  <c r="F1952" i="3"/>
  <c r="F1953" i="3" l="1"/>
  <c r="E1953" i="3"/>
  <c r="C1953" i="3"/>
  <c r="H1953" i="3"/>
  <c r="G1953" i="3"/>
  <c r="A1954" i="3" s="1"/>
  <c r="D1953" i="3"/>
  <c r="B1953" i="3"/>
  <c r="F1954" i="3" l="1"/>
  <c r="B1954" i="3"/>
  <c r="D1954" i="3"/>
  <c r="C1954" i="3"/>
  <c r="H1954" i="3"/>
  <c r="G1954" i="3"/>
  <c r="A1955" i="3" s="1"/>
  <c r="E1954" i="3"/>
  <c r="H1955" i="3" l="1"/>
  <c r="G1955" i="3"/>
  <c r="A1956" i="3" s="1"/>
  <c r="B1955" i="3"/>
  <c r="D1955" i="3"/>
  <c r="F1955" i="3"/>
  <c r="C1955" i="3"/>
  <c r="E1955" i="3"/>
  <c r="E1956" i="3" l="1"/>
  <c r="D1956" i="3"/>
  <c r="C1956" i="3"/>
  <c r="F1956" i="3"/>
  <c r="B1956" i="3"/>
  <c r="G1956" i="3"/>
  <c r="A1957" i="3" s="1"/>
  <c r="H1956" i="3"/>
  <c r="F1957" i="3" l="1"/>
  <c r="B1957" i="3"/>
  <c r="G1957" i="3"/>
  <c r="A1958" i="3" s="1"/>
  <c r="H1957" i="3"/>
  <c r="E1957" i="3"/>
  <c r="D1957" i="3"/>
  <c r="C1957" i="3"/>
  <c r="H1958" i="3" l="1"/>
  <c r="G1958" i="3"/>
  <c r="A1959" i="3" s="1"/>
  <c r="B1958" i="3"/>
  <c r="E1958" i="3"/>
  <c r="D1958" i="3"/>
  <c r="C1958" i="3"/>
  <c r="F1958" i="3"/>
  <c r="D1959" i="3" l="1"/>
  <c r="G1959" i="3"/>
  <c r="A1960" i="3" s="1"/>
  <c r="C1959" i="3"/>
  <c r="B1959" i="3"/>
  <c r="E1959" i="3"/>
  <c r="F1959" i="3"/>
  <c r="H1959" i="3"/>
  <c r="F1960" i="3" l="1"/>
  <c r="G1960" i="3"/>
  <c r="A1961" i="3" s="1"/>
  <c r="E1960" i="3"/>
  <c r="D1960" i="3"/>
  <c r="C1960" i="3"/>
  <c r="B1960" i="3"/>
  <c r="H1960" i="3"/>
  <c r="H1961" i="3" l="1"/>
  <c r="G1961" i="3"/>
  <c r="A1962" i="3" s="1"/>
  <c r="B1961" i="3"/>
  <c r="F1961" i="3"/>
  <c r="E1961" i="3"/>
  <c r="D1961" i="3"/>
  <c r="C1961" i="3"/>
  <c r="G1962" i="3" l="1"/>
  <c r="A1963" i="3" s="1"/>
  <c r="E1962" i="3"/>
  <c r="C1962" i="3"/>
  <c r="B1962" i="3"/>
  <c r="H1962" i="3"/>
  <c r="F1962" i="3"/>
  <c r="D1962" i="3"/>
  <c r="F1963" i="3" l="1"/>
  <c r="B1963" i="3"/>
  <c r="G1963" i="3"/>
  <c r="A1964" i="3" s="1"/>
  <c r="H1963" i="3"/>
  <c r="D1963" i="3"/>
  <c r="C1963" i="3"/>
  <c r="E1963" i="3"/>
  <c r="H1964" i="3" l="1"/>
  <c r="G1964" i="3"/>
  <c r="A1965" i="3" s="1"/>
  <c r="B1964" i="3"/>
  <c r="D1964" i="3"/>
  <c r="C1964" i="3"/>
  <c r="F1964" i="3"/>
  <c r="E1964" i="3"/>
  <c r="C1965" i="3" l="1"/>
  <c r="B1965" i="3"/>
  <c r="D1965" i="3"/>
  <c r="H1965" i="3"/>
  <c r="E1965" i="3"/>
  <c r="G1965" i="3"/>
  <c r="A1966" i="3" s="1"/>
  <c r="F1965" i="3"/>
  <c r="F1966" i="3" l="1"/>
  <c r="G1966" i="3"/>
  <c r="A1967" i="3" s="1"/>
  <c r="B1966" i="3"/>
  <c r="D1966" i="3"/>
  <c r="H1966" i="3"/>
  <c r="E1966" i="3"/>
  <c r="C1966" i="3"/>
  <c r="H1967" i="3" l="1"/>
  <c r="G1967" i="3"/>
  <c r="A1968" i="3" s="1"/>
  <c r="B1967" i="3"/>
  <c r="E1967" i="3"/>
  <c r="C1967" i="3"/>
  <c r="F1967" i="3"/>
  <c r="D1967" i="3"/>
  <c r="B1968" i="3" l="1"/>
  <c r="H1968" i="3"/>
  <c r="G1968" i="3"/>
  <c r="A1969" i="3" s="1"/>
  <c r="F1968" i="3"/>
  <c r="C1968" i="3"/>
  <c r="D1968" i="3"/>
  <c r="E1968" i="3"/>
  <c r="F1969" i="3" l="1"/>
  <c r="H1969" i="3"/>
  <c r="E1969" i="3"/>
  <c r="D1969" i="3"/>
  <c r="C1969" i="3"/>
  <c r="B1969" i="3"/>
  <c r="G1969" i="3"/>
  <c r="A1970" i="3" s="1"/>
  <c r="H1970" i="3" l="1"/>
  <c r="G1970" i="3"/>
  <c r="A1971" i="3" s="1"/>
  <c r="B1970" i="3"/>
  <c r="F1970" i="3"/>
  <c r="E1970" i="3"/>
  <c r="D1970" i="3"/>
  <c r="C1970" i="3"/>
  <c r="F1971" i="3" l="1"/>
  <c r="E1971" i="3"/>
  <c r="B1971" i="3"/>
  <c r="H1971" i="3"/>
  <c r="G1971" i="3"/>
  <c r="A1972" i="3" s="1"/>
  <c r="C1971" i="3"/>
  <c r="D1971" i="3"/>
  <c r="F1972" i="3" l="1"/>
  <c r="H1972" i="3"/>
  <c r="G1972" i="3"/>
  <c r="A1973" i="3" s="1"/>
  <c r="E1972" i="3"/>
  <c r="B1972" i="3"/>
  <c r="C1972" i="3"/>
  <c r="D1972" i="3"/>
  <c r="H1973" i="3" l="1"/>
  <c r="G1973" i="3"/>
  <c r="A1974" i="3" s="1"/>
  <c r="B1973" i="3"/>
  <c r="F1973" i="3"/>
  <c r="E1973" i="3"/>
  <c r="C1973" i="3"/>
  <c r="D1973" i="3"/>
  <c r="H1974" i="3" l="1"/>
  <c r="B1974" i="3"/>
  <c r="C1974" i="3"/>
  <c r="E1974" i="3"/>
  <c r="F1974" i="3"/>
  <c r="G1974" i="3"/>
  <c r="A1975" i="3" s="1"/>
  <c r="D1974" i="3"/>
  <c r="F1975" i="3" l="1"/>
  <c r="B1975" i="3"/>
  <c r="D1975" i="3"/>
  <c r="C1975" i="3"/>
  <c r="H1975" i="3"/>
  <c r="G1975" i="3"/>
  <c r="A1976" i="3" s="1"/>
  <c r="E1975" i="3"/>
  <c r="H1976" i="3" l="1"/>
  <c r="G1976" i="3"/>
  <c r="A1977" i="3" s="1"/>
  <c r="B1976" i="3"/>
  <c r="F1976" i="3"/>
  <c r="C1976" i="3"/>
  <c r="E1976" i="3"/>
  <c r="D1976" i="3"/>
  <c r="B1977" i="3" l="1"/>
  <c r="G1977" i="3"/>
  <c r="A1978" i="3" s="1"/>
  <c r="E1977" i="3"/>
  <c r="C1977" i="3"/>
  <c r="H1977" i="3"/>
  <c r="F1977" i="3"/>
  <c r="D1977" i="3"/>
  <c r="F1978" i="3" l="1"/>
  <c r="G1978" i="3"/>
  <c r="A1979" i="3" s="1"/>
  <c r="E1978" i="3"/>
  <c r="H1978" i="3"/>
  <c r="D1978" i="3"/>
  <c r="C1978" i="3"/>
  <c r="B1978" i="3"/>
  <c r="H1979" i="3" l="1"/>
  <c r="G1979" i="3"/>
  <c r="A1980" i="3" s="1"/>
  <c r="B1979" i="3"/>
  <c r="F1979" i="3"/>
  <c r="D1979" i="3"/>
  <c r="C1979" i="3"/>
  <c r="E1979" i="3"/>
  <c r="H1980" i="3" l="1"/>
  <c r="G1980" i="3"/>
  <c r="A1981" i="3" s="1"/>
  <c r="D1980" i="3"/>
  <c r="F1980" i="3"/>
  <c r="B1980" i="3"/>
  <c r="C1980" i="3"/>
  <c r="E1980" i="3"/>
  <c r="F1981" i="3" l="1"/>
  <c r="B1981" i="3"/>
  <c r="G1981" i="3"/>
  <c r="A1982" i="3" s="1"/>
  <c r="E1981" i="3"/>
  <c r="D1981" i="3"/>
  <c r="H1981" i="3"/>
  <c r="C1981" i="3"/>
  <c r="H1982" i="3" l="1"/>
  <c r="G1982" i="3"/>
  <c r="A1983" i="3" s="1"/>
  <c r="B1982" i="3"/>
  <c r="D1982" i="3"/>
  <c r="C1982" i="3"/>
  <c r="F1982" i="3"/>
  <c r="E1982" i="3"/>
  <c r="B1983" i="3" l="1"/>
  <c r="F1983" i="3"/>
  <c r="E1983" i="3"/>
  <c r="D1983" i="3"/>
  <c r="C1983" i="3"/>
  <c r="H1983" i="3"/>
  <c r="G1983" i="3"/>
  <c r="A1984" i="3" s="1"/>
  <c r="F1984" i="3" l="1"/>
  <c r="H1984" i="3"/>
  <c r="G1984" i="3"/>
  <c r="A1985" i="3" s="1"/>
  <c r="C1984" i="3"/>
  <c r="E1984" i="3"/>
  <c r="D1984" i="3"/>
  <c r="B1984" i="3"/>
  <c r="H1985" i="3" l="1"/>
  <c r="G1985" i="3"/>
  <c r="A1986" i="3" s="1"/>
  <c r="B1985" i="3"/>
  <c r="E1985" i="3"/>
  <c r="D1985" i="3"/>
  <c r="C1985" i="3"/>
  <c r="F1985" i="3"/>
  <c r="B1986" i="3" l="1"/>
  <c r="H1986" i="3"/>
  <c r="F1986" i="3"/>
  <c r="E1986" i="3"/>
  <c r="G1986" i="3"/>
  <c r="A1987" i="3" s="1"/>
  <c r="D1986" i="3"/>
  <c r="C1986" i="3"/>
  <c r="F1987" i="3" l="1"/>
  <c r="D1987" i="3"/>
  <c r="B1987" i="3"/>
  <c r="C1987" i="3"/>
  <c r="G1987" i="3"/>
  <c r="A1988" i="3" s="1"/>
  <c r="E1987" i="3"/>
  <c r="H1987" i="3"/>
  <c r="H1988" i="3" l="1"/>
  <c r="G1988" i="3"/>
  <c r="A1989" i="3" s="1"/>
  <c r="B1988" i="3"/>
  <c r="D1988" i="3"/>
  <c r="F1988" i="3"/>
  <c r="E1988" i="3"/>
  <c r="C1988" i="3"/>
  <c r="F1989" i="3" l="1"/>
  <c r="E1989" i="3"/>
  <c r="C1989" i="3"/>
  <c r="B1989" i="3"/>
  <c r="D1989" i="3"/>
  <c r="H1989" i="3"/>
  <c r="G1989" i="3"/>
  <c r="A1990" i="3" s="1"/>
  <c r="F1990" i="3" l="1"/>
  <c r="G1990" i="3"/>
  <c r="A1991" i="3" s="1"/>
  <c r="B1990" i="3"/>
  <c r="D1990" i="3"/>
  <c r="C1990" i="3"/>
  <c r="H1990" i="3"/>
  <c r="E1990" i="3"/>
  <c r="H1991" i="3" l="1"/>
  <c r="G1991" i="3"/>
  <c r="A1992" i="3" s="1"/>
  <c r="B1991" i="3"/>
  <c r="F1991" i="3"/>
  <c r="D1991" i="3"/>
  <c r="C1991" i="3"/>
  <c r="E1991" i="3"/>
  <c r="H1992" i="3" l="1"/>
  <c r="E1992" i="3"/>
  <c r="C1992" i="3"/>
  <c r="B1992" i="3"/>
  <c r="G1992" i="3"/>
  <c r="A1993" i="3" s="1"/>
  <c r="F1992" i="3"/>
  <c r="D1992" i="3"/>
  <c r="F1993" i="3" l="1"/>
  <c r="B1993" i="3"/>
  <c r="D1993" i="3"/>
  <c r="C1993" i="3"/>
  <c r="E1993" i="3"/>
  <c r="H1993" i="3"/>
  <c r="G1993" i="3"/>
  <c r="A1994" i="3" s="1"/>
  <c r="H1994" i="3" l="1"/>
  <c r="G1994" i="3"/>
  <c r="A1995" i="3" s="1"/>
  <c r="B1994" i="3"/>
  <c r="F1994" i="3"/>
  <c r="E1994" i="3"/>
  <c r="D1994" i="3"/>
  <c r="C1994" i="3"/>
  <c r="B1995" i="3" l="1"/>
  <c r="H1995" i="3"/>
  <c r="G1995" i="3"/>
  <c r="A1996" i="3" s="1"/>
  <c r="F1995" i="3"/>
  <c r="D1995" i="3"/>
  <c r="E1995" i="3"/>
  <c r="C1995" i="3"/>
  <c r="F1996" i="3" l="1"/>
  <c r="G1996" i="3"/>
  <c r="A1997" i="3" s="1"/>
  <c r="E1996" i="3"/>
  <c r="D1996" i="3"/>
  <c r="H1996" i="3"/>
  <c r="B1996" i="3"/>
  <c r="C1996" i="3"/>
  <c r="H1997" i="3" l="1"/>
  <c r="G1997" i="3"/>
  <c r="A1998" i="3" s="1"/>
  <c r="B1997" i="3"/>
  <c r="E1997" i="3"/>
  <c r="D1997" i="3"/>
  <c r="C1997" i="3"/>
  <c r="F1997" i="3"/>
  <c r="F1998" i="3" l="1"/>
  <c r="C1998" i="3"/>
  <c r="B1998" i="3"/>
  <c r="E1998" i="3"/>
  <c r="D1998" i="3"/>
  <c r="H1998" i="3"/>
  <c r="G1998" i="3"/>
  <c r="A1999" i="3" s="1"/>
  <c r="F1999" i="3" l="1"/>
  <c r="D1999" i="3"/>
  <c r="C1999" i="3"/>
  <c r="B1999" i="3"/>
  <c r="G1999" i="3"/>
  <c r="A2000" i="3" s="1"/>
  <c r="H1999" i="3"/>
  <c r="E1999" i="3"/>
  <c r="H2000" i="3" l="1"/>
  <c r="G2000" i="3"/>
  <c r="A2001" i="3" s="1"/>
  <c r="B2000" i="3"/>
  <c r="D2000" i="3"/>
  <c r="C2000" i="3"/>
  <c r="F2000" i="3"/>
  <c r="E2000" i="3"/>
  <c r="F2001" i="3" l="1"/>
  <c r="E2001" i="3"/>
  <c r="D2001" i="3"/>
  <c r="G2001" i="3"/>
  <c r="A2002" i="3" s="1"/>
  <c r="C2001" i="3"/>
  <c r="B2001" i="3"/>
  <c r="H2001" i="3"/>
  <c r="F2002" i="3" l="1"/>
  <c r="D2002" i="3"/>
  <c r="C2002" i="3"/>
  <c r="G2002" i="3"/>
  <c r="A2003" i="3" s="1"/>
  <c r="E2002" i="3"/>
  <c r="B2002" i="3"/>
  <c r="H2002" i="3"/>
  <c r="H2003" i="3" l="1"/>
  <c r="G2003" i="3"/>
  <c r="A2004" i="3" s="1"/>
  <c r="B2003" i="3"/>
  <c r="D2003" i="3"/>
  <c r="C2003" i="3"/>
  <c r="F2003" i="3"/>
  <c r="E2003" i="3"/>
  <c r="B2004" i="3" l="1"/>
  <c r="H2004" i="3"/>
  <c r="E2004" i="3"/>
  <c r="C2004" i="3"/>
  <c r="F2004" i="3"/>
  <c r="D2004" i="3"/>
  <c r="G2004" i="3"/>
  <c r="A2005" i="3" s="1"/>
  <c r="F2005" i="3" l="1"/>
  <c r="E2005" i="3"/>
  <c r="D2005" i="3"/>
  <c r="C2005" i="3"/>
  <c r="H2005" i="3"/>
  <c r="G2005" i="3"/>
  <c r="A2006" i="3" s="1"/>
  <c r="B2005" i="3"/>
  <c r="H2006" i="3" l="1"/>
  <c r="G2006" i="3"/>
  <c r="A2007" i="3" s="1"/>
  <c r="B2006" i="3"/>
  <c r="D2006" i="3"/>
  <c r="E2006" i="3"/>
  <c r="C2006" i="3"/>
  <c r="F2006" i="3"/>
  <c r="F2007" i="3" l="1"/>
  <c r="E2007" i="3"/>
  <c r="C2007" i="3"/>
  <c r="B2007" i="3"/>
  <c r="G2007" i="3"/>
  <c r="A2008" i="3" s="1"/>
  <c r="D2007" i="3"/>
  <c r="H2007" i="3"/>
  <c r="F2008" i="3" l="1"/>
  <c r="H2008" i="3"/>
  <c r="G2008" i="3"/>
  <c r="A2009" i="3" s="1"/>
  <c r="E2008" i="3"/>
  <c r="D2008" i="3"/>
  <c r="C2008" i="3"/>
  <c r="B2008" i="3"/>
  <c r="H2009" i="3" l="1"/>
  <c r="G2009" i="3"/>
  <c r="A2010" i="3" s="1"/>
  <c r="B2009" i="3"/>
  <c r="F2009" i="3"/>
  <c r="E2009" i="3"/>
  <c r="D2009" i="3"/>
  <c r="C2009" i="3"/>
  <c r="D2010" i="3" l="1"/>
  <c r="E2010" i="3"/>
  <c r="C2010" i="3"/>
  <c r="B2010" i="3"/>
  <c r="F2010" i="3"/>
  <c r="H2010" i="3"/>
  <c r="G2010" i="3"/>
  <c r="A2011" i="3" s="1"/>
  <c r="F2011" i="3" l="1"/>
  <c r="B2011" i="3"/>
  <c r="G2011" i="3"/>
  <c r="A2012" i="3" s="1"/>
  <c r="E2011" i="3"/>
  <c r="H2011" i="3"/>
  <c r="D2011" i="3"/>
  <c r="C2011" i="3"/>
  <c r="H2012" i="3" l="1"/>
  <c r="G2012" i="3"/>
  <c r="A2013" i="3" s="1"/>
  <c r="B2012" i="3"/>
  <c r="D2012" i="3"/>
  <c r="C2012" i="3"/>
  <c r="F2012" i="3"/>
  <c r="E2012" i="3"/>
  <c r="G2013" i="3" l="1"/>
  <c r="A2014" i="3" s="1"/>
  <c r="F2013" i="3"/>
  <c r="E2013" i="3"/>
  <c r="B2013" i="3"/>
  <c r="H2013" i="3"/>
  <c r="D2013" i="3"/>
  <c r="C2013" i="3"/>
  <c r="F2014" i="3" l="1"/>
  <c r="G2014" i="3"/>
  <c r="A2015" i="3" s="1"/>
  <c r="E2014" i="3"/>
  <c r="B2014" i="3"/>
  <c r="D2014" i="3"/>
  <c r="C2014" i="3"/>
  <c r="H2014" i="3"/>
  <c r="H2015" i="3" l="1"/>
  <c r="G2015" i="3"/>
  <c r="A2016" i="3" s="1"/>
  <c r="B2015" i="3"/>
  <c r="C2015" i="3"/>
  <c r="F2015" i="3"/>
  <c r="E2015" i="3"/>
  <c r="D2015" i="3"/>
  <c r="G2016" i="3" l="1"/>
  <c r="A2017" i="3" s="1"/>
  <c r="E2016" i="3"/>
  <c r="D2016" i="3"/>
  <c r="C2016" i="3"/>
  <c r="B2016" i="3"/>
  <c r="H2016" i="3"/>
  <c r="F2016" i="3"/>
  <c r="F2017" i="3" l="1"/>
  <c r="G2017" i="3"/>
  <c r="A2018" i="3" s="1"/>
  <c r="E2017" i="3"/>
  <c r="D2017" i="3"/>
  <c r="C2017" i="3"/>
  <c r="H2017" i="3"/>
  <c r="B2017" i="3"/>
  <c r="H2018" i="3" l="1"/>
  <c r="G2018" i="3"/>
  <c r="A2019" i="3" s="1"/>
  <c r="B2018" i="3"/>
  <c r="D2018" i="3"/>
  <c r="C2018" i="3"/>
  <c r="F2018" i="3"/>
  <c r="E2018" i="3"/>
  <c r="E2019" i="3" l="1"/>
  <c r="D2019" i="3"/>
  <c r="C2019" i="3"/>
  <c r="B2019" i="3"/>
  <c r="H2019" i="3"/>
  <c r="G2019" i="3"/>
  <c r="A2020" i="3" s="1"/>
  <c r="F2019" i="3"/>
  <c r="F2020" i="3" l="1"/>
  <c r="D2020" i="3"/>
  <c r="C2020" i="3"/>
  <c r="G2020" i="3"/>
  <c r="A2021" i="3" s="1"/>
  <c r="B2020" i="3"/>
  <c r="H2020" i="3"/>
  <c r="E2020" i="3"/>
  <c r="H2021" i="3" l="1"/>
  <c r="G2021" i="3"/>
  <c r="A2022" i="3" s="1"/>
  <c r="B2021" i="3"/>
  <c r="F2021" i="3"/>
  <c r="E2021" i="3"/>
  <c r="C2021" i="3"/>
  <c r="D2021" i="3"/>
  <c r="B2022" i="3" l="1"/>
  <c r="D2022" i="3"/>
  <c r="C2022" i="3"/>
  <c r="E2022" i="3"/>
  <c r="H2022" i="3"/>
  <c r="G2022" i="3"/>
  <c r="A2023" i="3" s="1"/>
  <c r="F2022" i="3"/>
  <c r="F2023" i="3" l="1"/>
  <c r="H2023" i="3"/>
  <c r="D2023" i="3"/>
  <c r="C2023" i="3"/>
  <c r="B2023" i="3"/>
  <c r="G2023" i="3"/>
  <c r="A2024" i="3" s="1"/>
  <c r="E2023" i="3"/>
  <c r="H2024" i="3" l="1"/>
  <c r="G2024" i="3"/>
  <c r="A2025" i="3" s="1"/>
  <c r="B2024" i="3"/>
  <c r="F2024" i="3"/>
  <c r="E2024" i="3"/>
  <c r="D2024" i="3"/>
  <c r="C2024" i="3"/>
  <c r="F2025" i="3" l="1"/>
  <c r="E2025" i="3"/>
  <c r="H2025" i="3"/>
  <c r="C2025" i="3"/>
  <c r="D2025" i="3"/>
  <c r="B2025" i="3"/>
  <c r="G2025" i="3"/>
  <c r="A2026" i="3" s="1"/>
  <c r="F2026" i="3" l="1"/>
  <c r="B2026" i="3"/>
  <c r="C2026" i="3"/>
  <c r="G2026" i="3"/>
  <c r="A2027" i="3" s="1"/>
  <c r="H2026" i="3"/>
  <c r="E2026" i="3"/>
  <c r="D2026" i="3"/>
  <c r="H2027" i="3" l="1"/>
  <c r="G2027" i="3"/>
  <c r="A2028" i="3" s="1"/>
  <c r="B2027" i="3"/>
  <c r="D2027" i="3"/>
  <c r="C2027" i="3"/>
  <c r="E2027" i="3"/>
  <c r="F2027" i="3"/>
  <c r="G2028" i="3" l="1"/>
  <c r="A2029" i="3" s="1"/>
  <c r="F2028" i="3"/>
  <c r="H2028" i="3"/>
  <c r="E2028" i="3"/>
  <c r="D2028" i="3"/>
  <c r="C2028" i="3"/>
  <c r="B2028" i="3"/>
  <c r="F2029" i="3" l="1"/>
  <c r="B2029" i="3"/>
  <c r="H2029" i="3"/>
  <c r="D2029" i="3"/>
  <c r="C2029" i="3"/>
  <c r="E2029" i="3"/>
  <c r="G2029" i="3"/>
  <c r="A2030" i="3" s="1"/>
  <c r="H2030" i="3" l="1"/>
  <c r="G2030" i="3"/>
  <c r="A2031" i="3" s="1"/>
  <c r="B2030" i="3"/>
  <c r="D2030" i="3"/>
  <c r="C2030" i="3"/>
  <c r="F2030" i="3"/>
  <c r="E2030" i="3"/>
  <c r="G2031" i="3" l="1"/>
  <c r="A2032" i="3" s="1"/>
  <c r="E2031" i="3"/>
  <c r="D2031" i="3"/>
  <c r="C2031" i="3"/>
  <c r="B2031" i="3"/>
  <c r="H2031" i="3"/>
  <c r="F2031" i="3"/>
  <c r="F2032" i="3" l="1"/>
  <c r="G2032" i="3"/>
  <c r="A2033" i="3" s="1"/>
  <c r="E2032" i="3"/>
  <c r="C2032" i="3"/>
  <c r="B2032" i="3"/>
  <c r="D2032" i="3"/>
  <c r="H2032" i="3"/>
  <c r="H2033" i="3" l="1"/>
  <c r="G2033" i="3"/>
  <c r="A2034" i="3" s="1"/>
  <c r="B2033" i="3"/>
  <c r="E2033" i="3"/>
  <c r="F2033" i="3"/>
  <c r="D2033" i="3"/>
  <c r="C2033" i="3"/>
  <c r="B2034" i="3" l="1"/>
  <c r="E2034" i="3"/>
  <c r="D2034" i="3"/>
  <c r="C2034" i="3"/>
  <c r="H2034" i="3"/>
  <c r="G2034" i="3"/>
  <c r="A2035" i="3" s="1"/>
  <c r="F2034" i="3"/>
  <c r="F2035" i="3" l="1"/>
  <c r="C2035" i="3"/>
  <c r="G2035" i="3"/>
  <c r="A2036" i="3" s="1"/>
  <c r="E2035" i="3"/>
  <c r="D2035" i="3"/>
  <c r="B2035" i="3"/>
  <c r="H2035" i="3"/>
  <c r="H2036" i="3" l="1"/>
  <c r="G2036" i="3"/>
  <c r="A2037" i="3" s="1"/>
  <c r="B2036" i="3"/>
  <c r="D2036" i="3"/>
  <c r="C2036" i="3"/>
  <c r="F2036" i="3"/>
  <c r="E2036" i="3"/>
  <c r="H2037" i="3" l="1"/>
  <c r="F2037" i="3"/>
  <c r="D2037" i="3"/>
  <c r="C2037" i="3"/>
  <c r="G2037" i="3"/>
  <c r="A2038" i="3" s="1"/>
  <c r="E2037" i="3"/>
  <c r="B2037" i="3"/>
  <c r="F2038" i="3" l="1"/>
  <c r="D2038" i="3"/>
  <c r="C2038" i="3"/>
  <c r="B2038" i="3"/>
  <c r="H2038" i="3"/>
  <c r="E2038" i="3"/>
  <c r="G2038" i="3"/>
  <c r="A2039" i="3" s="1"/>
  <c r="H2039" i="3" l="1"/>
  <c r="G2039" i="3"/>
  <c r="A2040" i="3" s="1"/>
  <c r="B2039" i="3"/>
  <c r="E2039" i="3"/>
  <c r="D2039" i="3"/>
  <c r="F2039" i="3"/>
  <c r="C2039" i="3"/>
  <c r="B2040" i="3" l="1"/>
  <c r="H2040" i="3"/>
  <c r="D2040" i="3"/>
  <c r="C2040" i="3"/>
  <c r="F2040" i="3"/>
  <c r="G2040" i="3"/>
  <c r="A2041" i="3" s="1"/>
  <c r="E2040" i="3"/>
  <c r="F2041" i="3" l="1"/>
  <c r="G2041" i="3"/>
  <c r="A2042" i="3" s="1"/>
  <c r="E2041" i="3"/>
  <c r="C2041" i="3"/>
  <c r="H2041" i="3"/>
  <c r="D2041" i="3"/>
  <c r="B2041" i="3"/>
  <c r="H2042" i="3" l="1"/>
  <c r="G2042" i="3"/>
  <c r="A2043" i="3" s="1"/>
  <c r="B2042" i="3"/>
  <c r="E2042" i="3"/>
  <c r="D2042" i="3"/>
  <c r="C2042" i="3"/>
  <c r="F2042" i="3"/>
  <c r="F2043" i="3" l="1"/>
  <c r="E2043" i="3"/>
  <c r="H2043" i="3"/>
  <c r="G2043" i="3"/>
  <c r="A2044" i="3" s="1"/>
  <c r="D2043" i="3"/>
  <c r="C2043" i="3"/>
  <c r="B2043" i="3"/>
  <c r="F2044" i="3" l="1"/>
  <c r="D2044" i="3"/>
  <c r="C2044" i="3"/>
  <c r="B2044" i="3"/>
  <c r="H2044" i="3"/>
  <c r="G2044" i="3"/>
  <c r="A2045" i="3" s="1"/>
  <c r="E2044" i="3"/>
  <c r="H2045" i="3" l="1"/>
  <c r="G2045" i="3"/>
  <c r="A2046" i="3" s="1"/>
  <c r="B2045" i="3"/>
  <c r="F2045" i="3"/>
  <c r="E2045" i="3"/>
  <c r="D2045" i="3"/>
  <c r="C2045" i="3"/>
  <c r="F2046" i="3" l="1"/>
  <c r="E2046" i="3"/>
  <c r="D2046" i="3"/>
  <c r="G2046" i="3"/>
  <c r="A2047" i="3" s="1"/>
  <c r="B2046" i="3"/>
  <c r="C2046" i="3"/>
  <c r="H2046" i="3"/>
  <c r="F2047" i="3" l="1"/>
  <c r="B2047" i="3"/>
  <c r="D2047" i="3"/>
  <c r="H2047" i="3"/>
  <c r="G2047" i="3"/>
  <c r="A2048" i="3" s="1"/>
  <c r="E2047" i="3"/>
  <c r="C2047" i="3"/>
  <c r="H2048" i="3" l="1"/>
  <c r="G2048" i="3"/>
  <c r="A2049" i="3" s="1"/>
  <c r="B2048" i="3"/>
  <c r="F2048" i="3"/>
  <c r="E2048" i="3"/>
  <c r="C2048" i="3"/>
  <c r="D2048" i="3"/>
  <c r="F2049" i="3" l="1"/>
  <c r="H2049" i="3"/>
  <c r="G2049" i="3"/>
  <c r="A2050" i="3" s="1"/>
  <c r="C2049" i="3"/>
  <c r="B2049" i="3"/>
  <c r="D2049" i="3"/>
  <c r="E2049" i="3"/>
  <c r="F2050" i="3" l="1"/>
  <c r="G2050" i="3"/>
  <c r="A2051" i="3" s="1"/>
  <c r="E2050" i="3"/>
  <c r="H2050" i="3"/>
  <c r="D2050" i="3"/>
  <c r="C2050" i="3"/>
  <c r="B2050" i="3"/>
  <c r="H2051" i="3" l="1"/>
  <c r="G2051" i="3"/>
  <c r="A2052" i="3" s="1"/>
  <c r="B2051" i="3"/>
  <c r="F2051" i="3"/>
  <c r="D2051" i="3"/>
  <c r="E2051" i="3"/>
  <c r="C2051" i="3"/>
  <c r="G2052" i="3" l="1"/>
  <c r="A2053" i="3" s="1"/>
  <c r="F2052" i="3"/>
  <c r="E2052" i="3"/>
  <c r="D2052" i="3"/>
  <c r="C2052" i="3"/>
  <c r="B2052" i="3"/>
  <c r="H2052" i="3"/>
  <c r="F2053" i="3" l="1"/>
  <c r="D2053" i="3"/>
  <c r="H2053" i="3"/>
  <c r="C2053" i="3"/>
  <c r="B2053" i="3"/>
  <c r="G2053" i="3"/>
  <c r="A2054" i="3" s="1"/>
  <c r="E2053" i="3"/>
  <c r="H2054" i="3" l="1"/>
  <c r="G2054" i="3"/>
  <c r="A2055" i="3" s="1"/>
  <c r="B2054" i="3"/>
  <c r="D2054" i="3"/>
  <c r="C2054" i="3"/>
  <c r="F2054" i="3"/>
  <c r="E2054" i="3"/>
  <c r="B2055" i="3" l="1"/>
  <c r="H2055" i="3"/>
  <c r="G2055" i="3"/>
  <c r="A2056" i="3" s="1"/>
  <c r="F2055" i="3"/>
  <c r="E2055" i="3"/>
  <c r="D2055" i="3"/>
  <c r="C2055" i="3"/>
  <c r="F2056" i="3" l="1"/>
  <c r="C2056" i="3"/>
  <c r="B2056" i="3"/>
  <c r="D2056" i="3"/>
  <c r="H2056" i="3"/>
  <c r="G2056" i="3"/>
  <c r="A2057" i="3" s="1"/>
  <c r="E2056" i="3"/>
  <c r="H2057" i="3" l="1"/>
  <c r="G2057" i="3"/>
  <c r="A2058" i="3" s="1"/>
  <c r="B2057" i="3"/>
  <c r="D2057" i="3"/>
  <c r="E2057" i="3"/>
  <c r="C2057" i="3"/>
  <c r="F2057" i="3"/>
  <c r="B2058" i="3" l="1"/>
  <c r="H2058" i="3"/>
  <c r="G2058" i="3"/>
  <c r="A2059" i="3" s="1"/>
  <c r="D2058" i="3"/>
  <c r="F2058" i="3"/>
  <c r="E2058" i="3"/>
  <c r="C2058" i="3"/>
  <c r="F2059" i="3" l="1"/>
  <c r="C2059" i="3"/>
  <c r="G2059" i="3"/>
  <c r="A2060" i="3" s="1"/>
  <c r="E2059" i="3"/>
  <c r="H2059" i="3"/>
  <c r="D2059" i="3"/>
  <c r="B2059" i="3"/>
  <c r="H2060" i="3" l="1"/>
  <c r="G2060" i="3"/>
  <c r="A2061" i="3" s="1"/>
  <c r="B2060" i="3"/>
  <c r="D2060" i="3"/>
  <c r="F2060" i="3"/>
  <c r="E2060" i="3"/>
  <c r="C2060" i="3"/>
  <c r="F2061" i="3" l="1"/>
  <c r="E2061" i="3"/>
  <c r="D2061" i="3"/>
  <c r="C2061" i="3"/>
  <c r="H2061" i="3"/>
  <c r="G2061" i="3"/>
  <c r="A2062" i="3" s="1"/>
  <c r="B2061" i="3"/>
  <c r="F2062" i="3" l="1"/>
  <c r="H2062" i="3"/>
  <c r="D2062" i="3"/>
  <c r="B2062" i="3"/>
  <c r="G2062" i="3"/>
  <c r="A2063" i="3" s="1"/>
  <c r="E2062" i="3"/>
  <c r="C2062" i="3"/>
  <c r="H2063" i="3" l="1"/>
  <c r="G2063" i="3"/>
  <c r="A2064" i="3" s="1"/>
  <c r="B2063" i="3"/>
  <c r="C2063" i="3"/>
  <c r="F2063" i="3"/>
  <c r="D2063" i="3"/>
  <c r="E2063" i="3"/>
  <c r="D2064" i="3" l="1"/>
  <c r="H2064" i="3"/>
  <c r="B2064" i="3"/>
  <c r="G2064" i="3"/>
  <c r="A2065" i="3" s="1"/>
  <c r="E2064" i="3"/>
  <c r="C2064" i="3"/>
  <c r="F2064" i="3"/>
  <c r="F2065" i="3" l="1"/>
  <c r="B2065" i="3"/>
  <c r="D2065" i="3"/>
  <c r="G2065" i="3"/>
  <c r="A2066" i="3" s="1"/>
  <c r="E2065" i="3"/>
  <c r="C2065" i="3"/>
  <c r="H2065" i="3"/>
  <c r="H2066" i="3" l="1"/>
  <c r="G2066" i="3"/>
  <c r="A2067" i="3" s="1"/>
  <c r="B2066" i="3"/>
  <c r="F2066" i="3"/>
  <c r="D2066" i="3"/>
  <c r="E2066" i="3"/>
  <c r="C2066" i="3"/>
  <c r="E2067" i="3" l="1"/>
  <c r="D2067" i="3"/>
  <c r="C2067" i="3"/>
  <c r="H2067" i="3"/>
  <c r="B2067" i="3"/>
  <c r="F2067" i="3"/>
  <c r="G2067" i="3"/>
  <c r="A2068" i="3" s="1"/>
  <c r="F2068" i="3" l="1"/>
  <c r="G2068" i="3"/>
  <c r="A2069" i="3" s="1"/>
  <c r="E2068" i="3"/>
  <c r="B2068" i="3"/>
  <c r="H2068" i="3"/>
  <c r="C2068" i="3"/>
  <c r="D2068" i="3"/>
  <c r="H2069" i="3" l="1"/>
  <c r="G2069" i="3"/>
  <c r="A2070" i="3" s="1"/>
  <c r="B2069" i="3"/>
  <c r="D2069" i="3"/>
  <c r="F2069" i="3"/>
  <c r="E2069" i="3"/>
  <c r="C2069" i="3"/>
  <c r="H2070" i="3" l="1"/>
  <c r="G2070" i="3"/>
  <c r="A2071" i="3" s="1"/>
  <c r="C2070" i="3"/>
  <c r="B2070" i="3"/>
  <c r="D2070" i="3"/>
  <c r="F2070" i="3"/>
  <c r="E2070" i="3"/>
  <c r="F2071" i="3" l="1"/>
  <c r="E2071" i="3"/>
  <c r="D2071" i="3"/>
  <c r="C2071" i="3"/>
  <c r="G2071" i="3"/>
  <c r="A2072" i="3" s="1"/>
  <c r="H2071" i="3"/>
  <c r="B2071" i="3"/>
  <c r="H2072" i="3" l="1"/>
  <c r="G2072" i="3"/>
  <c r="A2073" i="3" s="1"/>
  <c r="B2072" i="3"/>
  <c r="D2072" i="3"/>
  <c r="C2072" i="3"/>
  <c r="F2072" i="3"/>
  <c r="E2072" i="3"/>
  <c r="D2073" i="3" l="1"/>
  <c r="H2073" i="3"/>
  <c r="F2073" i="3"/>
  <c r="E2073" i="3"/>
  <c r="C2073" i="3"/>
  <c r="B2073" i="3"/>
  <c r="G2073" i="3"/>
  <c r="A2074" i="3" s="1"/>
  <c r="F2074" i="3" l="1"/>
  <c r="D2074" i="3"/>
  <c r="C2074" i="3"/>
  <c r="G2074" i="3"/>
  <c r="A2075" i="3" s="1"/>
  <c r="E2074" i="3"/>
  <c r="B2074" i="3"/>
  <c r="H2074" i="3"/>
  <c r="H2075" i="3" l="1"/>
  <c r="G2075" i="3"/>
  <c r="A2076" i="3" s="1"/>
  <c r="B2075" i="3"/>
  <c r="F2075" i="3"/>
  <c r="E2075" i="3"/>
  <c r="C2075" i="3"/>
  <c r="D2075" i="3"/>
  <c r="B2076" i="3" l="1"/>
  <c r="D2076" i="3"/>
  <c r="C2076" i="3"/>
  <c r="G2076" i="3"/>
  <c r="A2077" i="3" s="1"/>
  <c r="H2076" i="3"/>
  <c r="E2076" i="3"/>
  <c r="F2076" i="3"/>
  <c r="F2077" i="3" l="1"/>
  <c r="B2077" i="3"/>
  <c r="E2077" i="3"/>
  <c r="D2077" i="3"/>
  <c r="C2077" i="3"/>
  <c r="H2077" i="3"/>
  <c r="G2077" i="3"/>
  <c r="A2078" i="3" s="1"/>
  <c r="H2078" i="3" l="1"/>
  <c r="G2078" i="3"/>
  <c r="A2079" i="3" s="1"/>
  <c r="B2078" i="3"/>
  <c r="F2078" i="3"/>
  <c r="E2078" i="3"/>
  <c r="D2078" i="3"/>
  <c r="C2078" i="3"/>
  <c r="F2079" i="3" l="1"/>
  <c r="E2079" i="3"/>
  <c r="D2079" i="3"/>
  <c r="H2079" i="3"/>
  <c r="G2079" i="3"/>
  <c r="A2080" i="3" s="1"/>
  <c r="C2079" i="3"/>
  <c r="B2079" i="3"/>
  <c r="F2080" i="3" l="1"/>
  <c r="B2080" i="3"/>
  <c r="D2080" i="3"/>
  <c r="C2080" i="3"/>
  <c r="H2080" i="3"/>
  <c r="G2080" i="3"/>
  <c r="A2081" i="3" s="1"/>
  <c r="E2080" i="3"/>
  <c r="H2081" i="3" l="1"/>
  <c r="G2081" i="3"/>
  <c r="A2082" i="3" s="1"/>
  <c r="B2081" i="3"/>
  <c r="F2081" i="3"/>
  <c r="C2081" i="3"/>
  <c r="E2081" i="3"/>
  <c r="D2081" i="3"/>
  <c r="B2082" i="3" l="1"/>
  <c r="H2082" i="3"/>
  <c r="G2082" i="3"/>
  <c r="A2083" i="3" s="1"/>
  <c r="F2082" i="3"/>
  <c r="E2082" i="3"/>
  <c r="D2082" i="3"/>
  <c r="C2082" i="3"/>
  <c r="F2083" i="3" l="1"/>
  <c r="B2083" i="3"/>
  <c r="G2083" i="3"/>
  <c r="A2084" i="3" s="1"/>
  <c r="H2083" i="3"/>
  <c r="D2083" i="3"/>
  <c r="C2083" i="3"/>
  <c r="E2083" i="3"/>
  <c r="H2084" i="3" l="1"/>
  <c r="G2084" i="3"/>
  <c r="A2085" i="3" s="1"/>
  <c r="B2084" i="3"/>
  <c r="F2084" i="3"/>
  <c r="E2084" i="3"/>
  <c r="D2084" i="3"/>
  <c r="C2084" i="3"/>
  <c r="B2085" i="3" l="1"/>
  <c r="F2085" i="3"/>
  <c r="C2085" i="3"/>
  <c r="D2085" i="3"/>
  <c r="G2085" i="3"/>
  <c r="A2086" i="3" s="1"/>
  <c r="H2085" i="3"/>
  <c r="E2085" i="3"/>
  <c r="F2086" i="3" l="1"/>
  <c r="B10" i="1" s="1"/>
  <c r="G2086" i="3"/>
  <c r="E2086" i="3"/>
  <c r="B9" i="1" s="1"/>
  <c r="D2086" i="3"/>
  <c r="B8" i="1" s="1"/>
  <c r="H2086" i="3"/>
  <c r="C2086" i="3"/>
  <c r="B2086" i="3"/>
  <c r="B13" i="1"/>
  <c r="A30" i="4" l="1"/>
  <c r="A33" i="4"/>
  <c r="A25" i="4"/>
  <c r="A32" i="4"/>
  <c r="A35" i="4"/>
  <c r="A8" i="4"/>
  <c r="A38" i="4"/>
  <c r="A31" i="4"/>
  <c r="A14" i="4"/>
  <c r="A34" i="4"/>
  <c r="A21" i="4"/>
  <c r="B12" i="1"/>
  <c r="A10" i="4"/>
  <c r="A12" i="4"/>
  <c r="B11" i="1"/>
  <c r="A44" i="4"/>
  <c r="A46" i="4"/>
  <c r="A36" i="4"/>
  <c r="A26" i="4"/>
  <c r="A11" i="4"/>
  <c r="A17" i="4"/>
  <c r="A24" i="4"/>
  <c r="A42" i="4"/>
  <c r="A40" i="4"/>
  <c r="A27" i="4"/>
  <c r="A37" i="4"/>
  <c r="A45" i="4"/>
  <c r="A9" i="4"/>
  <c r="A41" i="4"/>
  <c r="A29" i="4"/>
  <c r="A23" i="4"/>
  <c r="A19" i="4"/>
  <c r="A15" i="4"/>
  <c r="A18" i="4"/>
  <c r="A43" i="4"/>
  <c r="A22" i="4"/>
  <c r="A28" i="4"/>
  <c r="A13" i="4"/>
  <c r="A39" i="4"/>
  <c r="A7" i="4"/>
  <c r="A20" i="4"/>
  <c r="A16" i="4"/>
  <c r="C24" i="4" l="1"/>
  <c r="G24" i="4"/>
  <c r="E24" i="4"/>
  <c r="A58" i="5"/>
  <c r="F24" i="4"/>
  <c r="D24" i="4"/>
  <c r="B24" i="4"/>
  <c r="G26" i="4"/>
  <c r="A60" i="5"/>
  <c r="F26" i="4"/>
  <c r="E26" i="4"/>
  <c r="D26" i="4"/>
  <c r="C26" i="4"/>
  <c r="B26" i="4"/>
  <c r="G20" i="4"/>
  <c r="C20" i="4"/>
  <c r="A54" i="5"/>
  <c r="F20" i="4"/>
  <c r="E20" i="4"/>
  <c r="D20" i="4"/>
  <c r="B20" i="4"/>
  <c r="B19" i="4"/>
  <c r="C19" i="4"/>
  <c r="D19" i="4"/>
  <c r="A53" i="5"/>
  <c r="G19" i="4"/>
  <c r="F19" i="4"/>
  <c r="E19" i="4"/>
  <c r="C42" i="4"/>
  <c r="B42" i="4"/>
  <c r="G42" i="4"/>
  <c r="A76" i="5"/>
  <c r="E42" i="4"/>
  <c r="F42" i="4"/>
  <c r="D42" i="4"/>
  <c r="D11" i="4"/>
  <c r="C11" i="4"/>
  <c r="A45" i="5"/>
  <c r="G11" i="4"/>
  <c r="F11" i="4"/>
  <c r="E11" i="4"/>
  <c r="B11" i="4"/>
  <c r="C36" i="4"/>
  <c r="E36" i="4"/>
  <c r="B36" i="4"/>
  <c r="A70" i="5"/>
  <c r="G36" i="4"/>
  <c r="F36" i="4"/>
  <c r="D36" i="4"/>
  <c r="G44" i="4"/>
  <c r="C44" i="4"/>
  <c r="A78" i="5"/>
  <c r="D44" i="4"/>
  <c r="B44" i="4"/>
  <c r="E44" i="4"/>
  <c r="F44" i="4"/>
  <c r="E10" i="4"/>
  <c r="G10" i="4"/>
  <c r="F10" i="4"/>
  <c r="A44" i="5"/>
  <c r="D10" i="4"/>
  <c r="C10" i="4"/>
  <c r="B10" i="4"/>
  <c r="D35" i="4"/>
  <c r="C35" i="4"/>
  <c r="F35" i="4"/>
  <c r="E35" i="4"/>
  <c r="A69" i="5"/>
  <c r="G35" i="4"/>
  <c r="B35" i="4"/>
  <c r="B15" i="4"/>
  <c r="G15" i="4"/>
  <c r="F15" i="4"/>
  <c r="A49" i="5"/>
  <c r="E15" i="4"/>
  <c r="D15" i="4"/>
  <c r="C15" i="4"/>
  <c r="G14" i="4"/>
  <c r="F14" i="4"/>
  <c r="B14" i="4"/>
  <c r="A48" i="5"/>
  <c r="C14" i="4"/>
  <c r="E14" i="4"/>
  <c r="D14" i="4"/>
  <c r="D41" i="4"/>
  <c r="F41" i="4"/>
  <c r="C41" i="4"/>
  <c r="A75" i="5"/>
  <c r="G41" i="4"/>
  <c r="B41" i="4"/>
  <c r="E41" i="4"/>
  <c r="B25" i="4"/>
  <c r="A59" i="5"/>
  <c r="F25" i="4"/>
  <c r="E25" i="4"/>
  <c r="D25" i="4"/>
  <c r="C25" i="4"/>
  <c r="G25" i="4"/>
  <c r="G40" i="4"/>
  <c r="E40" i="4"/>
  <c r="A74" i="5"/>
  <c r="D40" i="4"/>
  <c r="F40" i="4"/>
  <c r="C40" i="4"/>
  <c r="B40" i="4"/>
  <c r="D17" i="4"/>
  <c r="G17" i="4"/>
  <c r="B17" i="4"/>
  <c r="A51" i="5"/>
  <c r="F17" i="4"/>
  <c r="E17" i="4"/>
  <c r="C17" i="4"/>
  <c r="G16" i="4"/>
  <c r="F16" i="4"/>
  <c r="D16" i="4"/>
  <c r="C16" i="4"/>
  <c r="A50" i="5"/>
  <c r="E16" i="4"/>
  <c r="B16" i="4"/>
  <c r="A80" i="5"/>
  <c r="D46" i="4"/>
  <c r="C46" i="4"/>
  <c r="B46" i="4"/>
  <c r="G46" i="4"/>
  <c r="F46" i="4"/>
  <c r="E46" i="4"/>
  <c r="G7" i="4"/>
  <c r="B7" i="4"/>
  <c r="A41" i="5"/>
  <c r="F7" i="4"/>
  <c r="E7" i="4"/>
  <c r="C7" i="4"/>
  <c r="D7" i="4"/>
  <c r="F39" i="4"/>
  <c r="E39" i="4"/>
  <c r="D39" i="4"/>
  <c r="A73" i="5"/>
  <c r="C39" i="4"/>
  <c r="B39" i="4"/>
  <c r="G39" i="4"/>
  <c r="D13" i="4"/>
  <c r="E13" i="4"/>
  <c r="G13" i="4"/>
  <c r="F13" i="4"/>
  <c r="A47" i="5"/>
  <c r="C13" i="4"/>
  <c r="B13" i="4"/>
  <c r="E28" i="4"/>
  <c r="D28" i="4"/>
  <c r="G28" i="4"/>
  <c r="F28" i="4"/>
  <c r="B28" i="4"/>
  <c r="A62" i="5"/>
  <c r="C28" i="4"/>
  <c r="A77" i="5"/>
  <c r="F43" i="4"/>
  <c r="E43" i="4"/>
  <c r="C43" i="4"/>
  <c r="B43" i="4"/>
  <c r="G43" i="4"/>
  <c r="D43" i="4"/>
  <c r="C18" i="4"/>
  <c r="B18" i="4"/>
  <c r="A52" i="5"/>
  <c r="G18" i="4"/>
  <c r="F18" i="4"/>
  <c r="D18" i="4"/>
  <c r="E18" i="4"/>
  <c r="G31" i="4"/>
  <c r="B31" i="4"/>
  <c r="D31" i="4"/>
  <c r="C31" i="4"/>
  <c r="F31" i="4"/>
  <c r="E31" i="4"/>
  <c r="A65" i="5"/>
  <c r="F23" i="4"/>
  <c r="B23" i="4"/>
  <c r="A57" i="5"/>
  <c r="G23" i="4"/>
  <c r="E23" i="4"/>
  <c r="D23" i="4"/>
  <c r="C23" i="4"/>
  <c r="F29" i="4"/>
  <c r="A63" i="5"/>
  <c r="E29" i="4"/>
  <c r="D29" i="4"/>
  <c r="C29" i="4"/>
  <c r="B29" i="4"/>
  <c r="G29" i="4"/>
  <c r="B9" i="4"/>
  <c r="C9" i="4"/>
  <c r="A43" i="5"/>
  <c r="G9" i="4"/>
  <c r="F9" i="4"/>
  <c r="D9" i="4"/>
  <c r="E9" i="4"/>
  <c r="D37" i="4"/>
  <c r="A71" i="5"/>
  <c r="E37" i="4"/>
  <c r="G37" i="4"/>
  <c r="F37" i="4"/>
  <c r="C37" i="4"/>
  <c r="B37" i="4"/>
  <c r="A67" i="5"/>
  <c r="E33" i="4"/>
  <c r="D33" i="4"/>
  <c r="C33" i="4"/>
  <c r="B33" i="4"/>
  <c r="G33" i="4"/>
  <c r="F33" i="4"/>
  <c r="E12" i="4"/>
  <c r="F12" i="4"/>
  <c r="C12" i="4"/>
  <c r="B12" i="4"/>
  <c r="G12" i="4"/>
  <c r="D12" i="4"/>
  <c r="A46" i="5"/>
  <c r="E22" i="4"/>
  <c r="G22" i="4"/>
  <c r="B22" i="4"/>
  <c r="A56" i="5"/>
  <c r="F22" i="4"/>
  <c r="D22" i="4"/>
  <c r="C22" i="4"/>
  <c r="F21" i="4"/>
  <c r="E21" i="4"/>
  <c r="D21" i="4"/>
  <c r="C21" i="4"/>
  <c r="B21" i="4"/>
  <c r="G21" i="4"/>
  <c r="A55" i="5"/>
  <c r="E34" i="4"/>
  <c r="G34" i="4"/>
  <c r="A68" i="5"/>
  <c r="F34" i="4"/>
  <c r="C34" i="4"/>
  <c r="B34" i="4"/>
  <c r="D34" i="4"/>
  <c r="G38" i="4"/>
  <c r="F38" i="4"/>
  <c r="D38" i="4"/>
  <c r="C38" i="4"/>
  <c r="B38" i="4"/>
  <c r="A72" i="5"/>
  <c r="E38" i="4"/>
  <c r="A42" i="5"/>
  <c r="C8" i="4"/>
  <c r="G8" i="4"/>
  <c r="D8" i="4"/>
  <c r="B8" i="4"/>
  <c r="F8" i="4"/>
  <c r="E8" i="4"/>
  <c r="G32" i="4"/>
  <c r="A66" i="5"/>
  <c r="F32" i="4"/>
  <c r="E32" i="4"/>
  <c r="D32" i="4"/>
  <c r="C32" i="4"/>
  <c r="B32" i="4"/>
  <c r="F45" i="4"/>
  <c r="E45" i="4"/>
  <c r="B45" i="4"/>
  <c r="A79" i="5"/>
  <c r="D45" i="4"/>
  <c r="C45" i="4"/>
  <c r="G45" i="4"/>
  <c r="F27" i="4"/>
  <c r="B27" i="4"/>
  <c r="C27" i="4"/>
  <c r="A61" i="5"/>
  <c r="D27" i="4"/>
  <c r="G27" i="4"/>
  <c r="E27" i="4"/>
  <c r="E30" i="4"/>
  <c r="A64" i="5"/>
  <c r="C30" i="4"/>
  <c r="D30" i="4"/>
  <c r="G30" i="4"/>
  <c r="F30" i="4"/>
  <c r="B30" i="4"/>
  <c r="D80" i="5" l="1"/>
  <c r="C80" i="5"/>
  <c r="B80" i="5"/>
  <c r="D70" i="5"/>
  <c r="C70" i="5"/>
  <c r="B70" i="5"/>
  <c r="B65" i="5"/>
  <c r="D65" i="5"/>
  <c r="C65" i="5"/>
  <c r="D46" i="5"/>
  <c r="C46" i="5"/>
  <c r="B46" i="5"/>
  <c r="D47" i="5"/>
  <c r="C47" i="5"/>
  <c r="B47" i="5"/>
  <c r="D50" i="5"/>
  <c r="C50" i="5"/>
  <c r="B50" i="5"/>
  <c r="B59" i="5"/>
  <c r="D59" i="5"/>
  <c r="C59" i="5"/>
  <c r="B53" i="5"/>
  <c r="C53" i="5"/>
  <c r="D53" i="5"/>
  <c r="B69" i="5"/>
  <c r="C69" i="5"/>
  <c r="D69" i="5"/>
  <c r="B43" i="5"/>
  <c r="D43" i="5"/>
  <c r="C43" i="5"/>
  <c r="B79" i="5"/>
  <c r="D79" i="5"/>
  <c r="C79" i="5"/>
  <c r="B52" i="5"/>
  <c r="D52" i="5"/>
  <c r="C52" i="5"/>
  <c r="B42" i="5"/>
  <c r="C42" i="5"/>
  <c r="D42" i="5"/>
  <c r="B54" i="5"/>
  <c r="D54" i="5"/>
  <c r="C54" i="5"/>
  <c r="B71" i="5"/>
  <c r="D71" i="5"/>
  <c r="C71" i="5"/>
  <c r="B73" i="5"/>
  <c r="C73" i="5"/>
  <c r="D73" i="5"/>
  <c r="D63" i="5"/>
  <c r="C63" i="5"/>
  <c r="B63" i="5"/>
  <c r="B75" i="5"/>
  <c r="C75" i="5"/>
  <c r="D75" i="5"/>
  <c r="D68" i="5"/>
  <c r="C68" i="5"/>
  <c r="B68" i="5"/>
  <c r="B55" i="5"/>
  <c r="D55" i="5"/>
  <c r="C55" i="5"/>
  <c r="B66" i="5"/>
  <c r="D66" i="5"/>
  <c r="C66" i="5"/>
  <c r="D45" i="5"/>
  <c r="C45" i="5"/>
  <c r="B45" i="5"/>
  <c r="B61" i="5"/>
  <c r="D61" i="5"/>
  <c r="C61" i="5"/>
  <c r="D51" i="5"/>
  <c r="C51" i="5"/>
  <c r="B51" i="5"/>
  <c r="B67" i="5"/>
  <c r="C67" i="5"/>
  <c r="D67" i="5"/>
  <c r="D44" i="5"/>
  <c r="C44" i="5"/>
  <c r="B44" i="5"/>
  <c r="B64" i="5"/>
  <c r="D64" i="5"/>
  <c r="C64" i="5"/>
  <c r="C77" i="5"/>
  <c r="B77" i="5"/>
  <c r="D77" i="5"/>
  <c r="B57" i="5"/>
  <c r="D57" i="5"/>
  <c r="C57" i="5"/>
  <c r="D62" i="5"/>
  <c r="C62" i="5"/>
  <c r="B62" i="5"/>
  <c r="D41" i="5"/>
  <c r="B41" i="5"/>
  <c r="C41" i="5"/>
  <c r="B48" i="5"/>
  <c r="D48" i="5"/>
  <c r="C48" i="5"/>
  <c r="B60" i="5"/>
  <c r="C60" i="5"/>
  <c r="D60" i="5"/>
  <c r="D76" i="5"/>
  <c r="C76" i="5"/>
  <c r="B76" i="5"/>
  <c r="B78" i="5"/>
  <c r="D78" i="5"/>
  <c r="C78" i="5"/>
  <c r="D58" i="5"/>
  <c r="C58" i="5"/>
  <c r="B58" i="5"/>
  <c r="D56" i="5"/>
  <c r="C56" i="5"/>
  <c r="B56" i="5"/>
  <c r="D74" i="5"/>
  <c r="C74" i="5"/>
  <c r="B74" i="5"/>
  <c r="B72" i="5"/>
  <c r="D72" i="5"/>
  <c r="C72" i="5"/>
  <c r="B49" i="5"/>
  <c r="D49" i="5"/>
  <c r="C49" i="5"/>
</calcChain>
</file>

<file path=xl/sharedStrings.xml><?xml version="1.0" encoding="utf-8"?>
<sst xmlns="http://schemas.openxmlformats.org/spreadsheetml/2006/main" count="314" uniqueCount="52">
  <si>
    <t>Mortgage Repayment Planner</t>
  </si>
  <si>
    <t>Required repayment</t>
  </si>
  <si>
    <t>Total repaid</t>
  </si>
  <si>
    <t>Total interest</t>
  </si>
  <si>
    <t>Principal repaid</t>
  </si>
  <si>
    <t>Remaining balance</t>
  </si>
  <si>
    <t>Payoff date</t>
  </si>
  <si>
    <t>Period count</t>
  </si>
  <si>
    <t>Change the green input cells on Loan Inputs. This is a constant-rate principal-and-interest estimate, not a lender quote. Final payments are capped at the remaining balance plus interest.</t>
  </si>
  <si>
    <t>Reviewed 17 October 2026. AUD. No fees, taxes, rate changes or missed repayments. General information, not personal financial advice. No macros, external workbook links or tracking.</t>
  </si>
  <si>
    <t>Loan Inputs</t>
  </si>
  <si>
    <t>Loan balance (AUD)</t>
  </si>
  <si>
    <t>Editable input. From $0 to $100,000,000.</t>
  </si>
  <si>
    <t>Annual interest rate</t>
  </si>
  <si>
    <t>Enter a percentage, for example 6.39%. Constant illustrative rate; not a current lender offer.</t>
  </si>
  <si>
    <t>Term (whole years)</t>
  </si>
  <si>
    <t>1–40 whole years. Principal and interest only.</t>
  </si>
  <si>
    <t>Projection start date</t>
  </si>
  <si>
    <t>First repayment is one period after this date. Dates are estimates.</t>
  </si>
  <si>
    <t>Repayment frequency</t>
  </si>
  <si>
    <t>monthly</t>
  </si>
  <si>
    <t>True periodic rate: annual rate / 12, 26 or 52. Not accelerated half-monthly payments.</t>
  </si>
  <si>
    <t>Inputs valid</t>
  </si>
  <si>
    <t>Periods per year</t>
  </si>
  <si>
    <t>Rate per period</t>
  </si>
  <si>
    <t>Scheduled periods</t>
  </si>
  <si>
    <t>Scheduled payment</t>
  </si>
  <si>
    <t>Green-shaded cells are editable. White cells contain protected formulas. Blank, text, negative or out-of-range required inputs make outputs unavailable. Zero loan and zero interest are supported.</t>
  </si>
  <si>
    <t>Model sources: Calcy mortgageEngine.ts / extraRepayments.ts / offset.ts (release 66c4b53). Overview: https://calcy.com.au/methodology</t>
  </si>
  <si>
    <t>Repayment Schedule</t>
  </si>
  <si>
    <t>Period</t>
  </si>
  <si>
    <t>Payment date</t>
  </si>
  <si>
    <t>Opening balance</t>
  </si>
  <si>
    <t>Payment</t>
  </si>
  <si>
    <t>Interest</t>
  </si>
  <si>
    <t>Principal</t>
  </si>
  <si>
    <t>Closing balance</t>
  </si>
  <si>
    <t>Extra paid</t>
  </si>
  <si>
    <t>Annual Summary</t>
  </si>
  <si>
    <t>Loan year</t>
  </si>
  <si>
    <t>Principal paid</t>
  </si>
  <si>
    <t>Interest paid</t>
  </si>
  <si>
    <t>Payments</t>
  </si>
  <si>
    <t>Charts</t>
  </si>
  <si>
    <t>Instructions</t>
  </si>
  <si>
    <t>1. Save a personal copy. Open the inputs sheet and change the green-shaded cells. Enter rates as percentages. Choose monthly, fortnightly or weekly.</t>
  </si>
  <si>
    <t>2. Read Dashboard and the detailed schedule. Formulas are protected against accidental edits; input cells remain editable. Workbook protection is not encryption.</t>
  </si>
  <si>
    <t>3. Rates remain constant. Interest accrues each model period before repayment. Values use full precision; display rounding does not change the calculation. Dates are estimates, not contractual deadlines.</t>
  </si>
  <si>
    <t>Frequency-specific payments use annual rate / periods per year and years × periods. Choosing fortnightly is not the accelerated strategy of paying half a monthly payment every two weeks.</t>
  </si>
  <si>
    <t>Print Dashboard or Charts for a compact overview. Print Entire Workbook for the schedules too. Annual Summary groups loan years, not financial years.</t>
  </si>
  <si>
    <t>Authoritative context: https://moneysmart.gov.au/home-loans/pay-off-your-mortgage-faster and https://moneysmart.gov.au/home-loans/mortgage-offset-accounts. Calculation methodology: https://calcy.com.au/methodology</t>
  </si>
  <si>
    <t>Check lender repayment limits, break costs, offset eligibility, fees and actual statements before acting. Keep a copy of your assumptions. Contact https://calcy.com.au/contact to report a calculation issue.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</si>
</sst>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;\(&quot;$&quot;#,##0.00\);&quot;$&quot;0.00"/>
    <numFmt numFmtId="165" formatCode="d\ mmm\ yyyy"/>
  </numFmts>
  <fonts count="7">
    <font>
      <sz val="11"/>
      <name val="Carlito"/>
    </font>
    <font>
      <sz val="10"/>
      <color rgb="FF17201B"/>
      <name val="Arial"/>
    </font>
    <font>
      <b/>
      <sz val="14"/>
      <color rgb="FFFFFFFF"/>
      <name val="Arial"/>
    </font>
    <font>
      <b/>
      <sz val="10"/>
      <color rgb="FF2D6A4F"/>
      <name val="Arial"/>
    </font>
    <font>
      <sz val="10"/>
      <color rgb="FF5F6D65"/>
      <name val="Arial"/>
    </font>
    <font>
      <b/>
      <sz val="10"/>
      <color rgb="FFFFFFFF"/>
      <name val="Arial"/>
    </font>
    <font>
      <b/>
      <sz val="12"/>
      <color rgb="FF2D6A4F"/>
      <name val="Arial"/>
    </font>
  </fonts>
  <fills count="4">
    <fill>
      <patternFill patternType="none"/>
    </fill>
    <fill>
      <patternFill patternType="gray125"/>
    </fill>
    <fill>
      <patternFill patternType="solid">
        <fgColor rgb="FF2D6A4F"/>
      </patternFill>
    </fill>
    <fill>
      <patternFill patternType="solid">
        <fgColor rgb="FFEAF4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0" fontId="5" fillId="2" borderId="0" xfId="0" applyNumberFormat="1" applyFont="1" applyFill="1" applyBorder="1" applyAlignment="1">
      <alignment vertical="center" wrapText="1"/>
    </xf>
    <xf numFmtId="165" fontId="1" fillId="0" borderId="0" xfId="0" applyNumberFormat="1" applyFont="1" applyFill="1" applyBorder="1" applyAlignment="1">
      <alignment vertical="center"/>
    </xf>
    <xf numFmtId="164" fontId="6" fillId="0" borderId="0" xfId="0" applyNumberFormat="1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vertical="center"/>
    </xf>
    <xf numFmtId="165" fontId="6" fillId="0" borderId="0" xfId="0" applyNumberFormat="1" applyFont="1" applyFill="1" applyBorder="1" applyAlignment="1">
      <alignment vertical="center"/>
    </xf>
    <xf numFmtId="164" fontId="3" fillId="3" borderId="0" xfId="0" applyNumberFormat="1" applyFont="1" applyFill="1" applyBorder="1" applyAlignment="1" applyProtection="1">
      <alignment vertical="center"/>
      <protection locked="0"/>
    </xf>
    <xf numFmtId="10" fontId="3" fillId="3" borderId="0" xfId="0" applyNumberFormat="1" applyFont="1" applyFill="1" applyBorder="1" applyAlignment="1" applyProtection="1">
      <alignment vertical="center"/>
      <protection locked="0"/>
    </xf>
    <xf numFmtId="0" fontId="3" fillId="3" borderId="0" xfId="0" applyNumberFormat="1" applyFont="1" applyFill="1" applyBorder="1" applyAlignment="1" applyProtection="1">
      <alignment vertical="center"/>
      <protection locked="0"/>
    </xf>
    <xf numFmtId="165" fontId="3" fillId="3" borderId="0" xfId="0" applyNumberFormat="1" applyFont="1" applyFill="1" applyBorder="1" applyAlignment="1" applyProtection="1">
      <alignment vertical="center"/>
      <protection locked="0"/>
    </xf>
    <xf numFmtId="0" fontId="2" fillId="2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 wrapText="1"/>
    </xf>
    <xf numFmtId="0" fontId="4" fillId="0" borderId="0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 sz="900">
                <a:latin typeface="Arial"/>
                <a:ea typeface="Arial"/>
                <a:cs typeface="Arial"/>
              </a:rPr>
              <a:t>Balance over time (AUD)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Closing balance</c:v>
          </c:tx>
          <c:spPr>
            <a:ln w="19050">
              <a:solidFill>
                <a:srgbClr val="2D6A4F"/>
              </a:solidFill>
              <a:prstDash val="solid"/>
            </a:ln>
          </c:spPr>
          <c:marker>
            <c:symbol val="none"/>
          </c:marker>
          <c:cat>
            <c:numRef>
              <c:f>[0]!ChartYears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[0]!ChartBalance</c:f>
              <c:numCache>
                <c:formatCode>General</c:formatCode>
                <c:ptCount val="30"/>
                <c:pt idx="0">
                  <c:v>642581.8400355241</c:v>
                </c:pt>
                <c:pt idx="1">
                  <c:v>634675.52737747633</c:v>
                </c:pt>
                <c:pt idx="2">
                  <c:v>626248.9390932984</c:v>
                </c:pt>
                <c:pt idx="3">
                  <c:v>617267.83839792351</c:v>
                </c:pt>
                <c:pt idx="4">
                  <c:v>607695.73555151839</c:v>
                </c:pt>
                <c:pt idx="5">
                  <c:v>597493.73960358941</c:v>
                </c:pt>
                <c:pt idx="6">
                  <c:v>586620.40038109606</c:v>
                </c:pt>
                <c:pt idx="7">
                  <c:v>575031.540078577</c:v>
                </c:pt>
                <c:pt idx="8">
                  <c:v>562680.07376605051</c:v>
                </c:pt>
                <c:pt idx="9">
                  <c:v>549515.81808541901</c:v>
                </c:pt>
                <c:pt idx="10">
                  <c:v>535485.28735812509</c:v>
                </c:pt>
                <c:pt idx="11">
                  <c:v>520531.47627565206</c:v>
                </c:pt>
                <c:pt idx="12">
                  <c:v>504593.62828995282</c:v>
                </c:pt>
                <c:pt idx="13">
                  <c:v>487606.98876279028</c:v>
                </c:pt>
                <c:pt idx="14">
                  <c:v>469502.54187104764</c:v>
                </c:pt>
                <c:pt idx="15">
                  <c:v>450206.73019906797</c:v>
                </c:pt>
                <c:pt idx="16">
                  <c:v>429641.15587874333</c:v>
                </c:pt>
                <c:pt idx="17">
                  <c:v>407722.26206309878</c:v>
                </c:pt>
                <c:pt idx="18">
                  <c:v>384360.99343921733</c:v>
                </c:pt>
                <c:pt idx="19">
                  <c:v>359462.43440118682</c:v>
                </c:pt>
                <c:pt idx="20">
                  <c:v>332925.42341298441</c:v>
                </c:pt>
                <c:pt idx="21">
                  <c:v>304642.14199447556</c:v>
                </c:pt>
                <c:pt idx="22">
                  <c:v>274497.67666059884</c:v>
                </c:pt>
                <c:pt idx="23">
                  <c:v>242369.55203391978</c:v>
                </c:pt>
                <c:pt idx="24">
                  <c:v>208127.23323361229</c:v>
                </c:pt>
                <c:pt idx="25">
                  <c:v>171631.59551910273</c:v>
                </c:pt>
                <c:pt idx="26">
                  <c:v>132734.35903356507</c:v>
                </c:pt>
                <c:pt idx="27">
                  <c:v>91277.486350660227</c:v>
                </c:pt>
                <c:pt idx="28">
                  <c:v>47092.540376783734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6B-4B7C-BB7A-1234FE6854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\$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t"/>
      <c:overlay val="0"/>
      <c:txPr>
        <a:bodyPr anchorCtr="1"/>
        <a:lstStyle/>
        <a:p>
          <a:pPr>
            <a:defRPr sz="750"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 sz="900">
                <a:latin typeface="Arial"/>
                <a:ea typeface="Arial"/>
                <a:cs typeface="Arial"/>
              </a:rPr>
              <a:t>Annual principal and interest (AUD)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Principal paid</c:v>
          </c:tx>
          <c:spPr>
            <a:ln w="19050">
              <a:solidFill>
                <a:srgbClr val="2D6A4F"/>
              </a:solidFill>
              <a:prstDash val="solid"/>
            </a:ln>
          </c:spPr>
          <c:marker>
            <c:symbol val="none"/>
          </c:marker>
          <c:cat>
            <c:numRef>
              <c:f>[0]!ChartYears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[0]!ChartPrincipal</c:f>
              <c:numCache>
                <c:formatCode>General</c:formatCode>
                <c:ptCount val="30"/>
                <c:pt idx="0">
                  <c:v>7418.1599644757225</c:v>
                </c:pt>
                <c:pt idx="1">
                  <c:v>7906.3126580479693</c:v>
                </c:pt>
                <c:pt idx="2">
                  <c:v>8426.5882841780131</c:v>
                </c:pt>
                <c:pt idx="3">
                  <c:v>8981.1006953749275</c:v>
                </c:pt>
                <c:pt idx="4">
                  <c:v>9572.1028464050742</c:v>
                </c:pt>
                <c:pt idx="5">
                  <c:v>10201.995947928874</c:v>
                </c:pt>
                <c:pt idx="6">
                  <c:v>10873.339222493407</c:v>
                </c:pt>
                <c:pt idx="7">
                  <c:v>11588.860302519082</c:v>
                </c:pt>
                <c:pt idx="8">
                  <c:v>12351.466312526714</c:v>
                </c:pt>
                <c:pt idx="9">
                  <c:v>13164.255680631539</c:v>
                </c:pt>
                <c:pt idx="10">
                  <c:v>14030.530727293768</c:v>
                </c:pt>
                <c:pt idx="11">
                  <c:v>14953.811082472897</c:v>
                </c:pt>
                <c:pt idx="12">
                  <c:v>15937.847985699162</c:v>
                </c:pt>
                <c:pt idx="13">
                  <c:v>16986.639527162501</c:v>
                </c:pt>
                <c:pt idx="14">
                  <c:v>18104.446891742733</c:v>
                </c:pt>
                <c:pt idx="15">
                  <c:v>19295.811671979649</c:v>
                </c:pt>
                <c:pt idx="16">
                  <c:v>20565.574320324678</c:v>
                </c:pt>
                <c:pt idx="17">
                  <c:v>21918.893815644598</c:v>
                </c:pt>
                <c:pt idx="18">
                  <c:v>23361.268623881453</c:v>
                </c:pt>
                <c:pt idx="19">
                  <c:v>24898.559038030486</c:v>
                </c:pt>
                <c:pt idx="20">
                  <c:v>26537.010988202372</c:v>
                </c:pt>
                <c:pt idx="21">
                  <c:v>28283.281418508857</c:v>
                </c:pt>
                <c:pt idx="22">
                  <c:v>30144.465333876593</c:v>
                </c:pt>
                <c:pt idx="23">
                  <c:v>32128.124626679019</c:v>
                </c:pt>
                <c:pt idx="24">
                  <c:v>34242.318800307461</c:v>
                </c:pt>
                <c:pt idx="25">
                  <c:v>36495.637714509539</c:v>
                </c:pt>
                <c:pt idx="26">
                  <c:v>38897.236485537644</c:v>
                </c:pt>
                <c:pt idx="27">
                  <c:v>41456.87268290481</c:v>
                </c:pt>
                <c:pt idx="28">
                  <c:v>44184.945973876522</c:v>
                </c:pt>
                <c:pt idx="29">
                  <c:v>47092.540376771889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C2-4E1D-9E3F-F1EA293045FC}"/>
            </c:ext>
          </c:extLst>
        </c:ser>
        <c:ser>
          <c:idx val="1"/>
          <c:order val="1"/>
          <c:tx>
            <c:v>Interest paid</c:v>
          </c:tx>
          <c:spPr>
            <a:ln w="19050">
              <a:solidFill>
                <a:srgbClr val="AC915B"/>
              </a:solidFill>
              <a:prstDash val="dash"/>
            </a:ln>
          </c:spPr>
          <c:marker>
            <c:symbol val="none"/>
          </c:marker>
          <c:cat>
            <c:numRef>
              <c:f>[0]!ChartYears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[0]!ChartInterest</c:f>
              <c:numCache>
                <c:formatCode>General</c:formatCode>
                <c:ptCount val="30"/>
                <c:pt idx="0">
                  <c:v>41320.240449212521</c:v>
                </c:pt>
                <c:pt idx="1">
                  <c:v>40832.087755640277</c:v>
                </c:pt>
                <c:pt idx="2">
                  <c:v>40311.812129510232</c:v>
                </c:pt>
                <c:pt idx="3">
                  <c:v>39757.299718313312</c:v>
                </c:pt>
                <c:pt idx="4">
                  <c:v>39166.29756728316</c:v>
                </c:pt>
                <c:pt idx="5">
                  <c:v>38536.404465759362</c:v>
                </c:pt>
                <c:pt idx="6">
                  <c:v>37865.061191194836</c:v>
                </c:pt>
                <c:pt idx="7">
                  <c:v>37149.540111169161</c:v>
                </c:pt>
                <c:pt idx="8">
                  <c:v>36386.934101161518</c:v>
                </c:pt>
                <c:pt idx="9">
                  <c:v>35574.144733056703</c:v>
                </c:pt>
                <c:pt idx="10">
                  <c:v>34707.869686394472</c:v>
                </c:pt>
                <c:pt idx="11">
                  <c:v>33784.589331215342</c:v>
                </c:pt>
                <c:pt idx="12">
                  <c:v>32800.552427989081</c:v>
                </c:pt>
                <c:pt idx="13">
                  <c:v>31751.760886525743</c:v>
                </c:pt>
                <c:pt idx="14">
                  <c:v>30633.953521945507</c:v>
                </c:pt>
                <c:pt idx="15">
                  <c:v>29442.588741708583</c:v>
                </c:pt>
                <c:pt idx="16">
                  <c:v>28172.826093363565</c:v>
                </c:pt>
                <c:pt idx="17">
                  <c:v>26819.506598043641</c:v>
                </c:pt>
                <c:pt idx="18">
                  <c:v>25377.131789806786</c:v>
                </c:pt>
                <c:pt idx="19">
                  <c:v>23839.841375657754</c:v>
                </c:pt>
                <c:pt idx="20">
                  <c:v>22201.389425485868</c:v>
                </c:pt>
                <c:pt idx="21">
                  <c:v>20455.118995179382</c:v>
                </c:pt>
                <c:pt idx="22">
                  <c:v>18593.935079811647</c:v>
                </c:pt>
                <c:pt idx="23">
                  <c:v>16610.275787009221</c:v>
                </c:pt>
                <c:pt idx="24">
                  <c:v>14496.081613380784</c:v>
                </c:pt>
                <c:pt idx="25">
                  <c:v>12242.762699178702</c:v>
                </c:pt>
                <c:pt idx="26">
                  <c:v>9841.1639281505941</c:v>
                </c:pt>
                <c:pt idx="27">
                  <c:v>7281.5277307834285</c:v>
                </c:pt>
                <c:pt idx="28">
                  <c:v>4553.4544398117278</c:v>
                </c:pt>
                <c:pt idx="29">
                  <c:v>1645.8600369163578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BC2-4E1D-9E3F-F1EA293045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\$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t"/>
      <c:overlay val="0"/>
      <c:txPr>
        <a:bodyPr anchorCtr="1"/>
        <a:lstStyle/>
        <a:p>
          <a:pPr>
            <a:defRPr sz="750"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8</xdr:col>
      <xdr:colOff>0</xdr:colOff>
      <xdr:row>18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20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D6A4F"/>
    <pageSetUpPr fitToPage="1"/>
  </sheetPr>
  <dimension ref="A1:H90"/>
  <sheetViews>
    <sheetView showGridLines="0" tabSelected="1" zoomScaleNormal="100" workbookViewId="0">
      <selection sqref="A1:H2"/>
    </sheetView>
  </sheetViews>
  <sheetFormatPr defaultRowHeight="14.15"/>
  <cols>
    <col min="1" max="1" width="32" customWidth="1"/>
    <col min="2" max="2" width="24" customWidth="1"/>
    <col min="3" max="8" width="16" customWidth="1"/>
  </cols>
  <sheetData>
    <row r="1" spans="1:8" ht="22" customHeight="1">
      <c r="A1" s="12" t="s">
        <v>0</v>
      </c>
      <c r="B1" s="12" t="s">
        <v>0</v>
      </c>
      <c r="C1" s="12" t="s">
        <v>0</v>
      </c>
      <c r="D1" s="12" t="s">
        <v>0</v>
      </c>
      <c r="E1" s="12" t="s">
        <v>0</v>
      </c>
      <c r="F1" s="12" t="s">
        <v>0</v>
      </c>
      <c r="G1" s="12" t="s">
        <v>0</v>
      </c>
      <c r="H1" s="12" t="s">
        <v>0</v>
      </c>
    </row>
    <row r="2" spans="1:8" ht="22" customHeight="1">
      <c r="A2" s="12" t="s">
        <v>0</v>
      </c>
      <c r="B2" s="12" t="s">
        <v>0</v>
      </c>
      <c r="C2" s="12" t="s">
        <v>0</v>
      </c>
      <c r="D2" s="12" t="s">
        <v>0</v>
      </c>
      <c r="E2" s="12" t="s">
        <v>0</v>
      </c>
      <c r="F2" s="12" t="s">
        <v>0</v>
      </c>
      <c r="G2" s="12" t="s">
        <v>0</v>
      </c>
      <c r="H2" s="12" t="s">
        <v>0</v>
      </c>
    </row>
    <row r="3" spans="1:8" ht="22" customHeight="1">
      <c r="A3" s="1"/>
      <c r="B3" s="1"/>
      <c r="C3" s="1"/>
      <c r="D3" s="1"/>
      <c r="E3" s="1"/>
      <c r="F3" s="1"/>
      <c r="G3" s="1"/>
      <c r="H3" s="1"/>
    </row>
    <row r="4" spans="1:8" ht="22" customHeight="1">
      <c r="A4" s="13" t="str">
        <f>IF('Loan Inputs'!$B$12,"Illustrative constant-rate projection","Enter valid inputs on Loan Inputs; outputs are unavailable.")</f>
        <v>Illustrative constant-rate projection</v>
      </c>
      <c r="B4" s="13"/>
      <c r="C4" s="13"/>
      <c r="D4" s="13"/>
      <c r="E4" s="13"/>
      <c r="F4" s="13"/>
      <c r="G4" s="13"/>
      <c r="H4" s="13"/>
    </row>
    <row r="5" spans="1:8" ht="22" customHeight="1">
      <c r="A5" s="13"/>
      <c r="B5" s="13"/>
      <c r="C5" s="13"/>
      <c r="D5" s="13"/>
      <c r="E5" s="13"/>
      <c r="F5" s="13"/>
      <c r="G5" s="13"/>
      <c r="H5" s="13"/>
    </row>
    <row r="6" spans="1:8" ht="22" customHeight="1">
      <c r="A6" s="1"/>
      <c r="B6" s="1"/>
      <c r="C6" s="1"/>
      <c r="D6" s="1"/>
      <c r="E6" s="1"/>
      <c r="F6" s="1"/>
      <c r="G6" s="1"/>
      <c r="H6" s="1"/>
    </row>
    <row r="7" spans="1:8" ht="28" customHeight="1">
      <c r="A7" s="1" t="s">
        <v>1</v>
      </c>
      <c r="B7" s="5">
        <f>IF('Loan Inputs'!$B$12,'Loan Inputs'!$B$17,"")</f>
        <v>4061.5333678073534</v>
      </c>
      <c r="C7" s="1"/>
      <c r="D7" s="1"/>
      <c r="E7" s="1"/>
      <c r="F7" s="1"/>
      <c r="G7" s="1"/>
      <c r="H7" s="1"/>
    </row>
    <row r="8" spans="1:8" ht="28" customHeight="1">
      <c r="A8" s="1" t="s">
        <v>2</v>
      </c>
      <c r="B8" s="5">
        <f>IF('Loan Inputs'!$B$12,SUM('Repayment Schedule'!D7:D2086),"")</f>
        <v>1462152.0124106442</v>
      </c>
      <c r="C8" s="1"/>
      <c r="D8" s="1"/>
      <c r="E8" s="1"/>
      <c r="F8" s="1"/>
      <c r="G8" s="1"/>
      <c r="H8" s="1"/>
    </row>
    <row r="9" spans="1:8" ht="28" customHeight="1">
      <c r="A9" s="1" t="s">
        <v>3</v>
      </c>
      <c r="B9" s="5">
        <f>IF('Loan Inputs'!$B$12,SUM('Repayment Schedule'!E7:E2086),"")</f>
        <v>812152.01241065946</v>
      </c>
      <c r="C9" s="1"/>
      <c r="D9" s="1"/>
      <c r="E9" s="1"/>
      <c r="F9" s="1"/>
      <c r="G9" s="1"/>
      <c r="H9" s="1"/>
    </row>
    <row r="10" spans="1:8" ht="28" customHeight="1">
      <c r="A10" s="1" t="s">
        <v>4</v>
      </c>
      <c r="B10" s="5">
        <f>IF('Loan Inputs'!$B$12,SUM('Repayment Schedule'!F7:F2086),"")</f>
        <v>649999.99999998824</v>
      </c>
      <c r="C10" s="1"/>
      <c r="D10" s="1"/>
      <c r="E10" s="1"/>
      <c r="F10" s="1"/>
      <c r="G10" s="1"/>
      <c r="H10" s="1"/>
    </row>
    <row r="11" spans="1:8" ht="28" customHeight="1">
      <c r="A11" s="1" t="s">
        <v>5</v>
      </c>
      <c r="B11" s="5">
        <f>IF('Loan Inputs'!$B$12,IF(B13=0,0,INDEX('Repayment Schedule'!G7:G2086,B13)),"")</f>
        <v>0</v>
      </c>
      <c r="C11" s="1"/>
      <c r="D11" s="1"/>
      <c r="E11" s="1"/>
      <c r="F11" s="1"/>
      <c r="G11" s="1"/>
      <c r="H11" s="1"/>
    </row>
    <row r="12" spans="1:8" ht="28" customHeight="1">
      <c r="A12" s="1" t="s">
        <v>6</v>
      </c>
      <c r="B12" s="7">
        <f>IF('Loan Inputs'!$B$12,IF(B13=0,'Loan Inputs'!$B$8,INDEX('Repayment Schedule'!B7:B2086,B13)),"")</f>
        <v>57285</v>
      </c>
      <c r="C12" s="1"/>
      <c r="D12" s="1"/>
      <c r="E12" s="1"/>
      <c r="F12" s="1"/>
      <c r="G12" s="1"/>
      <c r="H12" s="1"/>
    </row>
    <row r="13" spans="1:8" ht="28" customHeight="1">
      <c r="A13" s="1" t="s">
        <v>7</v>
      </c>
      <c r="B13" s="6">
        <f>IF('Loan Inputs'!$B$12,COUNT('Repayment Schedule'!A7:A2086),"")</f>
        <v>360</v>
      </c>
      <c r="C13" s="1"/>
      <c r="D13" s="1"/>
      <c r="E13" s="1"/>
      <c r="F13" s="1"/>
      <c r="G13" s="1"/>
      <c r="H13" s="1"/>
    </row>
    <row r="14" spans="1:8" ht="28" customHeight="1">
      <c r="A14" s="1"/>
      <c r="B14" s="1"/>
      <c r="C14" s="1"/>
      <c r="D14" s="1"/>
      <c r="E14" s="1"/>
      <c r="F14" s="1"/>
      <c r="G14" s="1"/>
      <c r="H14" s="1"/>
    </row>
    <row r="15" spans="1:8" ht="28" customHeight="1">
      <c r="A15" s="1"/>
      <c r="B15" s="1"/>
      <c r="C15" s="1"/>
      <c r="D15" s="1"/>
      <c r="E15" s="1"/>
      <c r="F15" s="1"/>
      <c r="G15" s="1"/>
      <c r="H15" s="1"/>
    </row>
    <row r="16" spans="1:8" ht="28" customHeight="1">
      <c r="A16" s="1"/>
      <c r="B16" s="1"/>
      <c r="C16" s="1"/>
      <c r="D16" s="1"/>
      <c r="E16" s="1"/>
      <c r="F16" s="1"/>
      <c r="G16" s="1"/>
      <c r="H16" s="1"/>
    </row>
    <row r="17" spans="1:8" ht="28" customHeight="1">
      <c r="A17" s="1"/>
      <c r="B17" s="1"/>
      <c r="C17" s="1"/>
      <c r="D17" s="1"/>
      <c r="E17" s="1"/>
      <c r="F17" s="1"/>
      <c r="G17" s="1"/>
      <c r="H17" s="1"/>
    </row>
    <row r="18" spans="1:8" ht="28" customHeight="1">
      <c r="A18" s="1"/>
      <c r="B18" s="1"/>
      <c r="C18" s="1"/>
      <c r="D18" s="1"/>
      <c r="E18" s="1"/>
      <c r="F18" s="1"/>
      <c r="G18" s="1"/>
      <c r="H18" s="1"/>
    </row>
    <row r="19" spans="1:8" ht="22" customHeight="1">
      <c r="A19" s="1"/>
      <c r="B19" s="1"/>
      <c r="C19" s="1"/>
      <c r="D19" s="1"/>
      <c r="E19" s="1"/>
      <c r="F19" s="1"/>
      <c r="G19" s="1"/>
      <c r="H19" s="1"/>
    </row>
    <row r="20" spans="1:8" ht="22" customHeight="1">
      <c r="A20" s="1"/>
      <c r="B20" s="1"/>
      <c r="C20" s="1"/>
      <c r="D20" s="1"/>
      <c r="E20" s="1"/>
      <c r="F20" s="1"/>
      <c r="G20" s="1"/>
      <c r="H20" s="1"/>
    </row>
    <row r="21" spans="1:8" ht="24" customHeight="1">
      <c r="A21" s="14" t="s">
        <v>8</v>
      </c>
      <c r="B21" s="14" t="s">
        <v>8</v>
      </c>
      <c r="C21" s="14" t="s">
        <v>8</v>
      </c>
      <c r="D21" s="14" t="s">
        <v>8</v>
      </c>
      <c r="E21" s="14" t="s">
        <v>8</v>
      </c>
      <c r="F21" s="14" t="s">
        <v>8</v>
      </c>
      <c r="G21" s="14" t="s">
        <v>8</v>
      </c>
      <c r="H21" s="14" t="s">
        <v>8</v>
      </c>
    </row>
    <row r="22" spans="1:8" ht="24" customHeight="1">
      <c r="A22" s="14" t="s">
        <v>8</v>
      </c>
      <c r="B22" s="14" t="s">
        <v>8</v>
      </c>
      <c r="C22" s="14" t="s">
        <v>8</v>
      </c>
      <c r="D22" s="14" t="s">
        <v>8</v>
      </c>
      <c r="E22" s="14" t="s">
        <v>8</v>
      </c>
      <c r="F22" s="14" t="s">
        <v>8</v>
      </c>
      <c r="G22" s="14" t="s">
        <v>8</v>
      </c>
      <c r="H22" s="14" t="s">
        <v>8</v>
      </c>
    </row>
    <row r="23" spans="1:8" ht="22" customHeight="1">
      <c r="A23" s="1"/>
      <c r="B23" s="1"/>
      <c r="C23" s="1"/>
      <c r="D23" s="1"/>
      <c r="E23" s="1"/>
      <c r="F23" s="1"/>
      <c r="G23" s="1"/>
      <c r="H23" s="1"/>
    </row>
    <row r="24" spans="1:8" ht="22" customHeight="1">
      <c r="A24" s="1"/>
      <c r="B24" s="1"/>
      <c r="C24" s="1"/>
      <c r="D24" s="1"/>
      <c r="E24" s="1"/>
      <c r="F24" s="1"/>
      <c r="G24" s="1"/>
      <c r="H24" s="1"/>
    </row>
    <row r="25" spans="1:8" ht="24" customHeight="1">
      <c r="A25" s="14" t="s">
        <v>9</v>
      </c>
      <c r="B25" s="14" t="s">
        <v>9</v>
      </c>
      <c r="C25" s="14" t="s">
        <v>9</v>
      </c>
      <c r="D25" s="14" t="s">
        <v>9</v>
      </c>
      <c r="E25" s="14" t="s">
        <v>9</v>
      </c>
      <c r="F25" s="14" t="s">
        <v>9</v>
      </c>
      <c r="G25" s="14" t="s">
        <v>9</v>
      </c>
      <c r="H25" s="14" t="s">
        <v>9</v>
      </c>
    </row>
    <row r="26" spans="1:8" ht="24" customHeight="1">
      <c r="A26" s="14" t="s">
        <v>9</v>
      </c>
      <c r="B26" s="14" t="s">
        <v>9</v>
      </c>
      <c r="C26" s="14" t="s">
        <v>9</v>
      </c>
      <c r="D26" s="14" t="s">
        <v>9</v>
      </c>
      <c r="E26" s="14" t="s">
        <v>9</v>
      </c>
      <c r="F26" s="14" t="s">
        <v>9</v>
      </c>
      <c r="G26" s="14" t="s">
        <v>9</v>
      </c>
      <c r="H26" s="14" t="s">
        <v>9</v>
      </c>
    </row>
    <row r="27" spans="1:8" ht="22" customHeight="1">
      <c r="A27" s="1"/>
      <c r="B27" s="1"/>
      <c r="C27" s="1"/>
      <c r="D27" s="1"/>
      <c r="E27" s="1"/>
      <c r="F27" s="1"/>
      <c r="G27" s="1"/>
      <c r="H27" s="1"/>
    </row>
    <row r="28" spans="1:8" ht="22" customHeight="1">
      <c r="A28" s="1"/>
      <c r="B28" s="1"/>
      <c r="C28" s="1"/>
      <c r="D28" s="1"/>
      <c r="E28" s="1"/>
      <c r="F28" s="1"/>
      <c r="G28" s="1"/>
      <c r="H28" s="1"/>
    </row>
    <row r="29" spans="1:8" ht="22" customHeight="1">
      <c r="A29" s="1"/>
      <c r="B29" s="1"/>
      <c r="C29" s="1"/>
      <c r="D29" s="1"/>
      <c r="E29" s="1"/>
      <c r="F29" s="1"/>
      <c r="G29" s="1"/>
      <c r="H29" s="1"/>
    </row>
    <row r="30" spans="1:8" ht="22" customHeight="1">
      <c r="A30" s="1"/>
      <c r="B30" s="1"/>
      <c r="C30" s="1"/>
      <c r="D30" s="1"/>
      <c r="E30" s="1"/>
      <c r="F30" s="1"/>
      <c r="G30" s="1"/>
      <c r="H30" s="1"/>
    </row>
    <row r="31" spans="1:8" ht="22" customHeight="1">
      <c r="A31" s="1"/>
      <c r="B31" s="1"/>
      <c r="C31" s="1"/>
      <c r="D31" s="1"/>
      <c r="E31" s="1"/>
      <c r="F31" s="1"/>
      <c r="G31" s="1"/>
      <c r="H31" s="1"/>
    </row>
    <row r="32" spans="1:8" ht="22" customHeight="1">
      <c r="A32" s="1"/>
      <c r="B32" s="1"/>
      <c r="C32" s="1"/>
      <c r="D32" s="1"/>
      <c r="E32" s="1"/>
      <c r="F32" s="1"/>
      <c r="G32" s="1"/>
      <c r="H32" s="1"/>
    </row>
    <row r="33" spans="1:8" ht="22" customHeight="1">
      <c r="A33" s="1"/>
      <c r="B33" s="1"/>
      <c r="C33" s="1"/>
      <c r="D33" s="1"/>
      <c r="E33" s="1"/>
      <c r="F33" s="1"/>
      <c r="G33" s="1"/>
      <c r="H33" s="1"/>
    </row>
    <row r="34" spans="1:8" ht="22" customHeight="1">
      <c r="A34" s="1"/>
      <c r="B34" s="1"/>
      <c r="C34" s="1"/>
      <c r="D34" s="1"/>
      <c r="E34" s="1"/>
      <c r="F34" s="1"/>
      <c r="G34" s="1"/>
      <c r="H34" s="1"/>
    </row>
    <row r="35" spans="1:8" ht="22" customHeight="1">
      <c r="A35" s="1"/>
      <c r="B35" s="1"/>
      <c r="C35" s="1"/>
      <c r="D35" s="1"/>
      <c r="E35" s="1"/>
      <c r="F35" s="1"/>
      <c r="G35" s="1"/>
      <c r="H35" s="1"/>
    </row>
    <row r="36" spans="1:8" ht="22" customHeight="1">
      <c r="A36" s="1"/>
      <c r="B36" s="1"/>
      <c r="C36" s="1"/>
      <c r="D36" s="1"/>
      <c r="E36" s="1"/>
      <c r="F36" s="1"/>
      <c r="G36" s="1"/>
      <c r="H36" s="1"/>
    </row>
    <row r="37" spans="1:8" ht="22" customHeight="1">
      <c r="A37" s="1"/>
      <c r="B37" s="1"/>
      <c r="C37" s="1"/>
      <c r="D37" s="1"/>
      <c r="E37" s="1"/>
      <c r="F37" s="1"/>
      <c r="G37" s="1"/>
      <c r="H37" s="1"/>
    </row>
    <row r="38" spans="1:8" ht="22" customHeight="1">
      <c r="A38" s="1"/>
      <c r="B38" s="1"/>
      <c r="C38" s="1"/>
      <c r="D38" s="1"/>
      <c r="E38" s="1"/>
      <c r="F38" s="1"/>
      <c r="G38" s="1"/>
      <c r="H38" s="1"/>
    </row>
    <row r="39" spans="1:8" ht="22" customHeight="1">
      <c r="A39" s="1"/>
      <c r="B39" s="1"/>
      <c r="C39" s="1"/>
      <c r="D39" s="1"/>
      <c r="E39" s="1"/>
      <c r="F39" s="1"/>
      <c r="G39" s="1"/>
      <c r="H39" s="1"/>
    </row>
    <row r="40" spans="1:8" ht="22" customHeight="1">
      <c r="A40" s="1"/>
      <c r="B40" s="1"/>
      <c r="C40" s="1"/>
      <c r="D40" s="1"/>
      <c r="E40" s="1"/>
      <c r="F40" s="1"/>
      <c r="G40" s="1"/>
      <c r="H40" s="1"/>
    </row>
    <row r="41" spans="1:8" ht="22" customHeight="1">
      <c r="A41" s="1"/>
      <c r="B41" s="1"/>
      <c r="C41" s="1"/>
      <c r="D41" s="1"/>
      <c r="E41" s="1"/>
      <c r="F41" s="1"/>
      <c r="G41" s="1"/>
      <c r="H41" s="1"/>
    </row>
    <row r="42" spans="1:8" ht="22" customHeight="1">
      <c r="A42" s="1"/>
      <c r="B42" s="1"/>
      <c r="C42" s="1"/>
      <c r="D42" s="1"/>
      <c r="E42" s="1"/>
      <c r="F42" s="1"/>
      <c r="G42" s="1"/>
      <c r="H42" s="1"/>
    </row>
    <row r="43" spans="1:8" ht="22" customHeight="1">
      <c r="A43" s="1"/>
      <c r="B43" s="1"/>
      <c r="C43" s="1"/>
      <c r="D43" s="1"/>
      <c r="E43" s="1"/>
      <c r="F43" s="1"/>
      <c r="G43" s="1"/>
      <c r="H43" s="1"/>
    </row>
    <row r="44" spans="1:8" ht="22" customHeight="1">
      <c r="A44" s="1"/>
      <c r="B44" s="1"/>
      <c r="C44" s="1"/>
      <c r="D44" s="1"/>
      <c r="E44" s="1"/>
      <c r="F44" s="1"/>
      <c r="G44" s="1"/>
      <c r="H44" s="1"/>
    </row>
    <row r="45" spans="1:8" ht="22" customHeight="1">
      <c r="A45" s="1"/>
      <c r="B45" s="1"/>
      <c r="C45" s="1"/>
      <c r="D45" s="1"/>
      <c r="E45" s="1"/>
      <c r="F45" s="1"/>
      <c r="G45" s="1"/>
      <c r="H45" s="1"/>
    </row>
    <row r="46" spans="1:8" ht="22" customHeight="1">
      <c r="A46" s="1"/>
      <c r="B46" s="1"/>
      <c r="C46" s="1"/>
      <c r="D46" s="1"/>
      <c r="E46" s="1"/>
      <c r="F46" s="1"/>
      <c r="G46" s="1"/>
      <c r="H46" s="1"/>
    </row>
    <row r="47" spans="1:8" ht="22" customHeight="1">
      <c r="A47" s="1"/>
      <c r="B47" s="1"/>
      <c r="C47" s="1"/>
      <c r="D47" s="1"/>
      <c r="E47" s="1"/>
      <c r="F47" s="1"/>
      <c r="G47" s="1"/>
      <c r="H47" s="1"/>
    </row>
    <row r="48" spans="1:8" ht="22" customHeight="1">
      <c r="A48" s="1"/>
      <c r="B48" s="1"/>
      <c r="C48" s="1"/>
      <c r="D48" s="1"/>
      <c r="E48" s="1"/>
      <c r="F48" s="1"/>
      <c r="G48" s="1"/>
      <c r="H48" s="1"/>
    </row>
    <row r="49" spans="1:8" ht="22" customHeight="1">
      <c r="A49" s="1"/>
      <c r="B49" s="1"/>
      <c r="C49" s="1"/>
      <c r="D49" s="1"/>
      <c r="E49" s="1"/>
      <c r="F49" s="1"/>
      <c r="G49" s="1"/>
      <c r="H49" s="1"/>
    </row>
    <row r="50" spans="1:8" ht="22" customHeight="1">
      <c r="A50" s="1"/>
      <c r="B50" s="1"/>
      <c r="C50" s="1"/>
      <c r="D50" s="1"/>
      <c r="E50" s="1"/>
      <c r="F50" s="1"/>
      <c r="G50" s="1"/>
      <c r="H50" s="1"/>
    </row>
    <row r="51" spans="1:8" ht="22" customHeight="1">
      <c r="A51" s="1"/>
      <c r="B51" s="1"/>
      <c r="C51" s="1"/>
      <c r="D51" s="1"/>
      <c r="E51" s="1"/>
      <c r="F51" s="1"/>
      <c r="G51" s="1"/>
      <c r="H51" s="1"/>
    </row>
    <row r="52" spans="1:8" ht="22" customHeight="1">
      <c r="A52" s="1"/>
      <c r="B52" s="1"/>
      <c r="C52" s="1"/>
      <c r="D52" s="1"/>
      <c r="E52" s="1"/>
      <c r="F52" s="1"/>
      <c r="G52" s="1"/>
      <c r="H52" s="1"/>
    </row>
    <row r="53" spans="1:8" ht="22" customHeight="1">
      <c r="A53" s="1"/>
      <c r="B53" s="1"/>
      <c r="C53" s="1"/>
      <c r="D53" s="1"/>
      <c r="E53" s="1"/>
      <c r="F53" s="1"/>
      <c r="G53" s="1"/>
      <c r="H53" s="1"/>
    </row>
    <row r="54" spans="1:8" ht="22" customHeight="1">
      <c r="A54" s="1"/>
      <c r="B54" s="1"/>
      <c r="C54" s="1"/>
      <c r="D54" s="1"/>
      <c r="E54" s="1"/>
      <c r="F54" s="1"/>
      <c r="G54" s="1"/>
      <c r="H54" s="1"/>
    </row>
    <row r="55" spans="1:8" ht="22" customHeight="1">
      <c r="A55" s="1"/>
      <c r="B55" s="1"/>
      <c r="C55" s="1"/>
      <c r="D55" s="1"/>
      <c r="E55" s="1"/>
      <c r="F55" s="1"/>
      <c r="G55" s="1"/>
      <c r="H55" s="1"/>
    </row>
    <row r="56" spans="1:8" ht="22" customHeight="1">
      <c r="A56" s="1"/>
      <c r="B56" s="1"/>
      <c r="C56" s="1"/>
      <c r="D56" s="1"/>
      <c r="E56" s="1"/>
      <c r="F56" s="1"/>
      <c r="G56" s="1"/>
      <c r="H56" s="1"/>
    </row>
    <row r="57" spans="1:8" ht="22" customHeight="1">
      <c r="A57" s="1"/>
      <c r="B57" s="1"/>
      <c r="C57" s="1"/>
      <c r="D57" s="1"/>
      <c r="E57" s="1"/>
      <c r="F57" s="1"/>
      <c r="G57" s="1"/>
      <c r="H57" s="1"/>
    </row>
    <row r="58" spans="1:8" ht="22" customHeight="1">
      <c r="A58" s="1"/>
      <c r="B58" s="1"/>
      <c r="C58" s="1"/>
      <c r="D58" s="1"/>
      <c r="E58" s="1"/>
      <c r="F58" s="1"/>
      <c r="G58" s="1"/>
      <c r="H58" s="1"/>
    </row>
    <row r="59" spans="1:8" ht="22" customHeight="1">
      <c r="A59" s="1"/>
      <c r="B59" s="1"/>
      <c r="C59" s="1"/>
      <c r="D59" s="1"/>
      <c r="E59" s="1"/>
      <c r="F59" s="1"/>
      <c r="G59" s="1"/>
      <c r="H59" s="1"/>
    </row>
    <row r="60" spans="1:8" ht="22" customHeight="1">
      <c r="A60" s="1"/>
      <c r="B60" s="1"/>
      <c r="C60" s="1"/>
      <c r="D60" s="1"/>
      <c r="E60" s="1"/>
      <c r="F60" s="1"/>
      <c r="G60" s="1"/>
      <c r="H60" s="1"/>
    </row>
    <row r="61" spans="1:8" ht="22" customHeight="1">
      <c r="A61" s="1"/>
      <c r="B61" s="1"/>
      <c r="C61" s="1"/>
      <c r="D61" s="1"/>
      <c r="E61" s="1"/>
      <c r="F61" s="1"/>
      <c r="G61" s="1"/>
      <c r="H61" s="1"/>
    </row>
    <row r="62" spans="1:8" ht="22" customHeight="1">
      <c r="A62" s="1"/>
      <c r="B62" s="1"/>
      <c r="C62" s="1"/>
      <c r="D62" s="1"/>
      <c r="E62" s="1"/>
      <c r="F62" s="1"/>
      <c r="G62" s="1"/>
      <c r="H62" s="1"/>
    </row>
    <row r="63" spans="1:8" ht="22" customHeight="1">
      <c r="A63" s="1"/>
      <c r="B63" s="1"/>
      <c r="C63" s="1"/>
      <c r="D63" s="1"/>
      <c r="E63" s="1"/>
      <c r="F63" s="1"/>
      <c r="G63" s="1"/>
      <c r="H63" s="1"/>
    </row>
    <row r="64" spans="1:8" ht="22" customHeight="1">
      <c r="A64" s="1"/>
      <c r="B64" s="1"/>
      <c r="C64" s="1"/>
      <c r="D64" s="1"/>
      <c r="E64" s="1"/>
      <c r="F64" s="1"/>
      <c r="G64" s="1"/>
      <c r="H64" s="1"/>
    </row>
    <row r="65" spans="1:8" ht="22" customHeight="1">
      <c r="A65" s="1"/>
      <c r="B65" s="1"/>
      <c r="C65" s="1"/>
      <c r="D65" s="1"/>
      <c r="E65" s="1"/>
      <c r="F65" s="1"/>
      <c r="G65" s="1"/>
      <c r="H65" s="1"/>
    </row>
    <row r="66" spans="1:8" ht="22" customHeight="1">
      <c r="A66" s="1"/>
      <c r="B66" s="1"/>
      <c r="C66" s="1"/>
      <c r="D66" s="1"/>
      <c r="E66" s="1"/>
      <c r="F66" s="1"/>
      <c r="G66" s="1"/>
      <c r="H66" s="1"/>
    </row>
    <row r="67" spans="1:8" ht="22" customHeight="1">
      <c r="A67" s="1"/>
      <c r="B67" s="1"/>
      <c r="C67" s="1"/>
      <c r="D67" s="1"/>
      <c r="E67" s="1"/>
      <c r="F67" s="1"/>
      <c r="G67" s="1"/>
      <c r="H67" s="1"/>
    </row>
    <row r="68" spans="1:8" ht="22" customHeight="1">
      <c r="A68" s="1"/>
      <c r="B68" s="1"/>
      <c r="C68" s="1"/>
      <c r="D68" s="1"/>
      <c r="E68" s="1"/>
      <c r="F68" s="1"/>
      <c r="G68" s="1"/>
      <c r="H68" s="1"/>
    </row>
    <row r="69" spans="1:8" ht="22" customHeight="1">
      <c r="A69" s="1"/>
      <c r="B69" s="1"/>
      <c r="C69" s="1"/>
      <c r="D69" s="1"/>
      <c r="E69" s="1"/>
      <c r="F69" s="1"/>
      <c r="G69" s="1"/>
      <c r="H69" s="1"/>
    </row>
    <row r="70" spans="1:8" ht="22" customHeight="1">
      <c r="A70" s="1"/>
      <c r="B70" s="1"/>
      <c r="C70" s="1"/>
      <c r="D70" s="1"/>
      <c r="E70" s="1"/>
      <c r="F70" s="1"/>
      <c r="G70" s="1"/>
      <c r="H70" s="1"/>
    </row>
    <row r="71" spans="1:8" ht="22" customHeight="1">
      <c r="A71" s="1"/>
      <c r="B71" s="1"/>
      <c r="C71" s="1"/>
      <c r="D71" s="1"/>
      <c r="E71" s="1"/>
      <c r="F71" s="1"/>
      <c r="G71" s="1"/>
      <c r="H71" s="1"/>
    </row>
    <row r="72" spans="1:8" ht="22" customHeight="1">
      <c r="A72" s="1"/>
      <c r="B72" s="1"/>
      <c r="C72" s="1"/>
      <c r="D72" s="1"/>
      <c r="E72" s="1"/>
      <c r="F72" s="1"/>
      <c r="G72" s="1"/>
      <c r="H72" s="1"/>
    </row>
    <row r="73" spans="1:8" ht="22" customHeight="1">
      <c r="A73" s="1"/>
      <c r="B73" s="1"/>
      <c r="C73" s="1"/>
      <c r="D73" s="1"/>
      <c r="E73" s="1"/>
      <c r="F73" s="1"/>
      <c r="G73" s="1"/>
      <c r="H73" s="1"/>
    </row>
    <row r="74" spans="1:8" ht="22" customHeight="1">
      <c r="A74" s="1"/>
      <c r="B74" s="1"/>
      <c r="C74" s="1"/>
      <c r="D74" s="1"/>
      <c r="E74" s="1"/>
      <c r="F74" s="1"/>
      <c r="G74" s="1"/>
      <c r="H74" s="1"/>
    </row>
    <row r="75" spans="1:8" ht="22" customHeight="1">
      <c r="A75" s="1"/>
      <c r="B75" s="1"/>
      <c r="C75" s="1"/>
      <c r="D75" s="1"/>
      <c r="E75" s="1"/>
      <c r="F75" s="1"/>
      <c r="G75" s="1"/>
      <c r="H75" s="1"/>
    </row>
    <row r="76" spans="1:8" ht="22" customHeight="1">
      <c r="A76" s="1"/>
      <c r="B76" s="1"/>
      <c r="C76" s="1"/>
      <c r="D76" s="1"/>
      <c r="E76" s="1"/>
      <c r="F76" s="1"/>
      <c r="G76" s="1"/>
      <c r="H76" s="1"/>
    </row>
    <row r="77" spans="1:8" ht="22" customHeight="1">
      <c r="A77" s="1"/>
      <c r="B77" s="1"/>
      <c r="C77" s="1"/>
      <c r="D77" s="1"/>
      <c r="E77" s="1"/>
      <c r="F77" s="1"/>
      <c r="G77" s="1"/>
      <c r="H77" s="1"/>
    </row>
    <row r="78" spans="1:8" ht="22" customHeight="1">
      <c r="A78" s="1"/>
      <c r="B78" s="1"/>
      <c r="C78" s="1"/>
      <c r="D78" s="1"/>
      <c r="E78" s="1"/>
      <c r="F78" s="1"/>
      <c r="G78" s="1"/>
      <c r="H78" s="1"/>
    </row>
    <row r="79" spans="1:8" ht="22" customHeight="1">
      <c r="A79" s="1"/>
      <c r="B79" s="1"/>
      <c r="C79" s="1"/>
      <c r="D79" s="1"/>
      <c r="E79" s="1"/>
      <c r="F79" s="1"/>
      <c r="G79" s="1"/>
      <c r="H79" s="1"/>
    </row>
    <row r="80" spans="1:8" ht="22" customHeight="1">
      <c r="A80" s="1"/>
      <c r="B80" s="1"/>
      <c r="C80" s="1"/>
      <c r="D80" s="1"/>
      <c r="E80" s="1"/>
      <c r="F80" s="1"/>
      <c r="G80" s="1"/>
      <c r="H80" s="1"/>
    </row>
    <row r="81" spans="1:8" ht="22" customHeight="1">
      <c r="A81" s="1"/>
      <c r="B81" s="1"/>
      <c r="C81" s="1"/>
      <c r="D81" s="1"/>
      <c r="E81" s="1"/>
      <c r="F81" s="1"/>
      <c r="G81" s="1"/>
      <c r="H81" s="1"/>
    </row>
    <row r="82" spans="1:8" ht="22" customHeight="1">
      <c r="A82" s="1"/>
      <c r="B82" s="1"/>
      <c r="C82" s="1"/>
      <c r="D82" s="1"/>
      <c r="E82" s="1"/>
      <c r="F82" s="1"/>
      <c r="G82" s="1"/>
      <c r="H82" s="1"/>
    </row>
    <row r="83" spans="1:8" ht="22" customHeight="1">
      <c r="A83" s="1"/>
      <c r="B83" s="1"/>
      <c r="C83" s="1"/>
      <c r="D83" s="1"/>
      <c r="E83" s="1"/>
      <c r="F83" s="1"/>
      <c r="G83" s="1"/>
      <c r="H83" s="1"/>
    </row>
    <row r="84" spans="1:8" ht="22" customHeight="1">
      <c r="A84" s="1"/>
      <c r="B84" s="1"/>
      <c r="C84" s="1"/>
      <c r="D84" s="1"/>
      <c r="E84" s="1"/>
      <c r="F84" s="1"/>
      <c r="G84" s="1"/>
      <c r="H84" s="1"/>
    </row>
    <row r="85" spans="1:8" ht="22" customHeight="1">
      <c r="A85" s="1"/>
      <c r="B85" s="1"/>
      <c r="C85" s="1"/>
      <c r="D85" s="1"/>
      <c r="E85" s="1"/>
      <c r="F85" s="1"/>
      <c r="G85" s="1"/>
      <c r="H85" s="1"/>
    </row>
    <row r="86" spans="1:8" ht="22" customHeight="1">
      <c r="A86" s="1"/>
      <c r="B86" s="1"/>
      <c r="C86" s="1"/>
      <c r="D86" s="1"/>
      <c r="E86" s="1"/>
      <c r="F86" s="1"/>
      <c r="G86" s="1"/>
      <c r="H86" s="1"/>
    </row>
    <row r="87" spans="1:8" ht="22" customHeight="1">
      <c r="A87" s="1"/>
      <c r="B87" s="1"/>
      <c r="C87" s="1"/>
      <c r="D87" s="1"/>
      <c r="E87" s="1"/>
      <c r="F87" s="1"/>
      <c r="G87" s="1"/>
      <c r="H87" s="1"/>
    </row>
    <row r="88" spans="1:8" ht="22" customHeight="1">
      <c r="A88" s="1"/>
      <c r="B88" s="1"/>
      <c r="C88" s="1"/>
      <c r="D88" s="1"/>
      <c r="E88" s="1"/>
      <c r="F88" s="1"/>
      <c r="G88" s="1"/>
      <c r="H88" s="1"/>
    </row>
    <row r="89" spans="1:8" ht="22" customHeight="1">
      <c r="A89" s="1"/>
      <c r="B89" s="1"/>
      <c r="C89" s="1"/>
      <c r="D89" s="1"/>
      <c r="E89" s="1"/>
      <c r="F89" s="1"/>
      <c r="G89" s="1"/>
      <c r="H89" s="1"/>
    </row>
    <row r="90" spans="1:8" ht="22" customHeight="1">
      <c r="A90" s="1"/>
      <c r="B90" s="1"/>
      <c r="C90" s="1"/>
      <c r="D90" s="1"/>
      <c r="E90" s="1"/>
      <c r="F90" s="1"/>
      <c r="G90" s="1"/>
      <c r="H90" s="1"/>
    </row>
  </sheetData>
  <sheetProtection sheet="1" objects="1" scenarios="1"/>
  <mergeCells count="4">
    <mergeCell ref="A1:H2"/>
    <mergeCell ref="A4:H5"/>
    <mergeCell ref="A21:H22"/>
    <mergeCell ref="A25:H26"/>
  </mergeCells>
  <pageMargins left="0.39370078740157477" right="0.39370078740157477" top="0.39370078740157477" bottom="0.39370078740157477" header="0.3" footer="0.3"/>
  <pageSetup paperSize="9" scale="80" orientation="landscape" r:id="rId1"/>
  <headerFooter>
    <oddFooter>&amp;CCalcy | Page &amp;P&amp;Rcalcy.com.au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AF4EE"/>
    <pageSetUpPr fitToPage="1"/>
  </sheetPr>
  <dimension ref="A1:H90"/>
  <sheetViews>
    <sheetView showGridLines="0" zoomScaleNormal="100" workbookViewId="0">
      <selection sqref="A1:H2"/>
    </sheetView>
  </sheetViews>
  <sheetFormatPr defaultRowHeight="14.15"/>
  <cols>
    <col min="1" max="1" width="28" customWidth="1"/>
    <col min="2" max="8" width="16" customWidth="1"/>
  </cols>
  <sheetData>
    <row r="1" spans="1:8" ht="22" customHeight="1">
      <c r="A1" s="12" t="s">
        <v>10</v>
      </c>
      <c r="B1" s="12" t="s">
        <v>10</v>
      </c>
      <c r="C1" s="12" t="s">
        <v>10</v>
      </c>
      <c r="D1" s="12" t="s">
        <v>10</v>
      </c>
      <c r="E1" s="12" t="s">
        <v>10</v>
      </c>
      <c r="F1" s="12" t="s">
        <v>10</v>
      </c>
      <c r="G1" s="12" t="s">
        <v>10</v>
      </c>
      <c r="H1" s="12" t="s">
        <v>10</v>
      </c>
    </row>
    <row r="2" spans="1:8" ht="22" customHeight="1">
      <c r="A2" s="12" t="s">
        <v>10</v>
      </c>
      <c r="B2" s="12" t="s">
        <v>10</v>
      </c>
      <c r="C2" s="12" t="s">
        <v>10</v>
      </c>
      <c r="D2" s="12" t="s">
        <v>10</v>
      </c>
      <c r="E2" s="12" t="s">
        <v>10</v>
      </c>
      <c r="F2" s="12" t="s">
        <v>10</v>
      </c>
      <c r="G2" s="12" t="s">
        <v>10</v>
      </c>
      <c r="H2" s="12" t="s">
        <v>10</v>
      </c>
    </row>
    <row r="3" spans="1:8" ht="22" customHeight="1">
      <c r="A3" s="1"/>
      <c r="B3" s="1"/>
      <c r="C3" s="1"/>
      <c r="D3" s="1"/>
      <c r="E3" s="1"/>
      <c r="F3" s="1"/>
      <c r="G3" s="1"/>
      <c r="H3" s="1"/>
    </row>
    <row r="4" spans="1:8" ht="22" customHeight="1">
      <c r="A4" s="1"/>
      <c r="B4" s="1"/>
      <c r="C4" s="1"/>
      <c r="D4" s="1"/>
      <c r="E4" s="1"/>
      <c r="F4" s="1"/>
      <c r="G4" s="1"/>
      <c r="H4" s="1"/>
    </row>
    <row r="5" spans="1:8" ht="34" customHeight="1">
      <c r="A5" s="1" t="s">
        <v>11</v>
      </c>
      <c r="B5" s="8">
        <v>650000</v>
      </c>
      <c r="C5" s="14" t="s">
        <v>12</v>
      </c>
      <c r="D5" s="14"/>
      <c r="E5" s="14"/>
      <c r="F5" s="14"/>
      <c r="G5" s="14"/>
      <c r="H5" s="14"/>
    </row>
    <row r="6" spans="1:8" ht="34" customHeight="1">
      <c r="A6" s="1" t="s">
        <v>13</v>
      </c>
      <c r="B6" s="9">
        <v>6.3899999999999998E-2</v>
      </c>
      <c r="C6" s="14" t="s">
        <v>14</v>
      </c>
      <c r="D6" s="14"/>
      <c r="E6" s="14"/>
      <c r="F6" s="14"/>
      <c r="G6" s="14"/>
      <c r="H6" s="14"/>
    </row>
    <row r="7" spans="1:8" ht="34" customHeight="1">
      <c r="A7" s="1" t="s">
        <v>15</v>
      </c>
      <c r="B7" s="10">
        <v>30</v>
      </c>
      <c r="C7" s="14" t="s">
        <v>16</v>
      </c>
      <c r="D7" s="14"/>
      <c r="E7" s="14"/>
      <c r="F7" s="14"/>
      <c r="G7" s="14"/>
      <c r="H7" s="14"/>
    </row>
    <row r="8" spans="1:8" ht="34" customHeight="1">
      <c r="A8" s="1" t="s">
        <v>17</v>
      </c>
      <c r="B8" s="11">
        <v>46327</v>
      </c>
      <c r="C8" s="14" t="s">
        <v>18</v>
      </c>
      <c r="D8" s="14"/>
      <c r="E8" s="14"/>
      <c r="F8" s="14"/>
      <c r="G8" s="14"/>
      <c r="H8" s="14"/>
    </row>
    <row r="9" spans="1:8" ht="34" customHeight="1">
      <c r="A9" s="1" t="s">
        <v>19</v>
      </c>
      <c r="B9" s="10" t="s">
        <v>20</v>
      </c>
      <c r="C9" s="14" t="s">
        <v>21</v>
      </c>
      <c r="D9" s="14"/>
      <c r="E9" s="14"/>
      <c r="F9" s="14"/>
      <c r="G9" s="14"/>
      <c r="H9" s="14"/>
    </row>
    <row r="10" spans="1:8" ht="22" customHeight="1">
      <c r="A10" s="1"/>
      <c r="B10" s="1"/>
      <c r="C10" s="1"/>
      <c r="D10" s="1"/>
      <c r="E10" s="1"/>
      <c r="F10" s="1"/>
      <c r="G10" s="1"/>
      <c r="H10" s="1"/>
    </row>
    <row r="11" spans="1:8" ht="22" customHeight="1">
      <c r="A11" s="1"/>
      <c r="B11" s="1"/>
      <c r="C11" s="1"/>
      <c r="D11" s="1"/>
      <c r="E11" s="1"/>
      <c r="F11" s="1"/>
      <c r="G11" s="1"/>
      <c r="H11" s="1"/>
    </row>
    <row r="12" spans="1:8" ht="32.049999999999997" customHeight="1">
      <c r="A12" s="1" t="s">
        <v>22</v>
      </c>
      <c r="B12" s="1" t="b">
        <f>AND(ISNUMBER(B5),ISNUMBER(B6),ISNUMBER(B7),ISNUMBER(B8),B5&gt;=0,B5&lt;=100000000,B6&gt;=0,B6&lt;=0.3,B7&gt;=1,B7&lt;=40,IF(ISNUMBER(B7),B7=INT(B7),FALSE),B8&gt;=DATE(2000,1,1),B8&lt;=DATE(2100,12,31),OR(B9="monthly",B9="fortnightly",B9="weekly"))</f>
        <v>1</v>
      </c>
      <c r="C12" s="13" t="str">
        <f>IF(B12,"Inputs ready","Enter valid inputs. Results are unavailable.")</f>
        <v>Inputs ready</v>
      </c>
      <c r="D12" s="13"/>
      <c r="E12" s="13"/>
      <c r="F12" s="13"/>
      <c r="G12" s="13"/>
      <c r="H12" s="13"/>
    </row>
    <row r="13" spans="1:8" ht="22" customHeight="1">
      <c r="A13" s="1"/>
      <c r="B13" s="1"/>
      <c r="C13" s="1"/>
      <c r="D13" s="1"/>
      <c r="E13" s="1"/>
      <c r="F13" s="1"/>
      <c r="G13" s="1"/>
      <c r="H13" s="1"/>
    </row>
    <row r="14" spans="1:8" ht="22" customHeight="1">
      <c r="A14" s="1" t="s">
        <v>23</v>
      </c>
      <c r="B14" s="1">
        <f>IF(B9="monthly",12,IF(B9="fortnightly",26,52))</f>
        <v>12</v>
      </c>
      <c r="C14" s="1"/>
      <c r="D14" s="1"/>
      <c r="E14" s="1"/>
      <c r="F14" s="1"/>
      <c r="G14" s="1"/>
      <c r="H14" s="1"/>
    </row>
    <row r="15" spans="1:8" ht="22" customHeight="1">
      <c r="A15" s="1" t="s">
        <v>24</v>
      </c>
      <c r="B15" s="1">
        <f>IF(B12,B6/B14,0)</f>
        <v>5.3249999999999999E-3</v>
      </c>
      <c r="C15" s="1"/>
      <c r="D15" s="1"/>
      <c r="E15" s="1"/>
      <c r="F15" s="1"/>
      <c r="G15" s="1"/>
      <c r="H15" s="1"/>
    </row>
    <row r="16" spans="1:8" ht="22" customHeight="1">
      <c r="A16" s="1" t="s">
        <v>25</v>
      </c>
      <c r="B16" s="1">
        <f>IF(B12,B7*B14,0)</f>
        <v>360</v>
      </c>
      <c r="C16" s="1"/>
      <c r="D16" s="1"/>
      <c r="E16" s="1"/>
      <c r="F16" s="1"/>
      <c r="G16" s="1"/>
      <c r="H16" s="1"/>
    </row>
    <row r="17" spans="1:8" ht="22" customHeight="1">
      <c r="A17" s="1" t="s">
        <v>26</v>
      </c>
      <c r="B17" s="2">
        <f>IF(B12,IF(B15=0,B5/B16,B5*B15*(1+B15)^B16/((1+B15)^B16-1)),0)</f>
        <v>4061.5333678073534</v>
      </c>
      <c r="C17" s="1"/>
      <c r="D17" s="1"/>
      <c r="E17" s="1"/>
      <c r="F17" s="1"/>
      <c r="G17" s="1"/>
      <c r="H17" s="1"/>
    </row>
    <row r="18" spans="1:8" ht="22" customHeight="1">
      <c r="A18" s="1"/>
      <c r="B18" s="2"/>
      <c r="C18" s="1"/>
      <c r="D18" s="1"/>
      <c r="E18" s="1"/>
      <c r="F18" s="1"/>
      <c r="G18" s="1"/>
      <c r="H18" s="1"/>
    </row>
    <row r="19" spans="1:8" ht="22" customHeight="1">
      <c r="A19" s="1"/>
      <c r="B19" s="1"/>
      <c r="C19" s="1"/>
      <c r="D19" s="1"/>
      <c r="E19" s="1"/>
      <c r="F19" s="1"/>
      <c r="G19" s="1"/>
      <c r="H19" s="1"/>
    </row>
    <row r="20" spans="1:8" ht="22" customHeight="1">
      <c r="A20" s="1"/>
      <c r="B20" s="1"/>
      <c r="C20" s="1"/>
      <c r="D20" s="1"/>
      <c r="E20" s="1"/>
      <c r="F20" s="1"/>
      <c r="G20" s="1"/>
      <c r="H20" s="1"/>
    </row>
    <row r="21" spans="1:8" ht="24" customHeight="1">
      <c r="A21" s="14" t="s">
        <v>27</v>
      </c>
      <c r="B21" s="14" t="s">
        <v>27</v>
      </c>
      <c r="C21" s="14" t="s">
        <v>27</v>
      </c>
      <c r="D21" s="14" t="s">
        <v>27</v>
      </c>
      <c r="E21" s="14" t="s">
        <v>27</v>
      </c>
      <c r="F21" s="14" t="s">
        <v>27</v>
      </c>
      <c r="G21" s="14" t="s">
        <v>27</v>
      </c>
      <c r="H21" s="14" t="s">
        <v>27</v>
      </c>
    </row>
    <row r="22" spans="1:8" ht="24" customHeight="1">
      <c r="A22" s="14" t="s">
        <v>27</v>
      </c>
      <c r="B22" s="14" t="s">
        <v>27</v>
      </c>
      <c r="C22" s="14" t="s">
        <v>27</v>
      </c>
      <c r="D22" s="14" t="s">
        <v>27</v>
      </c>
      <c r="E22" s="14" t="s">
        <v>27</v>
      </c>
      <c r="F22" s="14" t="s">
        <v>27</v>
      </c>
      <c r="G22" s="14" t="s">
        <v>27</v>
      </c>
      <c r="H22" s="14" t="s">
        <v>27</v>
      </c>
    </row>
    <row r="23" spans="1:8" ht="22" customHeight="1">
      <c r="A23" s="1"/>
      <c r="B23" s="1"/>
      <c r="C23" s="1"/>
      <c r="D23" s="1"/>
      <c r="E23" s="1"/>
      <c r="F23" s="1"/>
      <c r="G23" s="1"/>
      <c r="H23" s="1"/>
    </row>
    <row r="24" spans="1:8" ht="22" customHeight="1">
      <c r="A24" s="1"/>
      <c r="B24" s="1"/>
      <c r="C24" s="1"/>
      <c r="D24" s="1"/>
      <c r="E24" s="1"/>
      <c r="F24" s="1"/>
      <c r="G24" s="1"/>
      <c r="H24" s="1"/>
    </row>
    <row r="25" spans="1:8" ht="24" customHeight="1">
      <c r="A25" s="14" t="s">
        <v>28</v>
      </c>
      <c r="B25" s="14" t="s">
        <v>28</v>
      </c>
      <c r="C25" s="14" t="s">
        <v>28</v>
      </c>
      <c r="D25" s="14" t="s">
        <v>28</v>
      </c>
      <c r="E25" s="14" t="s">
        <v>28</v>
      </c>
      <c r="F25" s="14" t="s">
        <v>28</v>
      </c>
      <c r="G25" s="14" t="s">
        <v>28</v>
      </c>
      <c r="H25" s="14" t="s">
        <v>28</v>
      </c>
    </row>
    <row r="26" spans="1:8" ht="24" customHeight="1">
      <c r="A26" s="14" t="s">
        <v>28</v>
      </c>
      <c r="B26" s="14" t="s">
        <v>28</v>
      </c>
      <c r="C26" s="14" t="s">
        <v>28</v>
      </c>
      <c r="D26" s="14" t="s">
        <v>28</v>
      </c>
      <c r="E26" s="14" t="s">
        <v>28</v>
      </c>
      <c r="F26" s="14" t="s">
        <v>28</v>
      </c>
      <c r="G26" s="14" t="s">
        <v>28</v>
      </c>
      <c r="H26" s="14" t="s">
        <v>28</v>
      </c>
    </row>
    <row r="27" spans="1:8" ht="22" customHeight="1">
      <c r="A27" s="1"/>
      <c r="B27" s="1"/>
      <c r="C27" s="1"/>
      <c r="D27" s="1"/>
      <c r="E27" s="1"/>
      <c r="F27" s="1"/>
      <c r="G27" s="1"/>
      <c r="H27" s="1"/>
    </row>
    <row r="28" spans="1:8" ht="22" customHeight="1">
      <c r="A28" s="1"/>
      <c r="B28" s="1"/>
      <c r="C28" s="1"/>
      <c r="D28" s="1"/>
      <c r="E28" s="1"/>
      <c r="F28" s="1"/>
      <c r="G28" s="1"/>
      <c r="H28" s="1"/>
    </row>
    <row r="29" spans="1:8" ht="22" customHeight="1">
      <c r="A29" s="1"/>
      <c r="B29" s="1"/>
      <c r="C29" s="1"/>
      <c r="D29" s="1"/>
      <c r="E29" s="1"/>
      <c r="F29" s="1"/>
      <c r="G29" s="1"/>
      <c r="H29" s="1"/>
    </row>
    <row r="30" spans="1:8" ht="22" customHeight="1">
      <c r="A30" s="1"/>
      <c r="B30" s="1"/>
      <c r="C30" s="1"/>
      <c r="D30" s="1"/>
      <c r="E30" s="1"/>
      <c r="F30" s="1"/>
      <c r="G30" s="1"/>
      <c r="H30" s="1"/>
    </row>
    <row r="31" spans="1:8" ht="22" customHeight="1">
      <c r="A31" s="1"/>
      <c r="B31" s="1"/>
      <c r="C31" s="1"/>
      <c r="D31" s="1"/>
      <c r="E31" s="1"/>
      <c r="F31" s="1"/>
      <c r="G31" s="1"/>
      <c r="H31" s="1"/>
    </row>
    <row r="32" spans="1:8" ht="22" customHeight="1">
      <c r="A32" s="1"/>
      <c r="B32" s="1"/>
      <c r="C32" s="1"/>
      <c r="D32" s="1"/>
      <c r="E32" s="1"/>
      <c r="F32" s="1"/>
      <c r="G32" s="1"/>
      <c r="H32" s="1"/>
    </row>
    <row r="33" spans="1:8" ht="22" customHeight="1">
      <c r="A33" s="1"/>
      <c r="B33" s="1"/>
      <c r="C33" s="1"/>
      <c r="D33" s="1"/>
      <c r="E33" s="1"/>
      <c r="F33" s="1"/>
      <c r="G33" s="1"/>
      <c r="H33" s="1"/>
    </row>
    <row r="34" spans="1:8" ht="22" customHeight="1">
      <c r="A34" s="1"/>
      <c r="B34" s="1"/>
      <c r="C34" s="1"/>
      <c r="D34" s="1"/>
      <c r="E34" s="1"/>
      <c r="F34" s="1"/>
      <c r="G34" s="1"/>
      <c r="H34" s="1"/>
    </row>
    <row r="35" spans="1:8" ht="22" customHeight="1">
      <c r="A35" s="1"/>
      <c r="B35" s="1"/>
      <c r="C35" s="1"/>
      <c r="D35" s="1"/>
      <c r="E35" s="1"/>
      <c r="F35" s="1"/>
      <c r="G35" s="1"/>
      <c r="H35" s="1"/>
    </row>
    <row r="36" spans="1:8" ht="22" customHeight="1">
      <c r="A36" s="1"/>
      <c r="B36" s="1"/>
      <c r="C36" s="1"/>
      <c r="D36" s="1"/>
      <c r="E36" s="1"/>
      <c r="F36" s="1"/>
      <c r="G36" s="1"/>
      <c r="H36" s="1"/>
    </row>
    <row r="37" spans="1:8" ht="22" customHeight="1">
      <c r="A37" s="1"/>
      <c r="B37" s="1"/>
      <c r="C37" s="1"/>
      <c r="D37" s="1"/>
      <c r="E37" s="1"/>
      <c r="F37" s="1"/>
      <c r="G37" s="1"/>
      <c r="H37" s="1"/>
    </row>
    <row r="38" spans="1:8" ht="22" customHeight="1">
      <c r="A38" s="1"/>
      <c r="B38" s="1"/>
      <c r="C38" s="1"/>
      <c r="D38" s="1"/>
      <c r="E38" s="1"/>
      <c r="F38" s="1"/>
      <c r="G38" s="1"/>
      <c r="H38" s="1"/>
    </row>
    <row r="39" spans="1:8" ht="22" customHeight="1">
      <c r="A39" s="1"/>
      <c r="B39" s="1"/>
      <c r="C39" s="1"/>
      <c r="D39" s="1"/>
      <c r="E39" s="1"/>
      <c r="F39" s="1"/>
      <c r="G39" s="1"/>
      <c r="H39" s="1"/>
    </row>
    <row r="40" spans="1:8" ht="22" customHeight="1">
      <c r="A40" s="1"/>
      <c r="B40" s="1"/>
      <c r="C40" s="1"/>
      <c r="D40" s="1"/>
      <c r="E40" s="1"/>
      <c r="F40" s="1"/>
      <c r="G40" s="1"/>
      <c r="H40" s="1"/>
    </row>
    <row r="41" spans="1:8" ht="22" customHeight="1">
      <c r="A41" s="1"/>
      <c r="B41" s="1"/>
      <c r="C41" s="1"/>
      <c r="D41" s="1"/>
      <c r="E41" s="1"/>
      <c r="F41" s="1"/>
      <c r="G41" s="1"/>
      <c r="H41" s="1"/>
    </row>
    <row r="42" spans="1:8" ht="22" customHeight="1">
      <c r="A42" s="1"/>
      <c r="B42" s="1"/>
      <c r="C42" s="1"/>
      <c r="D42" s="1"/>
      <c r="E42" s="1"/>
      <c r="F42" s="1"/>
      <c r="G42" s="1"/>
      <c r="H42" s="1"/>
    </row>
    <row r="43" spans="1:8" ht="22" customHeight="1">
      <c r="A43" s="1"/>
      <c r="B43" s="1"/>
      <c r="C43" s="1"/>
      <c r="D43" s="1"/>
      <c r="E43" s="1"/>
      <c r="F43" s="1"/>
      <c r="G43" s="1"/>
      <c r="H43" s="1"/>
    </row>
    <row r="44" spans="1:8" ht="22" customHeight="1">
      <c r="A44" s="1"/>
      <c r="B44" s="1"/>
      <c r="C44" s="1"/>
      <c r="D44" s="1"/>
      <c r="E44" s="1"/>
      <c r="F44" s="1"/>
      <c r="G44" s="1"/>
      <c r="H44" s="1"/>
    </row>
    <row r="45" spans="1:8" ht="22" customHeight="1">
      <c r="A45" s="1"/>
      <c r="B45" s="1"/>
      <c r="C45" s="1"/>
      <c r="D45" s="1"/>
      <c r="E45" s="1"/>
      <c r="F45" s="1"/>
      <c r="G45" s="1"/>
      <c r="H45" s="1"/>
    </row>
    <row r="46" spans="1:8" ht="22" customHeight="1">
      <c r="A46" s="1"/>
      <c r="B46" s="1"/>
      <c r="C46" s="1"/>
      <c r="D46" s="1"/>
      <c r="E46" s="1"/>
      <c r="F46" s="1"/>
      <c r="G46" s="1"/>
      <c r="H46" s="1"/>
    </row>
    <row r="47" spans="1:8" ht="22" customHeight="1">
      <c r="A47" s="1"/>
      <c r="B47" s="1"/>
      <c r="C47" s="1"/>
      <c r="D47" s="1"/>
      <c r="E47" s="1"/>
      <c r="F47" s="1"/>
      <c r="G47" s="1"/>
      <c r="H47" s="1"/>
    </row>
    <row r="48" spans="1:8" ht="22" customHeight="1">
      <c r="A48" s="1"/>
      <c r="B48" s="1"/>
      <c r="C48" s="1"/>
      <c r="D48" s="1"/>
      <c r="E48" s="1"/>
      <c r="F48" s="1"/>
      <c r="G48" s="1"/>
      <c r="H48" s="1"/>
    </row>
    <row r="49" spans="1:8" ht="22" customHeight="1">
      <c r="A49" s="1"/>
      <c r="B49" s="1"/>
      <c r="C49" s="1"/>
      <c r="D49" s="1"/>
      <c r="E49" s="1"/>
      <c r="F49" s="1"/>
      <c r="G49" s="1"/>
      <c r="H49" s="1"/>
    </row>
    <row r="50" spans="1:8" ht="22" customHeight="1">
      <c r="A50" s="1"/>
      <c r="B50" s="1"/>
      <c r="C50" s="1"/>
      <c r="D50" s="1"/>
      <c r="E50" s="1"/>
      <c r="F50" s="1"/>
      <c r="G50" s="1"/>
      <c r="H50" s="1"/>
    </row>
    <row r="51" spans="1:8" ht="22" customHeight="1">
      <c r="A51" s="1"/>
      <c r="B51" s="1"/>
      <c r="C51" s="1"/>
      <c r="D51" s="1"/>
      <c r="E51" s="1"/>
      <c r="F51" s="1"/>
      <c r="G51" s="1"/>
      <c r="H51" s="1"/>
    </row>
    <row r="52" spans="1:8" ht="22" customHeight="1">
      <c r="A52" s="1"/>
      <c r="B52" s="1"/>
      <c r="C52" s="1"/>
      <c r="D52" s="1"/>
      <c r="E52" s="1"/>
      <c r="F52" s="1"/>
      <c r="G52" s="1"/>
      <c r="H52" s="1"/>
    </row>
    <row r="53" spans="1:8" ht="22" customHeight="1">
      <c r="A53" s="1"/>
      <c r="B53" s="1"/>
      <c r="C53" s="1"/>
      <c r="D53" s="1"/>
      <c r="E53" s="1"/>
      <c r="F53" s="1"/>
      <c r="G53" s="1"/>
      <c r="H53" s="1"/>
    </row>
    <row r="54" spans="1:8" ht="22" customHeight="1">
      <c r="A54" s="1"/>
      <c r="B54" s="1"/>
      <c r="C54" s="1"/>
      <c r="D54" s="1"/>
      <c r="E54" s="1"/>
      <c r="F54" s="1"/>
      <c r="G54" s="1"/>
      <c r="H54" s="1"/>
    </row>
    <row r="55" spans="1:8" ht="22" customHeight="1">
      <c r="A55" s="1"/>
      <c r="B55" s="1"/>
      <c r="C55" s="1"/>
      <c r="D55" s="1"/>
      <c r="E55" s="1"/>
      <c r="F55" s="1"/>
      <c r="G55" s="1"/>
      <c r="H55" s="1"/>
    </row>
    <row r="56" spans="1:8" ht="22" customHeight="1">
      <c r="A56" s="1"/>
      <c r="B56" s="1"/>
      <c r="C56" s="1"/>
      <c r="D56" s="1"/>
      <c r="E56" s="1"/>
      <c r="F56" s="1"/>
      <c r="G56" s="1"/>
      <c r="H56" s="1"/>
    </row>
    <row r="57" spans="1:8" ht="22" customHeight="1">
      <c r="A57" s="1"/>
      <c r="B57" s="1"/>
      <c r="C57" s="1"/>
      <c r="D57" s="1"/>
      <c r="E57" s="1"/>
      <c r="F57" s="1"/>
      <c r="G57" s="1"/>
      <c r="H57" s="1"/>
    </row>
    <row r="58" spans="1:8" ht="22" customHeight="1">
      <c r="A58" s="1"/>
      <c r="B58" s="1"/>
      <c r="C58" s="1"/>
      <c r="D58" s="1"/>
      <c r="E58" s="1"/>
      <c r="F58" s="1"/>
      <c r="G58" s="1"/>
      <c r="H58" s="1"/>
    </row>
    <row r="59" spans="1:8" ht="22" customHeight="1">
      <c r="A59" s="1"/>
      <c r="B59" s="1"/>
      <c r="C59" s="1"/>
      <c r="D59" s="1"/>
      <c r="E59" s="1"/>
      <c r="F59" s="1"/>
      <c r="G59" s="1"/>
      <c r="H59" s="1"/>
    </row>
    <row r="60" spans="1:8" ht="22" customHeight="1">
      <c r="A60" s="1"/>
      <c r="B60" s="1"/>
      <c r="C60" s="1"/>
      <c r="D60" s="1"/>
      <c r="E60" s="1"/>
      <c r="F60" s="1"/>
      <c r="G60" s="1"/>
      <c r="H60" s="1"/>
    </row>
    <row r="61" spans="1:8" ht="22" customHeight="1">
      <c r="A61" s="1"/>
      <c r="B61" s="1"/>
      <c r="C61" s="1"/>
      <c r="D61" s="1"/>
      <c r="E61" s="1"/>
      <c r="F61" s="1"/>
      <c r="G61" s="1"/>
      <c r="H61" s="1"/>
    </row>
    <row r="62" spans="1:8" ht="22" customHeight="1">
      <c r="A62" s="1"/>
      <c r="B62" s="1"/>
      <c r="C62" s="1"/>
      <c r="D62" s="1"/>
      <c r="E62" s="1"/>
      <c r="F62" s="1"/>
      <c r="G62" s="1"/>
      <c r="H62" s="1"/>
    </row>
    <row r="63" spans="1:8" ht="22" customHeight="1">
      <c r="A63" s="1"/>
      <c r="B63" s="1"/>
      <c r="C63" s="1"/>
      <c r="D63" s="1"/>
      <c r="E63" s="1"/>
      <c r="F63" s="1"/>
      <c r="G63" s="1"/>
      <c r="H63" s="1"/>
    </row>
    <row r="64" spans="1:8" ht="22" customHeight="1">
      <c r="A64" s="1"/>
      <c r="B64" s="1"/>
      <c r="C64" s="1"/>
      <c r="D64" s="1"/>
      <c r="E64" s="1"/>
      <c r="F64" s="1"/>
      <c r="G64" s="1"/>
      <c r="H64" s="1"/>
    </row>
    <row r="65" spans="1:8" ht="22" customHeight="1">
      <c r="A65" s="1"/>
      <c r="B65" s="1"/>
      <c r="C65" s="1"/>
      <c r="D65" s="1"/>
      <c r="E65" s="1"/>
      <c r="F65" s="1"/>
      <c r="G65" s="1"/>
      <c r="H65" s="1"/>
    </row>
    <row r="66" spans="1:8" ht="22" customHeight="1">
      <c r="A66" s="1"/>
      <c r="B66" s="1"/>
      <c r="C66" s="1"/>
      <c r="D66" s="1"/>
      <c r="E66" s="1"/>
      <c r="F66" s="1"/>
      <c r="G66" s="1"/>
      <c r="H66" s="1"/>
    </row>
    <row r="67" spans="1:8" ht="22" customHeight="1">
      <c r="A67" s="1"/>
      <c r="B67" s="1"/>
      <c r="C67" s="1"/>
      <c r="D67" s="1"/>
      <c r="E67" s="1"/>
      <c r="F67" s="1"/>
      <c r="G67" s="1"/>
      <c r="H67" s="1"/>
    </row>
    <row r="68" spans="1:8" ht="22" customHeight="1">
      <c r="A68" s="1"/>
      <c r="B68" s="1"/>
      <c r="C68" s="1"/>
      <c r="D68" s="1"/>
      <c r="E68" s="1"/>
      <c r="F68" s="1"/>
      <c r="G68" s="1"/>
      <c r="H68" s="1"/>
    </row>
    <row r="69" spans="1:8" ht="22" customHeight="1">
      <c r="A69" s="1"/>
      <c r="B69" s="1"/>
      <c r="C69" s="1"/>
      <c r="D69" s="1"/>
      <c r="E69" s="1"/>
      <c r="F69" s="1"/>
      <c r="G69" s="1"/>
      <c r="H69" s="1"/>
    </row>
    <row r="70" spans="1:8" ht="22" customHeight="1">
      <c r="A70" s="1"/>
      <c r="B70" s="1"/>
      <c r="C70" s="1"/>
      <c r="D70" s="1"/>
      <c r="E70" s="1"/>
      <c r="F70" s="1"/>
      <c r="G70" s="1"/>
      <c r="H70" s="1"/>
    </row>
    <row r="71" spans="1:8" ht="22" customHeight="1">
      <c r="A71" s="1"/>
      <c r="B71" s="1"/>
      <c r="C71" s="1"/>
      <c r="D71" s="1"/>
      <c r="E71" s="1"/>
      <c r="F71" s="1"/>
      <c r="G71" s="1"/>
      <c r="H71" s="1"/>
    </row>
    <row r="72" spans="1:8" ht="22" customHeight="1">
      <c r="A72" s="1"/>
      <c r="B72" s="1"/>
      <c r="C72" s="1"/>
      <c r="D72" s="1"/>
      <c r="E72" s="1"/>
      <c r="F72" s="1"/>
      <c r="G72" s="1"/>
      <c r="H72" s="1"/>
    </row>
    <row r="73" spans="1:8" ht="22" customHeight="1">
      <c r="A73" s="1"/>
      <c r="B73" s="1"/>
      <c r="C73" s="1"/>
      <c r="D73" s="1"/>
      <c r="E73" s="1"/>
      <c r="F73" s="1"/>
      <c r="G73" s="1"/>
      <c r="H73" s="1"/>
    </row>
    <row r="74" spans="1:8" ht="22" customHeight="1">
      <c r="A74" s="1"/>
      <c r="B74" s="1"/>
      <c r="C74" s="1"/>
      <c r="D74" s="1"/>
      <c r="E74" s="1"/>
      <c r="F74" s="1"/>
      <c r="G74" s="1"/>
      <c r="H74" s="1"/>
    </row>
    <row r="75" spans="1:8" ht="22" customHeight="1">
      <c r="A75" s="1"/>
      <c r="B75" s="1"/>
      <c r="C75" s="1"/>
      <c r="D75" s="1"/>
      <c r="E75" s="1"/>
      <c r="F75" s="1"/>
      <c r="G75" s="1"/>
      <c r="H75" s="1"/>
    </row>
    <row r="76" spans="1:8" ht="22" customHeight="1">
      <c r="A76" s="1"/>
      <c r="B76" s="1"/>
      <c r="C76" s="1"/>
      <c r="D76" s="1"/>
      <c r="E76" s="1"/>
      <c r="F76" s="1"/>
      <c r="G76" s="1"/>
      <c r="H76" s="1"/>
    </row>
    <row r="77" spans="1:8" ht="22" customHeight="1">
      <c r="A77" s="1"/>
      <c r="B77" s="1"/>
      <c r="C77" s="1"/>
      <c r="D77" s="1"/>
      <c r="E77" s="1"/>
      <c r="F77" s="1"/>
      <c r="G77" s="1"/>
      <c r="H77" s="1"/>
    </row>
    <row r="78" spans="1:8" ht="22" customHeight="1">
      <c r="A78" s="1"/>
      <c r="B78" s="1"/>
      <c r="C78" s="1"/>
      <c r="D78" s="1"/>
      <c r="E78" s="1"/>
      <c r="F78" s="1"/>
      <c r="G78" s="1"/>
      <c r="H78" s="1"/>
    </row>
    <row r="79" spans="1:8" ht="22" customHeight="1">
      <c r="A79" s="1"/>
      <c r="B79" s="1"/>
      <c r="C79" s="1"/>
      <c r="D79" s="1"/>
      <c r="E79" s="1"/>
      <c r="F79" s="1"/>
      <c r="G79" s="1"/>
      <c r="H79" s="1"/>
    </row>
    <row r="80" spans="1:8" ht="22" customHeight="1">
      <c r="A80" s="1"/>
      <c r="B80" s="1"/>
      <c r="C80" s="1"/>
      <c r="D80" s="1"/>
      <c r="E80" s="1"/>
      <c r="F80" s="1"/>
      <c r="G80" s="1"/>
      <c r="H80" s="1"/>
    </row>
    <row r="81" spans="1:8" ht="22" customHeight="1">
      <c r="A81" s="1"/>
      <c r="B81" s="1"/>
      <c r="C81" s="1"/>
      <c r="D81" s="1"/>
      <c r="E81" s="1"/>
      <c r="F81" s="1"/>
      <c r="G81" s="1"/>
      <c r="H81" s="1"/>
    </row>
    <row r="82" spans="1:8" ht="22" customHeight="1">
      <c r="A82" s="1"/>
      <c r="B82" s="1"/>
      <c r="C82" s="1"/>
      <c r="D82" s="1"/>
      <c r="E82" s="1"/>
      <c r="F82" s="1"/>
      <c r="G82" s="1"/>
      <c r="H82" s="1"/>
    </row>
    <row r="83" spans="1:8" ht="22" customHeight="1">
      <c r="A83" s="1"/>
      <c r="B83" s="1"/>
      <c r="C83" s="1"/>
      <c r="D83" s="1"/>
      <c r="E83" s="1"/>
      <c r="F83" s="1"/>
      <c r="G83" s="1"/>
      <c r="H83" s="1"/>
    </row>
    <row r="84" spans="1:8" ht="22" customHeight="1">
      <c r="A84" s="1"/>
      <c r="B84" s="1"/>
      <c r="C84" s="1"/>
      <c r="D84" s="1"/>
      <c r="E84" s="1"/>
      <c r="F84" s="1"/>
      <c r="G84" s="1"/>
      <c r="H84" s="1"/>
    </row>
    <row r="85" spans="1:8" ht="22" customHeight="1">
      <c r="A85" s="1"/>
      <c r="B85" s="1"/>
      <c r="C85" s="1"/>
      <c r="D85" s="1"/>
      <c r="E85" s="1"/>
      <c r="F85" s="1"/>
      <c r="G85" s="1"/>
      <c r="H85" s="1"/>
    </row>
    <row r="86" spans="1:8" ht="22" customHeight="1">
      <c r="A86" s="1"/>
      <c r="B86" s="1"/>
      <c r="C86" s="1"/>
      <c r="D86" s="1"/>
      <c r="E86" s="1"/>
      <c r="F86" s="1"/>
      <c r="G86" s="1"/>
      <c r="H86" s="1"/>
    </row>
    <row r="87" spans="1:8" ht="22" customHeight="1">
      <c r="A87" s="1"/>
      <c r="B87" s="1"/>
      <c r="C87" s="1"/>
      <c r="D87" s="1"/>
      <c r="E87" s="1"/>
      <c r="F87" s="1"/>
      <c r="G87" s="1"/>
      <c r="H87" s="1"/>
    </row>
    <row r="88" spans="1:8" ht="22" customHeight="1">
      <c r="A88" s="1"/>
      <c r="B88" s="1"/>
      <c r="C88" s="1"/>
      <c r="D88" s="1"/>
      <c r="E88" s="1"/>
      <c r="F88" s="1"/>
      <c r="G88" s="1"/>
      <c r="H88" s="1"/>
    </row>
    <row r="89" spans="1:8" ht="22" customHeight="1">
      <c r="A89" s="1"/>
      <c r="B89" s="1"/>
      <c r="C89" s="1"/>
      <c r="D89" s="1"/>
      <c r="E89" s="1"/>
      <c r="F89" s="1"/>
      <c r="G89" s="1"/>
      <c r="H89" s="1"/>
    </row>
    <row r="90" spans="1:8" ht="22" customHeight="1">
      <c r="A90" s="1"/>
      <c r="B90" s="1"/>
      <c r="C90" s="1"/>
      <c r="D90" s="1"/>
      <c r="E90" s="1"/>
      <c r="F90" s="1"/>
      <c r="G90" s="1"/>
      <c r="H90" s="1"/>
    </row>
  </sheetData>
  <sheetProtection sheet="1" objects="1" scenarios="1"/>
  <mergeCells count="9">
    <mergeCell ref="C9:H9"/>
    <mergeCell ref="C12:H12"/>
    <mergeCell ref="A21:H22"/>
    <mergeCell ref="A25:H26"/>
    <mergeCell ref="A1:H2"/>
    <mergeCell ref="C5:H5"/>
    <mergeCell ref="C6:H6"/>
    <mergeCell ref="C7:H7"/>
    <mergeCell ref="C8:H8"/>
  </mergeCells>
  <dataValidations count="1">
    <dataValidation type="list" sqref="B9" xr:uid="{00000000-0002-0000-0100-000000000000}">
      <formula1>"monthly,fortnightly,weekly"</formula1>
    </dataValidation>
  </dataValidations>
  <pageMargins left="0.39370078740157477" right="0.39370078740157477" top="0.39370078740157477" bottom="0.39370078740157477" header="0.3" footer="0.3"/>
  <pageSetup paperSize="9" scale="80" orientation="landscape" r:id="rId1"/>
  <headerFooter>
    <oddFooter>&amp;CCalcy | Page &amp;P&amp;Rcalcy.com.au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EAF4EE"/>
    <pageSetUpPr fitToPage="1"/>
  </sheetPr>
  <dimension ref="A1:H2086"/>
  <sheetViews>
    <sheetView showGridLines="0" zoomScaleNormal="100" workbookViewId="0">
      <pane ySplit="6" topLeftCell="A7" activePane="bottomLeft" state="frozen"/>
      <selection pane="bottomLeft" sqref="A1:H2"/>
    </sheetView>
  </sheetViews>
  <sheetFormatPr defaultRowHeight="14.15"/>
  <cols>
    <col min="1" max="1" width="9" customWidth="1"/>
    <col min="2" max="2" width="16" customWidth="1"/>
    <col min="3" max="8" width="18" customWidth="1"/>
  </cols>
  <sheetData>
    <row r="1" spans="1:8" ht="22" customHeight="1">
      <c r="A1" s="12" t="s">
        <v>29</v>
      </c>
      <c r="B1" s="12" t="s">
        <v>29</v>
      </c>
      <c r="C1" s="12" t="s">
        <v>29</v>
      </c>
      <c r="D1" s="12" t="s">
        <v>29</v>
      </c>
      <c r="E1" s="12" t="s">
        <v>29</v>
      </c>
      <c r="F1" s="12" t="s">
        <v>29</v>
      </c>
      <c r="G1" s="12" t="s">
        <v>29</v>
      </c>
      <c r="H1" s="12" t="s">
        <v>29</v>
      </c>
    </row>
    <row r="2" spans="1:8" ht="22" customHeight="1">
      <c r="A2" s="12" t="s">
        <v>29</v>
      </c>
      <c r="B2" s="12" t="s">
        <v>29</v>
      </c>
      <c r="C2" s="12" t="s">
        <v>29</v>
      </c>
      <c r="D2" s="12" t="s">
        <v>29</v>
      </c>
      <c r="E2" s="12" t="s">
        <v>29</v>
      </c>
      <c r="F2" s="12" t="s">
        <v>29</v>
      </c>
      <c r="G2" s="12" t="s">
        <v>29</v>
      </c>
      <c r="H2" s="12" t="s">
        <v>29</v>
      </c>
    </row>
    <row r="3" spans="1:8" ht="22" customHeight="1">
      <c r="A3" s="1"/>
      <c r="B3" s="1"/>
      <c r="C3" s="1"/>
      <c r="D3" s="1"/>
      <c r="E3" s="1"/>
      <c r="F3" s="1"/>
      <c r="G3" s="1"/>
      <c r="H3" s="1"/>
    </row>
    <row r="4" spans="1:8" ht="22" customHeight="1">
      <c r="A4" s="1"/>
      <c r="B4" s="1"/>
      <c r="C4" s="1"/>
      <c r="D4" s="1"/>
      <c r="E4" s="1"/>
      <c r="F4" s="1"/>
      <c r="G4" s="1"/>
      <c r="H4" s="1"/>
    </row>
    <row r="5" spans="1:8" ht="22" customHeight="1">
      <c r="A5" s="1"/>
      <c r="B5" s="1"/>
      <c r="C5" s="1"/>
      <c r="D5" s="1"/>
      <c r="E5" s="1"/>
      <c r="F5" s="1"/>
      <c r="G5" s="1"/>
      <c r="H5" s="1"/>
    </row>
    <row r="6" spans="1:8" ht="32.049999999999997" customHeight="1">
      <c r="A6" s="3" t="s">
        <v>30</v>
      </c>
      <c r="B6" s="3" t="s">
        <v>31</v>
      </c>
      <c r="C6" s="3" t="s">
        <v>32</v>
      </c>
      <c r="D6" s="3" t="s">
        <v>33</v>
      </c>
      <c r="E6" s="3" t="s">
        <v>34</v>
      </c>
      <c r="F6" s="3" t="s">
        <v>35</v>
      </c>
      <c r="G6" s="3" t="s">
        <v>36</v>
      </c>
      <c r="H6" s="3" t="s">
        <v>37</v>
      </c>
    </row>
    <row r="7" spans="1:8" ht="22" customHeight="1">
      <c r="A7" s="1">
        <f>IF(AND('Loan Inputs'!$B$12,1&lt;=IF('Loan Inputs'!$B$12,'Loan Inputs'!$B$7,0)*'Loan Inputs'!$B$14+0,ISNUMBER('Loan Inputs'!$B$5),'Loan Inputs'!$B$5&gt;0),1,"")</f>
        <v>1</v>
      </c>
      <c r="B7" s="4">
        <f>IF(A7="","",IF('Loan Inputs'!$B$14=12,DATE(YEAR('Loan Inputs'!$B$8),MONTH('Loan Inputs'!$B$8)+A7,DAY('Loan Inputs'!$B$8)),'Loan Inputs'!$B$8+A7*IF('Loan Inputs'!$B$14=26,14,7)))</f>
        <v>46357</v>
      </c>
      <c r="C7" s="2">
        <f>IF(A7="","",'Loan Inputs'!$B$5)</f>
        <v>650000</v>
      </c>
      <c r="D7" s="2">
        <f>IF(A7="","",MIN('Loan Inputs'!$B$17,C7+E7)+H7)</f>
        <v>4061.5333678073534</v>
      </c>
      <c r="E7" s="2">
        <f>IF(A7="","",C7*'Loan Inputs'!$B$15)</f>
        <v>3461.25</v>
      </c>
      <c r="F7" s="2">
        <f t="shared" ref="F7:F70" si="0">IF(A7="","",MIN(C7,D7-E7))</f>
        <v>600.28336780735344</v>
      </c>
      <c r="G7" s="2">
        <f t="shared" ref="G7:G70" si="1">IF(A7="","",IF(C7-F7&lt;0.01,0,MAX(0,C7-F7)))</f>
        <v>649399.71663219261</v>
      </c>
      <c r="H7" s="2">
        <f>IF(A7="","",MIN(0,MAX(0,C7+E7-'Loan Inputs'!$B$17)))</f>
        <v>0</v>
      </c>
    </row>
    <row r="8" spans="1:8" ht="22" customHeight="1">
      <c r="A8" s="1">
        <f>IF(AND('Loan Inputs'!$B$12,2&lt;=IF('Loan Inputs'!$B$12,'Loan Inputs'!$B$7,0)*'Loan Inputs'!$B$14+0,ISNUMBER(G7),G7&gt;0),2,"")</f>
        <v>2</v>
      </c>
      <c r="B8" s="4">
        <f>IF(A8="","",IF('Loan Inputs'!$B$14=12,DATE(YEAR('Loan Inputs'!$B$8),MONTH('Loan Inputs'!$B$8)+A8,DAY('Loan Inputs'!$B$8)),'Loan Inputs'!$B$8+A8*IF('Loan Inputs'!$B$14=26,14,7)))</f>
        <v>46388</v>
      </c>
      <c r="C8" s="2">
        <f t="shared" ref="C8:C71" si="2">IF(A8="","",G7)</f>
        <v>649399.71663219261</v>
      </c>
      <c r="D8" s="2">
        <f>IF(A8="","",MIN('Loan Inputs'!$B$17,C8+E8)+H8)</f>
        <v>4061.5333678073534</v>
      </c>
      <c r="E8" s="2">
        <f>IF(A8="","",C8*'Loan Inputs'!$B$15)</f>
        <v>3458.0534910664255</v>
      </c>
      <c r="F8" s="2">
        <f t="shared" si="0"/>
        <v>603.47987674092792</v>
      </c>
      <c r="G8" s="2">
        <f t="shared" si="1"/>
        <v>648796.23675545165</v>
      </c>
      <c r="H8" s="2">
        <f>IF(A8="","",MIN(0,MAX(0,C8+E8-'Loan Inputs'!$B$17)))</f>
        <v>0</v>
      </c>
    </row>
    <row r="9" spans="1:8" ht="22" customHeight="1">
      <c r="A9" s="1">
        <f>IF(AND('Loan Inputs'!$B$12,3&lt;=IF('Loan Inputs'!$B$12,'Loan Inputs'!$B$7,0)*'Loan Inputs'!$B$14+0,ISNUMBER(G8),G8&gt;0),3,"")</f>
        <v>3</v>
      </c>
      <c r="B9" s="4">
        <f>IF(A9="","",IF('Loan Inputs'!$B$14=12,DATE(YEAR('Loan Inputs'!$B$8),MONTH('Loan Inputs'!$B$8)+A9,DAY('Loan Inputs'!$B$8)),'Loan Inputs'!$B$8+A9*IF('Loan Inputs'!$B$14=26,14,7)))</f>
        <v>46419</v>
      </c>
      <c r="C9" s="2">
        <f t="shared" si="2"/>
        <v>648796.23675545165</v>
      </c>
      <c r="D9" s="2">
        <f>IF(A9="","",MIN('Loan Inputs'!$B$17,C9+E9)+H9)</f>
        <v>4061.5333678073534</v>
      </c>
      <c r="E9" s="2">
        <f>IF(A9="","",C9*'Loan Inputs'!$B$15)</f>
        <v>3454.8399607227798</v>
      </c>
      <c r="F9" s="2">
        <f t="shared" si="0"/>
        <v>606.69340708457366</v>
      </c>
      <c r="G9" s="2">
        <f t="shared" si="1"/>
        <v>648189.54334836709</v>
      </c>
      <c r="H9" s="2">
        <f>IF(A9="","",MIN(0,MAX(0,C9+E9-'Loan Inputs'!$B$17)))</f>
        <v>0</v>
      </c>
    </row>
    <row r="10" spans="1:8" ht="22" customHeight="1">
      <c r="A10" s="1">
        <f>IF(AND('Loan Inputs'!$B$12,4&lt;=IF('Loan Inputs'!$B$12,'Loan Inputs'!$B$7,0)*'Loan Inputs'!$B$14+0,ISNUMBER(G9),G9&gt;0),4,"")</f>
        <v>4</v>
      </c>
      <c r="B10" s="4">
        <f>IF(A10="","",IF('Loan Inputs'!$B$14=12,DATE(YEAR('Loan Inputs'!$B$8),MONTH('Loan Inputs'!$B$8)+A10,DAY('Loan Inputs'!$B$8)),'Loan Inputs'!$B$8+A10*IF('Loan Inputs'!$B$14=26,14,7)))</f>
        <v>46447</v>
      </c>
      <c r="C10" s="2">
        <f t="shared" si="2"/>
        <v>648189.54334836709</v>
      </c>
      <c r="D10" s="2">
        <f>IF(A10="","",MIN('Loan Inputs'!$B$17,C10+E10)+H10)</f>
        <v>4061.5333678073534</v>
      </c>
      <c r="E10" s="2">
        <f>IF(A10="","",C10*'Loan Inputs'!$B$15)</f>
        <v>3451.6093183300545</v>
      </c>
      <c r="F10" s="2">
        <f t="shared" si="0"/>
        <v>609.92404947729892</v>
      </c>
      <c r="G10" s="2">
        <f t="shared" si="1"/>
        <v>647579.61929888977</v>
      </c>
      <c r="H10" s="2">
        <f>IF(A10="","",MIN(0,MAX(0,C10+E10-'Loan Inputs'!$B$17)))</f>
        <v>0</v>
      </c>
    </row>
    <row r="11" spans="1:8" ht="22" customHeight="1">
      <c r="A11" s="1">
        <f>IF(AND('Loan Inputs'!$B$12,5&lt;=IF('Loan Inputs'!$B$12,'Loan Inputs'!$B$7,0)*'Loan Inputs'!$B$14+0,ISNUMBER(G10),G10&gt;0),5,"")</f>
        <v>5</v>
      </c>
      <c r="B11" s="4">
        <f>IF(A11="","",IF('Loan Inputs'!$B$14=12,DATE(YEAR('Loan Inputs'!$B$8),MONTH('Loan Inputs'!$B$8)+A11,DAY('Loan Inputs'!$B$8)),'Loan Inputs'!$B$8+A11*IF('Loan Inputs'!$B$14=26,14,7)))</f>
        <v>46478</v>
      </c>
      <c r="C11" s="2">
        <f t="shared" si="2"/>
        <v>647579.61929888977</v>
      </c>
      <c r="D11" s="2">
        <f>IF(A11="","",MIN('Loan Inputs'!$B$17,C11+E11)+H11)</f>
        <v>4061.5333678073534</v>
      </c>
      <c r="E11" s="2">
        <f>IF(A11="","",C11*'Loan Inputs'!$B$15)</f>
        <v>3448.3614727665881</v>
      </c>
      <c r="F11" s="2">
        <f t="shared" si="0"/>
        <v>613.17189504076532</v>
      </c>
      <c r="G11" s="2">
        <f t="shared" si="1"/>
        <v>646966.44740384899</v>
      </c>
      <c r="H11" s="2">
        <f>IF(A11="","",MIN(0,MAX(0,C11+E11-'Loan Inputs'!$B$17)))</f>
        <v>0</v>
      </c>
    </row>
    <row r="12" spans="1:8" ht="22" customHeight="1">
      <c r="A12" s="1">
        <f>IF(AND('Loan Inputs'!$B$12,6&lt;=IF('Loan Inputs'!$B$12,'Loan Inputs'!$B$7,0)*'Loan Inputs'!$B$14+0,ISNUMBER(G11),G11&gt;0),6,"")</f>
        <v>6</v>
      </c>
      <c r="B12" s="4">
        <f>IF(A12="","",IF('Loan Inputs'!$B$14=12,DATE(YEAR('Loan Inputs'!$B$8),MONTH('Loan Inputs'!$B$8)+A12,DAY('Loan Inputs'!$B$8)),'Loan Inputs'!$B$8+A12*IF('Loan Inputs'!$B$14=26,14,7)))</f>
        <v>46508</v>
      </c>
      <c r="C12" s="2">
        <f t="shared" si="2"/>
        <v>646966.44740384899</v>
      </c>
      <c r="D12" s="2">
        <f>IF(A12="","",MIN('Loan Inputs'!$B$17,C12+E12)+H12)</f>
        <v>4061.5333678073534</v>
      </c>
      <c r="E12" s="2">
        <f>IF(A12="","",C12*'Loan Inputs'!$B$15)</f>
        <v>3445.0963324254958</v>
      </c>
      <c r="F12" s="2">
        <f t="shared" si="0"/>
        <v>616.43703538185764</v>
      </c>
      <c r="G12" s="2">
        <f t="shared" si="1"/>
        <v>646350.01036846708</v>
      </c>
      <c r="H12" s="2">
        <f>IF(A12="","",MIN(0,MAX(0,C12+E12-'Loan Inputs'!$B$17)))</f>
        <v>0</v>
      </c>
    </row>
    <row r="13" spans="1:8" ht="22" customHeight="1">
      <c r="A13" s="1">
        <f>IF(AND('Loan Inputs'!$B$12,7&lt;=IF('Loan Inputs'!$B$12,'Loan Inputs'!$B$7,0)*'Loan Inputs'!$B$14+0,ISNUMBER(G12),G12&gt;0),7,"")</f>
        <v>7</v>
      </c>
      <c r="B13" s="4">
        <f>IF(A13="","",IF('Loan Inputs'!$B$14=12,DATE(YEAR('Loan Inputs'!$B$8),MONTH('Loan Inputs'!$B$8)+A13,DAY('Loan Inputs'!$B$8)),'Loan Inputs'!$B$8+A13*IF('Loan Inputs'!$B$14=26,14,7)))</f>
        <v>46539</v>
      </c>
      <c r="C13" s="2">
        <f t="shared" si="2"/>
        <v>646350.01036846708</v>
      </c>
      <c r="D13" s="2">
        <f>IF(A13="","",MIN('Loan Inputs'!$B$17,C13+E13)+H13)</f>
        <v>4061.5333678073534</v>
      </c>
      <c r="E13" s="2">
        <f>IF(A13="","",C13*'Loan Inputs'!$B$15)</f>
        <v>3441.8138052120871</v>
      </c>
      <c r="F13" s="2">
        <f t="shared" si="0"/>
        <v>619.71956259526632</v>
      </c>
      <c r="G13" s="2">
        <f t="shared" si="1"/>
        <v>645730.29080587183</v>
      </c>
      <c r="H13" s="2">
        <f>IF(A13="","",MIN(0,MAX(0,C13+E13-'Loan Inputs'!$B$17)))</f>
        <v>0</v>
      </c>
    </row>
    <row r="14" spans="1:8" ht="22" customHeight="1">
      <c r="A14" s="1">
        <f>IF(AND('Loan Inputs'!$B$12,8&lt;=IF('Loan Inputs'!$B$12,'Loan Inputs'!$B$7,0)*'Loan Inputs'!$B$14+0,ISNUMBER(G13),G13&gt;0),8,"")</f>
        <v>8</v>
      </c>
      <c r="B14" s="4">
        <f>IF(A14="","",IF('Loan Inputs'!$B$14=12,DATE(YEAR('Loan Inputs'!$B$8),MONTH('Loan Inputs'!$B$8)+A14,DAY('Loan Inputs'!$B$8)),'Loan Inputs'!$B$8+A14*IF('Loan Inputs'!$B$14=26,14,7)))</f>
        <v>46569</v>
      </c>
      <c r="C14" s="2">
        <f t="shared" si="2"/>
        <v>645730.29080587183</v>
      </c>
      <c r="D14" s="2">
        <f>IF(A14="","",MIN('Loan Inputs'!$B$17,C14+E14)+H14)</f>
        <v>4061.5333678073534</v>
      </c>
      <c r="E14" s="2">
        <f>IF(A14="","",C14*'Loan Inputs'!$B$15)</f>
        <v>3438.5137985412675</v>
      </c>
      <c r="F14" s="2">
        <f t="shared" si="0"/>
        <v>623.01956926608591</v>
      </c>
      <c r="G14" s="2">
        <f t="shared" si="1"/>
        <v>645107.27123660571</v>
      </c>
      <c r="H14" s="2">
        <f>IF(A14="","",MIN(0,MAX(0,C14+E14-'Loan Inputs'!$B$17)))</f>
        <v>0</v>
      </c>
    </row>
    <row r="15" spans="1:8" ht="22" customHeight="1">
      <c r="A15" s="1">
        <f>IF(AND('Loan Inputs'!$B$12,9&lt;=IF('Loan Inputs'!$B$12,'Loan Inputs'!$B$7,0)*'Loan Inputs'!$B$14+0,ISNUMBER(G14),G14&gt;0),9,"")</f>
        <v>9</v>
      </c>
      <c r="B15" s="4">
        <f>IF(A15="","",IF('Loan Inputs'!$B$14=12,DATE(YEAR('Loan Inputs'!$B$8),MONTH('Loan Inputs'!$B$8)+A15,DAY('Loan Inputs'!$B$8)),'Loan Inputs'!$B$8+A15*IF('Loan Inputs'!$B$14=26,14,7)))</f>
        <v>46600</v>
      </c>
      <c r="C15" s="2">
        <f t="shared" si="2"/>
        <v>645107.27123660571</v>
      </c>
      <c r="D15" s="2">
        <f>IF(A15="","",MIN('Loan Inputs'!$B$17,C15+E15)+H15)</f>
        <v>4061.5333678073534</v>
      </c>
      <c r="E15" s="2">
        <f>IF(A15="","",C15*'Loan Inputs'!$B$15)</f>
        <v>3435.1962193349254</v>
      </c>
      <c r="F15" s="2">
        <f t="shared" si="0"/>
        <v>626.337148472428</v>
      </c>
      <c r="G15" s="2">
        <f t="shared" si="1"/>
        <v>644480.93408813328</v>
      </c>
      <c r="H15" s="2">
        <f>IF(A15="","",MIN(0,MAX(0,C15+E15-'Loan Inputs'!$B$17)))</f>
        <v>0</v>
      </c>
    </row>
    <row r="16" spans="1:8" ht="22" customHeight="1">
      <c r="A16" s="1">
        <f>IF(AND('Loan Inputs'!$B$12,10&lt;=IF('Loan Inputs'!$B$12,'Loan Inputs'!$B$7,0)*'Loan Inputs'!$B$14+0,ISNUMBER(G15),G15&gt;0),10,"")</f>
        <v>10</v>
      </c>
      <c r="B16" s="4">
        <f>IF(A16="","",IF('Loan Inputs'!$B$14=12,DATE(YEAR('Loan Inputs'!$B$8),MONTH('Loan Inputs'!$B$8)+A16,DAY('Loan Inputs'!$B$8)),'Loan Inputs'!$B$8+A16*IF('Loan Inputs'!$B$14=26,14,7)))</f>
        <v>46631</v>
      </c>
      <c r="C16" s="2">
        <f t="shared" si="2"/>
        <v>644480.93408813328</v>
      </c>
      <c r="D16" s="2">
        <f>IF(A16="","",MIN('Loan Inputs'!$B$17,C16+E16)+H16)</f>
        <v>4061.5333678073534</v>
      </c>
      <c r="E16" s="2">
        <f>IF(A16="","",C16*'Loan Inputs'!$B$15)</f>
        <v>3431.8609740193097</v>
      </c>
      <c r="F16" s="2">
        <f t="shared" si="0"/>
        <v>629.67239378804379</v>
      </c>
      <c r="G16" s="2">
        <f t="shared" si="1"/>
        <v>643851.26169434527</v>
      </c>
      <c r="H16" s="2">
        <f>IF(A16="","",MIN(0,MAX(0,C16+E16-'Loan Inputs'!$B$17)))</f>
        <v>0</v>
      </c>
    </row>
    <row r="17" spans="1:8" ht="22" customHeight="1">
      <c r="A17" s="1">
        <f>IF(AND('Loan Inputs'!$B$12,11&lt;=IF('Loan Inputs'!$B$12,'Loan Inputs'!$B$7,0)*'Loan Inputs'!$B$14+0,ISNUMBER(G16),G16&gt;0),11,"")</f>
        <v>11</v>
      </c>
      <c r="B17" s="4">
        <f>IF(A17="","",IF('Loan Inputs'!$B$14=12,DATE(YEAR('Loan Inputs'!$B$8),MONTH('Loan Inputs'!$B$8)+A17,DAY('Loan Inputs'!$B$8)),'Loan Inputs'!$B$8+A17*IF('Loan Inputs'!$B$14=26,14,7)))</f>
        <v>46661</v>
      </c>
      <c r="C17" s="2">
        <f t="shared" si="2"/>
        <v>643851.26169434527</v>
      </c>
      <c r="D17" s="2">
        <f>IF(A17="","",MIN('Loan Inputs'!$B$17,C17+E17)+H17)</f>
        <v>4061.5333678073534</v>
      </c>
      <c r="E17" s="2">
        <f>IF(A17="","",C17*'Loan Inputs'!$B$15)</f>
        <v>3428.5079685223886</v>
      </c>
      <c r="F17" s="2">
        <f t="shared" si="0"/>
        <v>633.02539928496481</v>
      </c>
      <c r="G17" s="2">
        <f t="shared" si="1"/>
        <v>643218.23629506025</v>
      </c>
      <c r="H17" s="2">
        <f>IF(A17="","",MIN(0,MAX(0,C17+E17-'Loan Inputs'!$B$17)))</f>
        <v>0</v>
      </c>
    </row>
    <row r="18" spans="1:8" ht="22" customHeight="1">
      <c r="A18" s="1">
        <f>IF(AND('Loan Inputs'!$B$12,12&lt;=IF('Loan Inputs'!$B$12,'Loan Inputs'!$B$7,0)*'Loan Inputs'!$B$14+0,ISNUMBER(G17),G17&gt;0),12,"")</f>
        <v>12</v>
      </c>
      <c r="B18" s="4">
        <f>IF(A18="","",IF('Loan Inputs'!$B$14=12,DATE(YEAR('Loan Inputs'!$B$8),MONTH('Loan Inputs'!$B$8)+A18,DAY('Loan Inputs'!$B$8)),'Loan Inputs'!$B$8+A18*IF('Loan Inputs'!$B$14=26,14,7)))</f>
        <v>46692</v>
      </c>
      <c r="C18" s="2">
        <f t="shared" si="2"/>
        <v>643218.23629506025</v>
      </c>
      <c r="D18" s="2">
        <f>IF(A18="","",MIN('Loan Inputs'!$B$17,C18+E18)+H18)</f>
        <v>4061.5333678073534</v>
      </c>
      <c r="E18" s="2">
        <f>IF(A18="","",C18*'Loan Inputs'!$B$15)</f>
        <v>3425.1371082711958</v>
      </c>
      <c r="F18" s="2">
        <f t="shared" si="0"/>
        <v>636.39625953615769</v>
      </c>
      <c r="G18" s="2">
        <f t="shared" si="1"/>
        <v>642581.8400355241</v>
      </c>
      <c r="H18" s="2">
        <f>IF(A18="","",MIN(0,MAX(0,C18+E18-'Loan Inputs'!$B$17)))</f>
        <v>0</v>
      </c>
    </row>
    <row r="19" spans="1:8" ht="22" customHeight="1">
      <c r="A19" s="1">
        <f>IF(AND('Loan Inputs'!$B$12,13&lt;=IF('Loan Inputs'!$B$12,'Loan Inputs'!$B$7,0)*'Loan Inputs'!$B$14+0,ISNUMBER(G18),G18&gt;0),13,"")</f>
        <v>13</v>
      </c>
      <c r="B19" s="4">
        <f>IF(A19="","",IF('Loan Inputs'!$B$14=12,DATE(YEAR('Loan Inputs'!$B$8),MONTH('Loan Inputs'!$B$8)+A19,DAY('Loan Inputs'!$B$8)),'Loan Inputs'!$B$8+A19*IF('Loan Inputs'!$B$14=26,14,7)))</f>
        <v>46722</v>
      </c>
      <c r="C19" s="2">
        <f t="shared" si="2"/>
        <v>642581.8400355241</v>
      </c>
      <c r="D19" s="2">
        <f>IF(A19="","",MIN('Loan Inputs'!$B$17,C19+E19)+H19)</f>
        <v>4061.5333678073534</v>
      </c>
      <c r="E19" s="2">
        <f>IF(A19="","",C19*'Loan Inputs'!$B$15)</f>
        <v>3421.7482981891658</v>
      </c>
      <c r="F19" s="2">
        <f t="shared" si="0"/>
        <v>639.78506961818766</v>
      </c>
      <c r="G19" s="2">
        <f t="shared" si="1"/>
        <v>641942.05496590596</v>
      </c>
      <c r="H19" s="2">
        <f>IF(A19="","",MIN(0,MAX(0,C19+E19-'Loan Inputs'!$B$17)))</f>
        <v>0</v>
      </c>
    </row>
    <row r="20" spans="1:8" ht="22" customHeight="1">
      <c r="A20" s="1">
        <f>IF(AND('Loan Inputs'!$B$12,14&lt;=IF('Loan Inputs'!$B$12,'Loan Inputs'!$B$7,0)*'Loan Inputs'!$B$14+0,ISNUMBER(G19),G19&gt;0),14,"")</f>
        <v>14</v>
      </c>
      <c r="B20" s="4">
        <f>IF(A20="","",IF('Loan Inputs'!$B$14=12,DATE(YEAR('Loan Inputs'!$B$8),MONTH('Loan Inputs'!$B$8)+A20,DAY('Loan Inputs'!$B$8)),'Loan Inputs'!$B$8+A20*IF('Loan Inputs'!$B$14=26,14,7)))</f>
        <v>46753</v>
      </c>
      <c r="C20" s="2">
        <f t="shared" si="2"/>
        <v>641942.05496590596</v>
      </c>
      <c r="D20" s="2">
        <f>IF(A20="","",MIN('Loan Inputs'!$B$17,C20+E20)+H20)</f>
        <v>4061.5333678073534</v>
      </c>
      <c r="E20" s="2">
        <f>IF(A20="","",C20*'Loan Inputs'!$B$15)</f>
        <v>3418.3414426934492</v>
      </c>
      <c r="F20" s="2">
        <f t="shared" si="0"/>
        <v>643.19192511390429</v>
      </c>
      <c r="G20" s="2">
        <f t="shared" si="1"/>
        <v>641298.86304079206</v>
      </c>
      <c r="H20" s="2">
        <f>IF(A20="","",MIN(0,MAX(0,C20+E20-'Loan Inputs'!$B$17)))</f>
        <v>0</v>
      </c>
    </row>
    <row r="21" spans="1:8" ht="22" customHeight="1">
      <c r="A21" s="1">
        <f>IF(AND('Loan Inputs'!$B$12,15&lt;=IF('Loan Inputs'!$B$12,'Loan Inputs'!$B$7,0)*'Loan Inputs'!$B$14+0,ISNUMBER(G20),G20&gt;0),15,"")</f>
        <v>15</v>
      </c>
      <c r="B21" s="4">
        <f>IF(A21="","",IF('Loan Inputs'!$B$14=12,DATE(YEAR('Loan Inputs'!$B$8),MONTH('Loan Inputs'!$B$8)+A21,DAY('Loan Inputs'!$B$8)),'Loan Inputs'!$B$8+A21*IF('Loan Inputs'!$B$14=26,14,7)))</f>
        <v>46784</v>
      </c>
      <c r="C21" s="2">
        <f t="shared" si="2"/>
        <v>641298.86304079206</v>
      </c>
      <c r="D21" s="2">
        <f>IF(A21="","",MIN('Loan Inputs'!$B$17,C21+E21)+H21)</f>
        <v>4061.5333678073534</v>
      </c>
      <c r="E21" s="2">
        <f>IF(A21="","",C21*'Loan Inputs'!$B$15)</f>
        <v>3414.9164456922176</v>
      </c>
      <c r="F21" s="2">
        <f t="shared" si="0"/>
        <v>646.61692211513582</v>
      </c>
      <c r="G21" s="2">
        <f t="shared" si="1"/>
        <v>640652.24611867697</v>
      </c>
      <c r="H21" s="2">
        <f>IF(A21="","",MIN(0,MAX(0,C21+E21-'Loan Inputs'!$B$17)))</f>
        <v>0</v>
      </c>
    </row>
    <row r="22" spans="1:8" ht="22" customHeight="1">
      <c r="A22" s="1">
        <f>IF(AND('Loan Inputs'!$B$12,16&lt;=IF('Loan Inputs'!$B$12,'Loan Inputs'!$B$7,0)*'Loan Inputs'!$B$14+0,ISNUMBER(G21),G21&gt;0),16,"")</f>
        <v>16</v>
      </c>
      <c r="B22" s="4">
        <f>IF(A22="","",IF('Loan Inputs'!$B$14=12,DATE(YEAR('Loan Inputs'!$B$8),MONTH('Loan Inputs'!$B$8)+A22,DAY('Loan Inputs'!$B$8)),'Loan Inputs'!$B$8+A22*IF('Loan Inputs'!$B$14=26,14,7)))</f>
        <v>46813</v>
      </c>
      <c r="C22" s="2">
        <f t="shared" si="2"/>
        <v>640652.24611867697</v>
      </c>
      <c r="D22" s="2">
        <f>IF(A22="","",MIN('Loan Inputs'!$B$17,C22+E22)+H22)</f>
        <v>4061.5333678073534</v>
      </c>
      <c r="E22" s="2">
        <f>IF(A22="","",C22*'Loan Inputs'!$B$15)</f>
        <v>3411.4732105819548</v>
      </c>
      <c r="F22" s="2">
        <f t="shared" si="0"/>
        <v>650.0601572253986</v>
      </c>
      <c r="G22" s="2">
        <f t="shared" si="1"/>
        <v>640002.18596145161</v>
      </c>
      <c r="H22" s="2">
        <f>IF(A22="","",MIN(0,MAX(0,C22+E22-'Loan Inputs'!$B$17)))</f>
        <v>0</v>
      </c>
    </row>
    <row r="23" spans="1:8" ht="22" customHeight="1">
      <c r="A23" s="1">
        <f>IF(AND('Loan Inputs'!$B$12,17&lt;=IF('Loan Inputs'!$B$12,'Loan Inputs'!$B$7,0)*'Loan Inputs'!$B$14+0,ISNUMBER(G22),G22&gt;0),17,"")</f>
        <v>17</v>
      </c>
      <c r="B23" s="4">
        <f>IF(A23="","",IF('Loan Inputs'!$B$14=12,DATE(YEAR('Loan Inputs'!$B$8),MONTH('Loan Inputs'!$B$8)+A23,DAY('Loan Inputs'!$B$8)),'Loan Inputs'!$B$8+A23*IF('Loan Inputs'!$B$14=26,14,7)))</f>
        <v>46844</v>
      </c>
      <c r="C23" s="2">
        <f t="shared" si="2"/>
        <v>640002.18596145161</v>
      </c>
      <c r="D23" s="2">
        <f>IF(A23="","",MIN('Loan Inputs'!$B$17,C23+E23)+H23)</f>
        <v>4061.5333678073534</v>
      </c>
      <c r="E23" s="2">
        <f>IF(A23="","",C23*'Loan Inputs'!$B$15)</f>
        <v>3408.0116402447297</v>
      </c>
      <c r="F23" s="2">
        <f t="shared" si="0"/>
        <v>653.52172756262371</v>
      </c>
      <c r="G23" s="2">
        <f t="shared" si="1"/>
        <v>639348.66423388897</v>
      </c>
      <c r="H23" s="2">
        <f>IF(A23="","",MIN(0,MAX(0,C23+E23-'Loan Inputs'!$B$17)))</f>
        <v>0</v>
      </c>
    </row>
    <row r="24" spans="1:8" ht="22" customHeight="1">
      <c r="A24" s="1">
        <f>IF(AND('Loan Inputs'!$B$12,18&lt;=IF('Loan Inputs'!$B$12,'Loan Inputs'!$B$7,0)*'Loan Inputs'!$B$14+0,ISNUMBER(G23),G23&gt;0),18,"")</f>
        <v>18</v>
      </c>
      <c r="B24" s="4">
        <f>IF(A24="","",IF('Loan Inputs'!$B$14=12,DATE(YEAR('Loan Inputs'!$B$8),MONTH('Loan Inputs'!$B$8)+A24,DAY('Loan Inputs'!$B$8)),'Loan Inputs'!$B$8+A24*IF('Loan Inputs'!$B$14=26,14,7)))</f>
        <v>46874</v>
      </c>
      <c r="C24" s="2">
        <f t="shared" si="2"/>
        <v>639348.66423388897</v>
      </c>
      <c r="D24" s="2">
        <f>IF(A24="","",MIN('Loan Inputs'!$B$17,C24+E24)+H24)</f>
        <v>4061.5333678073534</v>
      </c>
      <c r="E24" s="2">
        <f>IF(A24="","",C24*'Loan Inputs'!$B$15)</f>
        <v>3404.5316370454589</v>
      </c>
      <c r="F24" s="2">
        <f t="shared" si="0"/>
        <v>657.00173076189458</v>
      </c>
      <c r="G24" s="2">
        <f t="shared" si="1"/>
        <v>638691.66250312713</v>
      </c>
      <c r="H24" s="2">
        <f>IF(A24="","",MIN(0,MAX(0,C24+E24-'Loan Inputs'!$B$17)))</f>
        <v>0</v>
      </c>
    </row>
    <row r="25" spans="1:8" ht="22" customHeight="1">
      <c r="A25" s="1">
        <f>IF(AND('Loan Inputs'!$B$12,19&lt;=IF('Loan Inputs'!$B$12,'Loan Inputs'!$B$7,0)*'Loan Inputs'!$B$14+0,ISNUMBER(G24),G24&gt;0),19,"")</f>
        <v>19</v>
      </c>
      <c r="B25" s="4">
        <f>IF(A25="","",IF('Loan Inputs'!$B$14=12,DATE(YEAR('Loan Inputs'!$B$8),MONTH('Loan Inputs'!$B$8)+A25,DAY('Loan Inputs'!$B$8)),'Loan Inputs'!$B$8+A25*IF('Loan Inputs'!$B$14=26,14,7)))</f>
        <v>46905</v>
      </c>
      <c r="C25" s="2">
        <f t="shared" si="2"/>
        <v>638691.66250312713</v>
      </c>
      <c r="D25" s="2">
        <f>IF(A25="","",MIN('Loan Inputs'!$B$17,C25+E25)+H25)</f>
        <v>4061.5333678073534</v>
      </c>
      <c r="E25" s="2">
        <f>IF(A25="","",C25*'Loan Inputs'!$B$15)</f>
        <v>3401.0331028291521</v>
      </c>
      <c r="F25" s="2">
        <f t="shared" si="0"/>
        <v>660.50026497820136</v>
      </c>
      <c r="G25" s="2">
        <f t="shared" si="1"/>
        <v>638031.16223814897</v>
      </c>
      <c r="H25" s="2">
        <f>IF(A25="","",MIN(0,MAX(0,C25+E25-'Loan Inputs'!$B$17)))</f>
        <v>0</v>
      </c>
    </row>
    <row r="26" spans="1:8" ht="22" customHeight="1">
      <c r="A26" s="1">
        <f>IF(AND('Loan Inputs'!$B$12,20&lt;=IF('Loan Inputs'!$B$12,'Loan Inputs'!$B$7,0)*'Loan Inputs'!$B$14+0,ISNUMBER(G25),G25&gt;0),20,"")</f>
        <v>20</v>
      </c>
      <c r="B26" s="4">
        <f>IF(A26="","",IF('Loan Inputs'!$B$14=12,DATE(YEAR('Loan Inputs'!$B$8),MONTH('Loan Inputs'!$B$8)+A26,DAY('Loan Inputs'!$B$8)),'Loan Inputs'!$B$8+A26*IF('Loan Inputs'!$B$14=26,14,7)))</f>
        <v>46935</v>
      </c>
      <c r="C26" s="2">
        <f t="shared" si="2"/>
        <v>638031.16223814897</v>
      </c>
      <c r="D26" s="2">
        <f>IF(A26="","",MIN('Loan Inputs'!$B$17,C26+E26)+H26)</f>
        <v>4061.5333678073534</v>
      </c>
      <c r="E26" s="2">
        <f>IF(A26="","",C26*'Loan Inputs'!$B$15)</f>
        <v>3397.5159389181431</v>
      </c>
      <c r="F26" s="2">
        <f t="shared" si="0"/>
        <v>664.01742888921035</v>
      </c>
      <c r="G26" s="2">
        <f t="shared" si="1"/>
        <v>637367.1448092598</v>
      </c>
      <c r="H26" s="2">
        <f>IF(A26="","",MIN(0,MAX(0,C26+E26-'Loan Inputs'!$B$17)))</f>
        <v>0</v>
      </c>
    </row>
    <row r="27" spans="1:8" ht="22" customHeight="1">
      <c r="A27" s="1">
        <f>IF(AND('Loan Inputs'!$B$12,21&lt;=IF('Loan Inputs'!$B$12,'Loan Inputs'!$B$7,0)*'Loan Inputs'!$B$14+0,ISNUMBER(G26),G26&gt;0),21,"")</f>
        <v>21</v>
      </c>
      <c r="B27" s="4">
        <f>IF(A27="","",IF('Loan Inputs'!$B$14=12,DATE(YEAR('Loan Inputs'!$B$8),MONTH('Loan Inputs'!$B$8)+A27,DAY('Loan Inputs'!$B$8)),'Loan Inputs'!$B$8+A27*IF('Loan Inputs'!$B$14=26,14,7)))</f>
        <v>46966</v>
      </c>
      <c r="C27" s="2">
        <f t="shared" si="2"/>
        <v>637367.1448092598</v>
      </c>
      <c r="D27" s="2">
        <f>IF(A27="","",MIN('Loan Inputs'!$B$17,C27+E27)+H27)</f>
        <v>4061.5333678073534</v>
      </c>
      <c r="E27" s="2">
        <f>IF(A27="","",C27*'Loan Inputs'!$B$15)</f>
        <v>3393.9800461093082</v>
      </c>
      <c r="F27" s="2">
        <f t="shared" si="0"/>
        <v>667.55332169804524</v>
      </c>
      <c r="G27" s="2">
        <f t="shared" si="1"/>
        <v>636699.5914875617</v>
      </c>
      <c r="H27" s="2">
        <f>IF(A27="","",MIN(0,MAX(0,C27+E27-'Loan Inputs'!$B$17)))</f>
        <v>0</v>
      </c>
    </row>
    <row r="28" spans="1:8" ht="22" customHeight="1">
      <c r="A28" s="1">
        <f>IF(AND('Loan Inputs'!$B$12,22&lt;=IF('Loan Inputs'!$B$12,'Loan Inputs'!$B$7,0)*'Loan Inputs'!$B$14+0,ISNUMBER(G27),G27&gt;0),22,"")</f>
        <v>22</v>
      </c>
      <c r="B28" s="4">
        <f>IF(A28="","",IF('Loan Inputs'!$B$14=12,DATE(YEAR('Loan Inputs'!$B$8),MONTH('Loan Inputs'!$B$8)+A28,DAY('Loan Inputs'!$B$8)),'Loan Inputs'!$B$8+A28*IF('Loan Inputs'!$B$14=26,14,7)))</f>
        <v>46997</v>
      </c>
      <c r="C28" s="2">
        <f t="shared" si="2"/>
        <v>636699.5914875617</v>
      </c>
      <c r="D28" s="2">
        <f>IF(A28="","",MIN('Loan Inputs'!$B$17,C28+E28)+H28)</f>
        <v>4061.5333678073534</v>
      </c>
      <c r="E28" s="2">
        <f>IF(A28="","",C28*'Loan Inputs'!$B$15)</f>
        <v>3390.425324671266</v>
      </c>
      <c r="F28" s="2">
        <f t="shared" si="0"/>
        <v>671.10804313608742</v>
      </c>
      <c r="G28" s="2">
        <f t="shared" si="1"/>
        <v>636028.48344442563</v>
      </c>
      <c r="H28" s="2">
        <f>IF(A28="","",MIN(0,MAX(0,C28+E28-'Loan Inputs'!$B$17)))</f>
        <v>0</v>
      </c>
    </row>
    <row r="29" spans="1:8" ht="22" customHeight="1">
      <c r="A29" s="1">
        <f>IF(AND('Loan Inputs'!$B$12,23&lt;=IF('Loan Inputs'!$B$12,'Loan Inputs'!$B$7,0)*'Loan Inputs'!$B$14+0,ISNUMBER(G28),G28&gt;0),23,"")</f>
        <v>23</v>
      </c>
      <c r="B29" s="4">
        <f>IF(A29="","",IF('Loan Inputs'!$B$14=12,DATE(YEAR('Loan Inputs'!$B$8),MONTH('Loan Inputs'!$B$8)+A29,DAY('Loan Inputs'!$B$8)),'Loan Inputs'!$B$8+A29*IF('Loan Inputs'!$B$14=26,14,7)))</f>
        <v>47027</v>
      </c>
      <c r="C29" s="2">
        <f t="shared" si="2"/>
        <v>636028.48344442563</v>
      </c>
      <c r="D29" s="2">
        <f>IF(A29="","",MIN('Loan Inputs'!$B$17,C29+E29)+H29)</f>
        <v>4061.5333678073534</v>
      </c>
      <c r="E29" s="2">
        <f>IF(A29="","",C29*'Loan Inputs'!$B$15)</f>
        <v>3386.8516743415662</v>
      </c>
      <c r="F29" s="2">
        <f t="shared" si="0"/>
        <v>674.68169346578725</v>
      </c>
      <c r="G29" s="2">
        <f t="shared" si="1"/>
        <v>635353.80175095983</v>
      </c>
      <c r="H29" s="2">
        <f>IF(A29="","",MIN(0,MAX(0,C29+E29-'Loan Inputs'!$B$17)))</f>
        <v>0</v>
      </c>
    </row>
    <row r="30" spans="1:8" ht="22" customHeight="1">
      <c r="A30" s="1">
        <f>IF(AND('Loan Inputs'!$B$12,24&lt;=IF('Loan Inputs'!$B$12,'Loan Inputs'!$B$7,0)*'Loan Inputs'!$B$14+0,ISNUMBER(G29),G29&gt;0),24,"")</f>
        <v>24</v>
      </c>
      <c r="B30" s="4">
        <f>IF(A30="","",IF('Loan Inputs'!$B$14=12,DATE(YEAR('Loan Inputs'!$B$8),MONTH('Loan Inputs'!$B$8)+A30,DAY('Loan Inputs'!$B$8)),'Loan Inputs'!$B$8+A30*IF('Loan Inputs'!$B$14=26,14,7)))</f>
        <v>47058</v>
      </c>
      <c r="C30" s="2">
        <f t="shared" si="2"/>
        <v>635353.80175095983</v>
      </c>
      <c r="D30" s="2">
        <f>IF(A30="","",MIN('Loan Inputs'!$B$17,C30+E30)+H30)</f>
        <v>4061.5333678073534</v>
      </c>
      <c r="E30" s="2">
        <f>IF(A30="","",C30*'Loan Inputs'!$B$15)</f>
        <v>3383.2589943238609</v>
      </c>
      <c r="F30" s="2">
        <f t="shared" si="0"/>
        <v>678.27437348349258</v>
      </c>
      <c r="G30" s="2">
        <f t="shared" si="1"/>
        <v>634675.52737747633</v>
      </c>
      <c r="H30" s="2">
        <f>IF(A30="","",MIN(0,MAX(0,C30+E30-'Loan Inputs'!$B$17)))</f>
        <v>0</v>
      </c>
    </row>
    <row r="31" spans="1:8" ht="22" customHeight="1">
      <c r="A31" s="1">
        <f>IF(AND('Loan Inputs'!$B$12,25&lt;=IF('Loan Inputs'!$B$12,'Loan Inputs'!$B$7,0)*'Loan Inputs'!$B$14+0,ISNUMBER(G30),G30&gt;0),25,"")</f>
        <v>25</v>
      </c>
      <c r="B31" s="4">
        <f>IF(A31="","",IF('Loan Inputs'!$B$14=12,DATE(YEAR('Loan Inputs'!$B$8),MONTH('Loan Inputs'!$B$8)+A31,DAY('Loan Inputs'!$B$8)),'Loan Inputs'!$B$8+A31*IF('Loan Inputs'!$B$14=26,14,7)))</f>
        <v>47088</v>
      </c>
      <c r="C31" s="2">
        <f t="shared" si="2"/>
        <v>634675.52737747633</v>
      </c>
      <c r="D31" s="2">
        <f>IF(A31="","",MIN('Loan Inputs'!$B$17,C31+E31)+H31)</f>
        <v>4061.5333678073534</v>
      </c>
      <c r="E31" s="2">
        <f>IF(A31="","",C31*'Loan Inputs'!$B$15)</f>
        <v>3379.6471832850616</v>
      </c>
      <c r="F31" s="2">
        <f t="shared" si="0"/>
        <v>681.88618452229184</v>
      </c>
      <c r="G31" s="2">
        <f t="shared" si="1"/>
        <v>633993.64119295403</v>
      </c>
      <c r="H31" s="2">
        <f>IF(A31="","",MIN(0,MAX(0,C31+E31-'Loan Inputs'!$B$17)))</f>
        <v>0</v>
      </c>
    </row>
    <row r="32" spans="1:8" ht="22" customHeight="1">
      <c r="A32" s="1">
        <f>IF(AND('Loan Inputs'!$B$12,26&lt;=IF('Loan Inputs'!$B$12,'Loan Inputs'!$B$7,0)*'Loan Inputs'!$B$14+0,ISNUMBER(G31),G31&gt;0),26,"")</f>
        <v>26</v>
      </c>
      <c r="B32" s="4">
        <f>IF(A32="","",IF('Loan Inputs'!$B$14=12,DATE(YEAR('Loan Inputs'!$B$8),MONTH('Loan Inputs'!$B$8)+A32,DAY('Loan Inputs'!$B$8)),'Loan Inputs'!$B$8+A32*IF('Loan Inputs'!$B$14=26,14,7)))</f>
        <v>47119</v>
      </c>
      <c r="C32" s="2">
        <f t="shared" si="2"/>
        <v>633993.64119295403</v>
      </c>
      <c r="D32" s="2">
        <f>IF(A32="","",MIN('Loan Inputs'!$B$17,C32+E32)+H32)</f>
        <v>4061.5333678073534</v>
      </c>
      <c r="E32" s="2">
        <f>IF(A32="","",C32*'Loan Inputs'!$B$15)</f>
        <v>3376.01613935248</v>
      </c>
      <c r="F32" s="2">
        <f t="shared" si="0"/>
        <v>685.51722845487348</v>
      </c>
      <c r="G32" s="2">
        <f t="shared" si="1"/>
        <v>633308.12396449922</v>
      </c>
      <c r="H32" s="2">
        <f>IF(A32="","",MIN(0,MAX(0,C32+E32-'Loan Inputs'!$B$17)))</f>
        <v>0</v>
      </c>
    </row>
    <row r="33" spans="1:8" ht="22" customHeight="1">
      <c r="A33" s="1">
        <f>IF(AND('Loan Inputs'!$B$12,27&lt;=IF('Loan Inputs'!$B$12,'Loan Inputs'!$B$7,0)*'Loan Inputs'!$B$14+0,ISNUMBER(G32),G32&gt;0),27,"")</f>
        <v>27</v>
      </c>
      <c r="B33" s="4">
        <f>IF(A33="","",IF('Loan Inputs'!$B$14=12,DATE(YEAR('Loan Inputs'!$B$8),MONTH('Loan Inputs'!$B$8)+A33,DAY('Loan Inputs'!$B$8)),'Loan Inputs'!$B$8+A33*IF('Loan Inputs'!$B$14=26,14,7)))</f>
        <v>47150</v>
      </c>
      <c r="C33" s="2">
        <f t="shared" si="2"/>
        <v>633308.12396449922</v>
      </c>
      <c r="D33" s="2">
        <f>IF(A33="","",MIN('Loan Inputs'!$B$17,C33+E33)+H33)</f>
        <v>4061.5333678073534</v>
      </c>
      <c r="E33" s="2">
        <f>IF(A33="","",C33*'Loan Inputs'!$B$15)</f>
        <v>3372.365760110958</v>
      </c>
      <c r="F33" s="2">
        <f t="shared" si="0"/>
        <v>689.16760769639541</v>
      </c>
      <c r="G33" s="2">
        <f t="shared" si="1"/>
        <v>632618.95635680284</v>
      </c>
      <c r="H33" s="2">
        <f>IF(A33="","",MIN(0,MAX(0,C33+E33-'Loan Inputs'!$B$17)))</f>
        <v>0</v>
      </c>
    </row>
    <row r="34" spans="1:8" ht="22" customHeight="1">
      <c r="A34" s="1">
        <f>IF(AND('Loan Inputs'!$B$12,28&lt;=IF('Loan Inputs'!$B$12,'Loan Inputs'!$B$7,0)*'Loan Inputs'!$B$14+0,ISNUMBER(G33),G33&gt;0),28,"")</f>
        <v>28</v>
      </c>
      <c r="B34" s="4">
        <f>IF(A34="","",IF('Loan Inputs'!$B$14=12,DATE(YEAR('Loan Inputs'!$B$8),MONTH('Loan Inputs'!$B$8)+A34,DAY('Loan Inputs'!$B$8)),'Loan Inputs'!$B$8+A34*IF('Loan Inputs'!$B$14=26,14,7)))</f>
        <v>47178</v>
      </c>
      <c r="C34" s="2">
        <f t="shared" si="2"/>
        <v>632618.95635680284</v>
      </c>
      <c r="D34" s="2">
        <f>IF(A34="","",MIN('Loan Inputs'!$B$17,C34+E34)+H34)</f>
        <v>4061.5333678073534</v>
      </c>
      <c r="E34" s="2">
        <f>IF(A34="","",C34*'Loan Inputs'!$B$15)</f>
        <v>3368.6959425999748</v>
      </c>
      <c r="F34" s="2">
        <f t="shared" si="0"/>
        <v>692.8374252073786</v>
      </c>
      <c r="G34" s="2">
        <f t="shared" si="1"/>
        <v>631926.11893159547</v>
      </c>
      <c r="H34" s="2">
        <f>IF(A34="","",MIN(0,MAX(0,C34+E34-'Loan Inputs'!$B$17)))</f>
        <v>0</v>
      </c>
    </row>
    <row r="35" spans="1:8" ht="22" customHeight="1">
      <c r="A35" s="1">
        <f>IF(AND('Loan Inputs'!$B$12,29&lt;=IF('Loan Inputs'!$B$12,'Loan Inputs'!$B$7,0)*'Loan Inputs'!$B$14+0,ISNUMBER(G34),G34&gt;0),29,"")</f>
        <v>29</v>
      </c>
      <c r="B35" s="4">
        <f>IF(A35="","",IF('Loan Inputs'!$B$14=12,DATE(YEAR('Loan Inputs'!$B$8),MONTH('Loan Inputs'!$B$8)+A35,DAY('Loan Inputs'!$B$8)),'Loan Inputs'!$B$8+A35*IF('Loan Inputs'!$B$14=26,14,7)))</f>
        <v>47209</v>
      </c>
      <c r="C35" s="2">
        <f t="shared" si="2"/>
        <v>631926.11893159547</v>
      </c>
      <c r="D35" s="2">
        <f>IF(A35="","",MIN('Loan Inputs'!$B$17,C35+E35)+H35)</f>
        <v>4061.5333678073534</v>
      </c>
      <c r="E35" s="2">
        <f>IF(A35="","",C35*'Loan Inputs'!$B$15)</f>
        <v>3365.006583310746</v>
      </c>
      <c r="F35" s="2">
        <f t="shared" si="0"/>
        <v>696.52678449660743</v>
      </c>
      <c r="G35" s="2">
        <f t="shared" si="1"/>
        <v>631229.59214709885</v>
      </c>
      <c r="H35" s="2">
        <f>IF(A35="","",MIN(0,MAX(0,C35+E35-'Loan Inputs'!$B$17)))</f>
        <v>0</v>
      </c>
    </row>
    <row r="36" spans="1:8" ht="22" customHeight="1">
      <c r="A36" s="1">
        <f>IF(AND('Loan Inputs'!$B$12,30&lt;=IF('Loan Inputs'!$B$12,'Loan Inputs'!$B$7,0)*'Loan Inputs'!$B$14+0,ISNUMBER(G35),G35&gt;0),30,"")</f>
        <v>30</v>
      </c>
      <c r="B36" s="4">
        <f>IF(A36="","",IF('Loan Inputs'!$B$14=12,DATE(YEAR('Loan Inputs'!$B$8),MONTH('Loan Inputs'!$B$8)+A36,DAY('Loan Inputs'!$B$8)),'Loan Inputs'!$B$8+A36*IF('Loan Inputs'!$B$14=26,14,7)))</f>
        <v>47239</v>
      </c>
      <c r="C36" s="2">
        <f t="shared" si="2"/>
        <v>631229.59214709885</v>
      </c>
      <c r="D36" s="2">
        <f>IF(A36="","",MIN('Loan Inputs'!$B$17,C36+E36)+H36)</f>
        <v>4061.5333678073534</v>
      </c>
      <c r="E36" s="2">
        <f>IF(A36="","",C36*'Loan Inputs'!$B$15)</f>
        <v>3361.2975781833015</v>
      </c>
      <c r="F36" s="2">
        <f t="shared" si="0"/>
        <v>700.2357896240519</v>
      </c>
      <c r="G36" s="2">
        <f t="shared" si="1"/>
        <v>630529.35635747481</v>
      </c>
      <c r="H36" s="2">
        <f>IF(A36="","",MIN(0,MAX(0,C36+E36-'Loan Inputs'!$B$17)))</f>
        <v>0</v>
      </c>
    </row>
    <row r="37" spans="1:8" ht="22" customHeight="1">
      <c r="A37" s="1">
        <f>IF(AND('Loan Inputs'!$B$12,31&lt;=IF('Loan Inputs'!$B$12,'Loan Inputs'!$B$7,0)*'Loan Inputs'!$B$14+0,ISNUMBER(G36),G36&gt;0),31,"")</f>
        <v>31</v>
      </c>
      <c r="B37" s="4">
        <f>IF(A37="","",IF('Loan Inputs'!$B$14=12,DATE(YEAR('Loan Inputs'!$B$8),MONTH('Loan Inputs'!$B$8)+A37,DAY('Loan Inputs'!$B$8)),'Loan Inputs'!$B$8+A37*IF('Loan Inputs'!$B$14=26,14,7)))</f>
        <v>47270</v>
      </c>
      <c r="C37" s="2">
        <f t="shared" si="2"/>
        <v>630529.35635747481</v>
      </c>
      <c r="D37" s="2">
        <f>IF(A37="","",MIN('Loan Inputs'!$B$17,C37+E37)+H37)</f>
        <v>4061.5333678073534</v>
      </c>
      <c r="E37" s="2">
        <f>IF(A37="","",C37*'Loan Inputs'!$B$15)</f>
        <v>3357.5688226035531</v>
      </c>
      <c r="F37" s="2">
        <f t="shared" si="0"/>
        <v>703.9645452038003</v>
      </c>
      <c r="G37" s="2">
        <f t="shared" si="1"/>
        <v>629825.39181227097</v>
      </c>
      <c r="H37" s="2">
        <f>IF(A37="","",MIN(0,MAX(0,C37+E37-'Loan Inputs'!$B$17)))</f>
        <v>0</v>
      </c>
    </row>
    <row r="38" spans="1:8" ht="22" customHeight="1">
      <c r="A38" s="1">
        <f>IF(AND('Loan Inputs'!$B$12,32&lt;=IF('Loan Inputs'!$B$12,'Loan Inputs'!$B$7,0)*'Loan Inputs'!$B$14+0,ISNUMBER(G37),G37&gt;0),32,"")</f>
        <v>32</v>
      </c>
      <c r="B38" s="4">
        <f>IF(A38="","",IF('Loan Inputs'!$B$14=12,DATE(YEAR('Loan Inputs'!$B$8),MONTH('Loan Inputs'!$B$8)+A38,DAY('Loan Inputs'!$B$8)),'Loan Inputs'!$B$8+A38*IF('Loan Inputs'!$B$14=26,14,7)))</f>
        <v>47300</v>
      </c>
      <c r="C38" s="2">
        <f t="shared" si="2"/>
        <v>629825.39181227097</v>
      </c>
      <c r="D38" s="2">
        <f>IF(A38="","",MIN('Loan Inputs'!$B$17,C38+E38)+H38)</f>
        <v>4061.5333678073534</v>
      </c>
      <c r="E38" s="2">
        <f>IF(A38="","",C38*'Loan Inputs'!$B$15)</f>
        <v>3353.8202114003429</v>
      </c>
      <c r="F38" s="2">
        <f t="shared" si="0"/>
        <v>707.7131564070105</v>
      </c>
      <c r="G38" s="2">
        <f t="shared" si="1"/>
        <v>629117.67865586397</v>
      </c>
      <c r="H38" s="2">
        <f>IF(A38="","",MIN(0,MAX(0,C38+E38-'Loan Inputs'!$B$17)))</f>
        <v>0</v>
      </c>
    </row>
    <row r="39" spans="1:8" ht="22" customHeight="1">
      <c r="A39" s="1">
        <f>IF(AND('Loan Inputs'!$B$12,33&lt;=IF('Loan Inputs'!$B$12,'Loan Inputs'!$B$7,0)*'Loan Inputs'!$B$14+0,ISNUMBER(G38),G38&gt;0),33,"")</f>
        <v>33</v>
      </c>
      <c r="B39" s="4">
        <f>IF(A39="","",IF('Loan Inputs'!$B$14=12,DATE(YEAR('Loan Inputs'!$B$8),MONTH('Loan Inputs'!$B$8)+A39,DAY('Loan Inputs'!$B$8)),'Loan Inputs'!$B$8+A39*IF('Loan Inputs'!$B$14=26,14,7)))</f>
        <v>47331</v>
      </c>
      <c r="C39" s="2">
        <f t="shared" si="2"/>
        <v>629117.67865586397</v>
      </c>
      <c r="D39" s="2">
        <f>IF(A39="","",MIN('Loan Inputs'!$B$17,C39+E39)+H39)</f>
        <v>4061.5333678073534</v>
      </c>
      <c r="E39" s="2">
        <f>IF(A39="","",C39*'Loan Inputs'!$B$15)</f>
        <v>3350.0516388424758</v>
      </c>
      <c r="F39" s="2">
        <f t="shared" si="0"/>
        <v>711.48172896487768</v>
      </c>
      <c r="G39" s="2">
        <f t="shared" si="1"/>
        <v>628406.19692689914</v>
      </c>
      <c r="H39" s="2">
        <f>IF(A39="","",MIN(0,MAX(0,C39+E39-'Loan Inputs'!$B$17)))</f>
        <v>0</v>
      </c>
    </row>
    <row r="40" spans="1:8" ht="22" customHeight="1">
      <c r="A40" s="1">
        <f>IF(AND('Loan Inputs'!$B$12,34&lt;=IF('Loan Inputs'!$B$12,'Loan Inputs'!$B$7,0)*'Loan Inputs'!$B$14+0,ISNUMBER(G39),G39&gt;0),34,"")</f>
        <v>34</v>
      </c>
      <c r="B40" s="4">
        <f>IF(A40="","",IF('Loan Inputs'!$B$14=12,DATE(YEAR('Loan Inputs'!$B$8),MONTH('Loan Inputs'!$B$8)+A40,DAY('Loan Inputs'!$B$8)),'Loan Inputs'!$B$8+A40*IF('Loan Inputs'!$B$14=26,14,7)))</f>
        <v>47362</v>
      </c>
      <c r="C40" s="2">
        <f t="shared" si="2"/>
        <v>628406.19692689914</v>
      </c>
      <c r="D40" s="2">
        <f>IF(A40="","",MIN('Loan Inputs'!$B$17,C40+E40)+H40)</f>
        <v>4061.5333678073534</v>
      </c>
      <c r="E40" s="2">
        <f>IF(A40="","",C40*'Loan Inputs'!$B$15)</f>
        <v>3346.2629986357379</v>
      </c>
      <c r="F40" s="2">
        <f t="shared" si="0"/>
        <v>715.27036917161558</v>
      </c>
      <c r="G40" s="2">
        <f t="shared" si="1"/>
        <v>627690.92655772751</v>
      </c>
      <c r="H40" s="2">
        <f>IF(A40="","",MIN(0,MAX(0,C40+E40-'Loan Inputs'!$B$17)))</f>
        <v>0</v>
      </c>
    </row>
    <row r="41" spans="1:8" ht="22" customHeight="1">
      <c r="A41" s="1">
        <f>IF(AND('Loan Inputs'!$B$12,35&lt;=IF('Loan Inputs'!$B$12,'Loan Inputs'!$B$7,0)*'Loan Inputs'!$B$14+0,ISNUMBER(G40),G40&gt;0),35,"")</f>
        <v>35</v>
      </c>
      <c r="B41" s="4">
        <f>IF(A41="","",IF('Loan Inputs'!$B$14=12,DATE(YEAR('Loan Inputs'!$B$8),MONTH('Loan Inputs'!$B$8)+A41,DAY('Loan Inputs'!$B$8)),'Loan Inputs'!$B$8+A41*IF('Loan Inputs'!$B$14=26,14,7)))</f>
        <v>47392</v>
      </c>
      <c r="C41" s="2">
        <f t="shared" si="2"/>
        <v>627690.92655772751</v>
      </c>
      <c r="D41" s="2">
        <f>IF(A41="","",MIN('Loan Inputs'!$B$17,C41+E41)+H41)</f>
        <v>4061.5333678073534</v>
      </c>
      <c r="E41" s="2">
        <f>IF(A41="","",C41*'Loan Inputs'!$B$15)</f>
        <v>3342.4541839198987</v>
      </c>
      <c r="F41" s="2">
        <f t="shared" si="0"/>
        <v>719.07918388745475</v>
      </c>
      <c r="G41" s="2">
        <f t="shared" si="1"/>
        <v>626971.84737384005</v>
      </c>
      <c r="H41" s="2">
        <f>IF(A41="","",MIN(0,MAX(0,C41+E41-'Loan Inputs'!$B$17)))</f>
        <v>0</v>
      </c>
    </row>
    <row r="42" spans="1:8" ht="22" customHeight="1">
      <c r="A42" s="1">
        <f>IF(AND('Loan Inputs'!$B$12,36&lt;=IF('Loan Inputs'!$B$12,'Loan Inputs'!$B$7,0)*'Loan Inputs'!$B$14+0,ISNUMBER(G41),G41&gt;0),36,"")</f>
        <v>36</v>
      </c>
      <c r="B42" s="4">
        <f>IF(A42="","",IF('Loan Inputs'!$B$14=12,DATE(YEAR('Loan Inputs'!$B$8),MONTH('Loan Inputs'!$B$8)+A42,DAY('Loan Inputs'!$B$8)),'Loan Inputs'!$B$8+A42*IF('Loan Inputs'!$B$14=26,14,7)))</f>
        <v>47423</v>
      </c>
      <c r="C42" s="2">
        <f t="shared" si="2"/>
        <v>626971.84737384005</v>
      </c>
      <c r="D42" s="2">
        <f>IF(A42="","",MIN('Loan Inputs'!$B$17,C42+E42)+H42)</f>
        <v>4061.5333678073534</v>
      </c>
      <c r="E42" s="2">
        <f>IF(A42="","",C42*'Loan Inputs'!$B$15)</f>
        <v>3338.6250872656983</v>
      </c>
      <c r="F42" s="2">
        <f t="shared" si="0"/>
        <v>722.90828054165513</v>
      </c>
      <c r="G42" s="2">
        <f t="shared" si="1"/>
        <v>626248.9390932984</v>
      </c>
      <c r="H42" s="2">
        <f>IF(A42="","",MIN(0,MAX(0,C42+E42-'Loan Inputs'!$B$17)))</f>
        <v>0</v>
      </c>
    </row>
    <row r="43" spans="1:8" ht="22" customHeight="1">
      <c r="A43" s="1">
        <f>IF(AND('Loan Inputs'!$B$12,37&lt;=IF('Loan Inputs'!$B$12,'Loan Inputs'!$B$7,0)*'Loan Inputs'!$B$14+0,ISNUMBER(G42),G42&gt;0),37,"")</f>
        <v>37</v>
      </c>
      <c r="B43" s="4">
        <f>IF(A43="","",IF('Loan Inputs'!$B$14=12,DATE(YEAR('Loan Inputs'!$B$8),MONTH('Loan Inputs'!$B$8)+A43,DAY('Loan Inputs'!$B$8)),'Loan Inputs'!$B$8+A43*IF('Loan Inputs'!$B$14=26,14,7)))</f>
        <v>47453</v>
      </c>
      <c r="C43" s="2">
        <f t="shared" si="2"/>
        <v>626248.9390932984</v>
      </c>
      <c r="D43" s="2">
        <f>IF(A43="","",MIN('Loan Inputs'!$B$17,C43+E43)+H43)</f>
        <v>4061.5333678073534</v>
      </c>
      <c r="E43" s="2">
        <f>IF(A43="","",C43*'Loan Inputs'!$B$15)</f>
        <v>3334.7756006718137</v>
      </c>
      <c r="F43" s="2">
        <f t="shared" si="0"/>
        <v>726.75776713553978</v>
      </c>
      <c r="G43" s="2">
        <f t="shared" si="1"/>
        <v>625522.18132616288</v>
      </c>
      <c r="H43" s="2">
        <f>IF(A43="","",MIN(0,MAX(0,C43+E43-'Loan Inputs'!$B$17)))</f>
        <v>0</v>
      </c>
    </row>
    <row r="44" spans="1:8" ht="22" customHeight="1">
      <c r="A44" s="1">
        <f>IF(AND('Loan Inputs'!$B$12,38&lt;=IF('Loan Inputs'!$B$12,'Loan Inputs'!$B$7,0)*'Loan Inputs'!$B$14+0,ISNUMBER(G43),G43&gt;0),38,"")</f>
        <v>38</v>
      </c>
      <c r="B44" s="4">
        <f>IF(A44="","",IF('Loan Inputs'!$B$14=12,DATE(YEAR('Loan Inputs'!$B$8),MONTH('Loan Inputs'!$B$8)+A44,DAY('Loan Inputs'!$B$8)),'Loan Inputs'!$B$8+A44*IF('Loan Inputs'!$B$14=26,14,7)))</f>
        <v>47484</v>
      </c>
      <c r="C44" s="2">
        <f t="shared" si="2"/>
        <v>625522.18132616288</v>
      </c>
      <c r="D44" s="2">
        <f>IF(A44="","",MIN('Loan Inputs'!$B$17,C44+E44)+H44)</f>
        <v>4061.5333678073534</v>
      </c>
      <c r="E44" s="2">
        <f>IF(A44="","",C44*'Loan Inputs'!$B$15)</f>
        <v>3330.9056155618173</v>
      </c>
      <c r="F44" s="2">
        <f t="shared" si="0"/>
        <v>730.62775224553616</v>
      </c>
      <c r="G44" s="2">
        <f t="shared" si="1"/>
        <v>624791.55357391736</v>
      </c>
      <c r="H44" s="2">
        <f>IF(A44="","",MIN(0,MAX(0,C44+E44-'Loan Inputs'!$B$17)))</f>
        <v>0</v>
      </c>
    </row>
    <row r="45" spans="1:8" ht="22" customHeight="1">
      <c r="A45" s="1">
        <f>IF(AND('Loan Inputs'!$B$12,39&lt;=IF('Loan Inputs'!$B$12,'Loan Inputs'!$B$7,0)*'Loan Inputs'!$B$14+0,ISNUMBER(G44),G44&gt;0),39,"")</f>
        <v>39</v>
      </c>
      <c r="B45" s="4">
        <f>IF(A45="","",IF('Loan Inputs'!$B$14=12,DATE(YEAR('Loan Inputs'!$B$8),MONTH('Loan Inputs'!$B$8)+A45,DAY('Loan Inputs'!$B$8)),'Loan Inputs'!$B$8+A45*IF('Loan Inputs'!$B$14=26,14,7)))</f>
        <v>47515</v>
      </c>
      <c r="C45" s="2">
        <f t="shared" si="2"/>
        <v>624791.55357391736</v>
      </c>
      <c r="D45" s="2">
        <f>IF(A45="","",MIN('Loan Inputs'!$B$17,C45+E45)+H45)</f>
        <v>4061.5333678073534</v>
      </c>
      <c r="E45" s="2">
        <f>IF(A45="","",C45*'Loan Inputs'!$B$15)</f>
        <v>3327.01502278111</v>
      </c>
      <c r="F45" s="2">
        <f t="shared" si="0"/>
        <v>734.51834502624342</v>
      </c>
      <c r="G45" s="2">
        <f t="shared" si="1"/>
        <v>624057.03522889107</v>
      </c>
      <c r="H45" s="2">
        <f>IF(A45="","",MIN(0,MAX(0,C45+E45-'Loan Inputs'!$B$17)))</f>
        <v>0</v>
      </c>
    </row>
    <row r="46" spans="1:8" ht="22" customHeight="1">
      <c r="A46" s="1">
        <f>IF(AND('Loan Inputs'!$B$12,40&lt;=IF('Loan Inputs'!$B$12,'Loan Inputs'!$B$7,0)*'Loan Inputs'!$B$14+0,ISNUMBER(G45),G45&gt;0),40,"")</f>
        <v>40</v>
      </c>
      <c r="B46" s="4">
        <f>IF(A46="","",IF('Loan Inputs'!$B$14=12,DATE(YEAR('Loan Inputs'!$B$8),MONTH('Loan Inputs'!$B$8)+A46,DAY('Loan Inputs'!$B$8)),'Loan Inputs'!$B$8+A46*IF('Loan Inputs'!$B$14=26,14,7)))</f>
        <v>47543</v>
      </c>
      <c r="C46" s="2">
        <f t="shared" si="2"/>
        <v>624057.03522889107</v>
      </c>
      <c r="D46" s="2">
        <f>IF(A46="","",MIN('Loan Inputs'!$B$17,C46+E46)+H46)</f>
        <v>4061.5333678073534</v>
      </c>
      <c r="E46" s="2">
        <f>IF(A46="","",C46*'Loan Inputs'!$B$15)</f>
        <v>3323.1037125938446</v>
      </c>
      <c r="F46" s="2">
        <f t="shared" si="0"/>
        <v>738.42965521350879</v>
      </c>
      <c r="G46" s="2">
        <f t="shared" si="1"/>
        <v>623318.60557367757</v>
      </c>
      <c r="H46" s="2">
        <f>IF(A46="","",MIN(0,MAX(0,C46+E46-'Loan Inputs'!$B$17)))</f>
        <v>0</v>
      </c>
    </row>
    <row r="47" spans="1:8" ht="22" customHeight="1">
      <c r="A47" s="1">
        <f>IF(AND('Loan Inputs'!$B$12,41&lt;=IF('Loan Inputs'!$B$12,'Loan Inputs'!$B$7,0)*'Loan Inputs'!$B$14+0,ISNUMBER(G46),G46&gt;0),41,"")</f>
        <v>41</v>
      </c>
      <c r="B47" s="4">
        <f>IF(A47="","",IF('Loan Inputs'!$B$14=12,DATE(YEAR('Loan Inputs'!$B$8),MONTH('Loan Inputs'!$B$8)+A47,DAY('Loan Inputs'!$B$8)),'Loan Inputs'!$B$8+A47*IF('Loan Inputs'!$B$14=26,14,7)))</f>
        <v>47574</v>
      </c>
      <c r="C47" s="2">
        <f t="shared" si="2"/>
        <v>623318.60557367757</v>
      </c>
      <c r="D47" s="2">
        <f>IF(A47="","",MIN('Loan Inputs'!$B$17,C47+E47)+H47)</f>
        <v>4061.5333678073534</v>
      </c>
      <c r="E47" s="2">
        <f>IF(A47="","",C47*'Loan Inputs'!$B$15)</f>
        <v>3319.1715746798332</v>
      </c>
      <c r="F47" s="2">
        <f t="shared" si="0"/>
        <v>742.36179312752029</v>
      </c>
      <c r="G47" s="2">
        <f t="shared" si="1"/>
        <v>622576.24378055008</v>
      </c>
      <c r="H47" s="2">
        <f>IF(A47="","",MIN(0,MAX(0,C47+E47-'Loan Inputs'!$B$17)))</f>
        <v>0</v>
      </c>
    </row>
    <row r="48" spans="1:8" ht="22" customHeight="1">
      <c r="A48" s="1">
        <f>IF(AND('Loan Inputs'!$B$12,42&lt;=IF('Loan Inputs'!$B$12,'Loan Inputs'!$B$7,0)*'Loan Inputs'!$B$14+0,ISNUMBER(G47),G47&gt;0),42,"")</f>
        <v>42</v>
      </c>
      <c r="B48" s="4">
        <f>IF(A48="","",IF('Loan Inputs'!$B$14=12,DATE(YEAR('Loan Inputs'!$B$8),MONTH('Loan Inputs'!$B$8)+A48,DAY('Loan Inputs'!$B$8)),'Loan Inputs'!$B$8+A48*IF('Loan Inputs'!$B$14=26,14,7)))</f>
        <v>47604</v>
      </c>
      <c r="C48" s="2">
        <f t="shared" si="2"/>
        <v>622576.24378055008</v>
      </c>
      <c r="D48" s="2">
        <f>IF(A48="","",MIN('Loan Inputs'!$B$17,C48+E48)+H48)</f>
        <v>4061.5333678073534</v>
      </c>
      <c r="E48" s="2">
        <f>IF(A48="","",C48*'Loan Inputs'!$B$15)</f>
        <v>3315.218498131429</v>
      </c>
      <c r="F48" s="2">
        <f t="shared" si="0"/>
        <v>746.31486967592446</v>
      </c>
      <c r="G48" s="2">
        <f t="shared" si="1"/>
        <v>621829.92891087418</v>
      </c>
      <c r="H48" s="2">
        <f>IF(A48="","",MIN(0,MAX(0,C48+E48-'Loan Inputs'!$B$17)))</f>
        <v>0</v>
      </c>
    </row>
    <row r="49" spans="1:8" ht="22" customHeight="1">
      <c r="A49" s="1">
        <f>IF(AND('Loan Inputs'!$B$12,43&lt;=IF('Loan Inputs'!$B$12,'Loan Inputs'!$B$7,0)*'Loan Inputs'!$B$14+0,ISNUMBER(G48),G48&gt;0),43,"")</f>
        <v>43</v>
      </c>
      <c r="B49" s="4">
        <f>IF(A49="","",IF('Loan Inputs'!$B$14=12,DATE(YEAR('Loan Inputs'!$B$8),MONTH('Loan Inputs'!$B$8)+A49,DAY('Loan Inputs'!$B$8)),'Loan Inputs'!$B$8+A49*IF('Loan Inputs'!$B$14=26,14,7)))</f>
        <v>47635</v>
      </c>
      <c r="C49" s="2">
        <f t="shared" si="2"/>
        <v>621829.92891087418</v>
      </c>
      <c r="D49" s="2">
        <f>IF(A49="","",MIN('Loan Inputs'!$B$17,C49+E49)+H49)</f>
        <v>4061.5333678073534</v>
      </c>
      <c r="E49" s="2">
        <f>IF(A49="","",C49*'Loan Inputs'!$B$15)</f>
        <v>3311.2443714504047</v>
      </c>
      <c r="F49" s="2">
        <f t="shared" si="0"/>
        <v>750.2889963569487</v>
      </c>
      <c r="G49" s="2">
        <f t="shared" si="1"/>
        <v>621079.63991451717</v>
      </c>
      <c r="H49" s="2">
        <f>IF(A49="","",MIN(0,MAX(0,C49+E49-'Loan Inputs'!$B$17)))</f>
        <v>0</v>
      </c>
    </row>
    <row r="50" spans="1:8" ht="22" customHeight="1">
      <c r="A50" s="1">
        <f>IF(AND('Loan Inputs'!$B$12,44&lt;=IF('Loan Inputs'!$B$12,'Loan Inputs'!$B$7,0)*'Loan Inputs'!$B$14+0,ISNUMBER(G49),G49&gt;0),44,"")</f>
        <v>44</v>
      </c>
      <c r="B50" s="4">
        <f>IF(A50="","",IF('Loan Inputs'!$B$14=12,DATE(YEAR('Loan Inputs'!$B$8),MONTH('Loan Inputs'!$B$8)+A50,DAY('Loan Inputs'!$B$8)),'Loan Inputs'!$B$8+A50*IF('Loan Inputs'!$B$14=26,14,7)))</f>
        <v>47665</v>
      </c>
      <c r="C50" s="2">
        <f t="shared" si="2"/>
        <v>621079.63991451717</v>
      </c>
      <c r="D50" s="2">
        <f>IF(A50="","",MIN('Loan Inputs'!$B$17,C50+E50)+H50)</f>
        <v>4061.5333678073534</v>
      </c>
      <c r="E50" s="2">
        <f>IF(A50="","",C50*'Loan Inputs'!$B$15)</f>
        <v>3307.249082544804</v>
      </c>
      <c r="F50" s="2">
        <f t="shared" si="0"/>
        <v>754.28428526254947</v>
      </c>
      <c r="G50" s="2">
        <f t="shared" si="1"/>
        <v>620325.3556292546</v>
      </c>
      <c r="H50" s="2">
        <f>IF(A50="","",MIN(0,MAX(0,C50+E50-'Loan Inputs'!$B$17)))</f>
        <v>0</v>
      </c>
    </row>
    <row r="51" spans="1:8" ht="22" customHeight="1">
      <c r="A51" s="1">
        <f>IF(AND('Loan Inputs'!$B$12,45&lt;=IF('Loan Inputs'!$B$12,'Loan Inputs'!$B$7,0)*'Loan Inputs'!$B$14+0,ISNUMBER(G50),G50&gt;0),45,"")</f>
        <v>45</v>
      </c>
      <c r="B51" s="4">
        <f>IF(A51="","",IF('Loan Inputs'!$B$14=12,DATE(YEAR('Loan Inputs'!$B$8),MONTH('Loan Inputs'!$B$8)+A51,DAY('Loan Inputs'!$B$8)),'Loan Inputs'!$B$8+A51*IF('Loan Inputs'!$B$14=26,14,7)))</f>
        <v>47696</v>
      </c>
      <c r="C51" s="2">
        <f t="shared" si="2"/>
        <v>620325.3556292546</v>
      </c>
      <c r="D51" s="2">
        <f>IF(A51="","",MIN('Loan Inputs'!$B$17,C51+E51)+H51)</f>
        <v>4061.5333678073534</v>
      </c>
      <c r="E51" s="2">
        <f>IF(A51="","",C51*'Loan Inputs'!$B$15)</f>
        <v>3303.2325187257807</v>
      </c>
      <c r="F51" s="2">
        <f t="shared" si="0"/>
        <v>758.30084908157278</v>
      </c>
      <c r="G51" s="2">
        <f t="shared" si="1"/>
        <v>619567.054780173</v>
      </c>
      <c r="H51" s="2">
        <f>IF(A51="","",MIN(0,MAX(0,C51+E51-'Loan Inputs'!$B$17)))</f>
        <v>0</v>
      </c>
    </row>
    <row r="52" spans="1:8" ht="22" customHeight="1">
      <c r="A52" s="1">
        <f>IF(AND('Loan Inputs'!$B$12,46&lt;=IF('Loan Inputs'!$B$12,'Loan Inputs'!$B$7,0)*'Loan Inputs'!$B$14+0,ISNUMBER(G51),G51&gt;0),46,"")</f>
        <v>46</v>
      </c>
      <c r="B52" s="4">
        <f>IF(A52="","",IF('Loan Inputs'!$B$14=12,DATE(YEAR('Loan Inputs'!$B$8),MONTH('Loan Inputs'!$B$8)+A52,DAY('Loan Inputs'!$B$8)),'Loan Inputs'!$B$8+A52*IF('Loan Inputs'!$B$14=26,14,7)))</f>
        <v>47727</v>
      </c>
      <c r="C52" s="2">
        <f t="shared" si="2"/>
        <v>619567.054780173</v>
      </c>
      <c r="D52" s="2">
        <f>IF(A52="","",MIN('Loan Inputs'!$B$17,C52+E52)+H52)</f>
        <v>4061.5333678073534</v>
      </c>
      <c r="E52" s="2">
        <f>IF(A52="","",C52*'Loan Inputs'!$B$15)</f>
        <v>3299.194566704421</v>
      </c>
      <c r="F52" s="2">
        <f t="shared" si="0"/>
        <v>762.33880110293239</v>
      </c>
      <c r="G52" s="2">
        <f t="shared" si="1"/>
        <v>618804.71597907005</v>
      </c>
      <c r="H52" s="2">
        <f>IF(A52="","",MIN(0,MAX(0,C52+E52-'Loan Inputs'!$B$17)))</f>
        <v>0</v>
      </c>
    </row>
    <row r="53" spans="1:8" ht="22" customHeight="1">
      <c r="A53" s="1">
        <f>IF(AND('Loan Inputs'!$B$12,47&lt;=IF('Loan Inputs'!$B$12,'Loan Inputs'!$B$7,0)*'Loan Inputs'!$B$14+0,ISNUMBER(G52),G52&gt;0),47,"")</f>
        <v>47</v>
      </c>
      <c r="B53" s="4">
        <f>IF(A53="","",IF('Loan Inputs'!$B$14=12,DATE(YEAR('Loan Inputs'!$B$8),MONTH('Loan Inputs'!$B$8)+A53,DAY('Loan Inputs'!$B$8)),'Loan Inputs'!$B$8+A53*IF('Loan Inputs'!$B$14=26,14,7)))</f>
        <v>47757</v>
      </c>
      <c r="C53" s="2">
        <f t="shared" si="2"/>
        <v>618804.71597907005</v>
      </c>
      <c r="D53" s="2">
        <f>IF(A53="","",MIN('Loan Inputs'!$B$17,C53+E53)+H53)</f>
        <v>4061.5333678073534</v>
      </c>
      <c r="E53" s="2">
        <f>IF(A53="","",C53*'Loan Inputs'!$B$15)</f>
        <v>3295.1351125885481</v>
      </c>
      <c r="F53" s="2">
        <f t="shared" si="0"/>
        <v>766.39825521880539</v>
      </c>
      <c r="G53" s="2">
        <f t="shared" si="1"/>
        <v>618038.3177238513</v>
      </c>
      <c r="H53" s="2">
        <f>IF(A53="","",MIN(0,MAX(0,C53+E53-'Loan Inputs'!$B$17)))</f>
        <v>0</v>
      </c>
    </row>
    <row r="54" spans="1:8" ht="22" customHeight="1">
      <c r="A54" s="1">
        <f>IF(AND('Loan Inputs'!$B$12,48&lt;=IF('Loan Inputs'!$B$12,'Loan Inputs'!$B$7,0)*'Loan Inputs'!$B$14+0,ISNUMBER(G53),G53&gt;0),48,"")</f>
        <v>48</v>
      </c>
      <c r="B54" s="4">
        <f>IF(A54="","",IF('Loan Inputs'!$B$14=12,DATE(YEAR('Loan Inputs'!$B$8),MONTH('Loan Inputs'!$B$8)+A54,DAY('Loan Inputs'!$B$8)),'Loan Inputs'!$B$8+A54*IF('Loan Inputs'!$B$14=26,14,7)))</f>
        <v>47788</v>
      </c>
      <c r="C54" s="2">
        <f t="shared" si="2"/>
        <v>618038.3177238513</v>
      </c>
      <c r="D54" s="2">
        <f>IF(A54="","",MIN('Loan Inputs'!$B$17,C54+E54)+H54)</f>
        <v>4061.5333678073534</v>
      </c>
      <c r="E54" s="2">
        <f>IF(A54="","",C54*'Loan Inputs'!$B$15)</f>
        <v>3291.0540418795081</v>
      </c>
      <c r="F54" s="2">
        <f t="shared" si="0"/>
        <v>770.47932592784537</v>
      </c>
      <c r="G54" s="2">
        <f t="shared" si="1"/>
        <v>617267.83839792351</v>
      </c>
      <c r="H54" s="2">
        <f>IF(A54="","",MIN(0,MAX(0,C54+E54-'Loan Inputs'!$B$17)))</f>
        <v>0</v>
      </c>
    </row>
    <row r="55" spans="1:8" ht="22" customHeight="1">
      <c r="A55" s="1">
        <f>IF(AND('Loan Inputs'!$B$12,49&lt;=IF('Loan Inputs'!$B$12,'Loan Inputs'!$B$7,0)*'Loan Inputs'!$B$14+0,ISNUMBER(G54),G54&gt;0),49,"")</f>
        <v>49</v>
      </c>
      <c r="B55" s="4">
        <f>IF(A55="","",IF('Loan Inputs'!$B$14=12,DATE(YEAR('Loan Inputs'!$B$8),MONTH('Loan Inputs'!$B$8)+A55,DAY('Loan Inputs'!$B$8)),'Loan Inputs'!$B$8+A55*IF('Loan Inputs'!$B$14=26,14,7)))</f>
        <v>47818</v>
      </c>
      <c r="C55" s="2">
        <f t="shared" si="2"/>
        <v>617267.83839792351</v>
      </c>
      <c r="D55" s="2">
        <f>IF(A55="","",MIN('Loan Inputs'!$B$17,C55+E55)+H55)</f>
        <v>4061.5333678073534</v>
      </c>
      <c r="E55" s="2">
        <f>IF(A55="","",C55*'Loan Inputs'!$B$15)</f>
        <v>3286.9512394689427</v>
      </c>
      <c r="F55" s="2">
        <f t="shared" si="0"/>
        <v>774.58212833841071</v>
      </c>
      <c r="G55" s="2">
        <f t="shared" si="1"/>
        <v>616493.25626958511</v>
      </c>
      <c r="H55" s="2">
        <f>IF(A55="","",MIN(0,MAX(0,C55+E55-'Loan Inputs'!$B$17)))</f>
        <v>0</v>
      </c>
    </row>
    <row r="56" spans="1:8" ht="22" customHeight="1">
      <c r="A56" s="1">
        <f>IF(AND('Loan Inputs'!$B$12,50&lt;=IF('Loan Inputs'!$B$12,'Loan Inputs'!$B$7,0)*'Loan Inputs'!$B$14+0,ISNUMBER(G55),G55&gt;0),50,"")</f>
        <v>50</v>
      </c>
      <c r="B56" s="4">
        <f>IF(A56="","",IF('Loan Inputs'!$B$14=12,DATE(YEAR('Loan Inputs'!$B$8),MONTH('Loan Inputs'!$B$8)+A56,DAY('Loan Inputs'!$B$8)),'Loan Inputs'!$B$8+A56*IF('Loan Inputs'!$B$14=26,14,7)))</f>
        <v>47849</v>
      </c>
      <c r="C56" s="2">
        <f t="shared" si="2"/>
        <v>616493.25626958511</v>
      </c>
      <c r="D56" s="2">
        <f>IF(A56="","",MIN('Loan Inputs'!$B$17,C56+E56)+H56)</f>
        <v>4061.5333678073534</v>
      </c>
      <c r="E56" s="2">
        <f>IF(A56="","",C56*'Loan Inputs'!$B$15)</f>
        <v>3282.8265896355406</v>
      </c>
      <c r="F56" s="2">
        <f t="shared" si="0"/>
        <v>778.70677817181286</v>
      </c>
      <c r="G56" s="2">
        <f t="shared" si="1"/>
        <v>615714.54949141329</v>
      </c>
      <c r="H56" s="2">
        <f>IF(A56="","",MIN(0,MAX(0,C56+E56-'Loan Inputs'!$B$17)))</f>
        <v>0</v>
      </c>
    </row>
    <row r="57" spans="1:8" ht="22" customHeight="1">
      <c r="A57" s="1">
        <f>IF(AND('Loan Inputs'!$B$12,51&lt;=IF('Loan Inputs'!$B$12,'Loan Inputs'!$B$7,0)*'Loan Inputs'!$B$14+0,ISNUMBER(G56),G56&gt;0),51,"")</f>
        <v>51</v>
      </c>
      <c r="B57" s="4">
        <f>IF(A57="","",IF('Loan Inputs'!$B$14=12,DATE(YEAR('Loan Inputs'!$B$8),MONTH('Loan Inputs'!$B$8)+A57,DAY('Loan Inputs'!$B$8)),'Loan Inputs'!$B$8+A57*IF('Loan Inputs'!$B$14=26,14,7)))</f>
        <v>47880</v>
      </c>
      <c r="C57" s="2">
        <f t="shared" si="2"/>
        <v>615714.54949141329</v>
      </c>
      <c r="D57" s="2">
        <f>IF(A57="","",MIN('Loan Inputs'!$B$17,C57+E57)+H57)</f>
        <v>4061.5333678073534</v>
      </c>
      <c r="E57" s="2">
        <f>IF(A57="","",C57*'Loan Inputs'!$B$15)</f>
        <v>3278.6799760417757</v>
      </c>
      <c r="F57" s="2">
        <f t="shared" si="0"/>
        <v>782.85339176557773</v>
      </c>
      <c r="G57" s="2">
        <f t="shared" si="1"/>
        <v>614931.69609964767</v>
      </c>
      <c r="H57" s="2">
        <f>IF(A57="","",MIN(0,MAX(0,C57+E57-'Loan Inputs'!$B$17)))</f>
        <v>0</v>
      </c>
    </row>
    <row r="58" spans="1:8" ht="22" customHeight="1">
      <c r="A58" s="1">
        <f>IF(AND('Loan Inputs'!$B$12,52&lt;=IF('Loan Inputs'!$B$12,'Loan Inputs'!$B$7,0)*'Loan Inputs'!$B$14+0,ISNUMBER(G57),G57&gt;0),52,"")</f>
        <v>52</v>
      </c>
      <c r="B58" s="4">
        <f>IF(A58="","",IF('Loan Inputs'!$B$14=12,DATE(YEAR('Loan Inputs'!$B$8),MONTH('Loan Inputs'!$B$8)+A58,DAY('Loan Inputs'!$B$8)),'Loan Inputs'!$B$8+A58*IF('Loan Inputs'!$B$14=26,14,7)))</f>
        <v>47908</v>
      </c>
      <c r="C58" s="2">
        <f t="shared" si="2"/>
        <v>614931.69609964767</v>
      </c>
      <c r="D58" s="2">
        <f>IF(A58="","",MIN('Loan Inputs'!$B$17,C58+E58)+H58)</f>
        <v>4061.5333678073534</v>
      </c>
      <c r="E58" s="2">
        <f>IF(A58="","",C58*'Loan Inputs'!$B$15)</f>
        <v>3274.511281730624</v>
      </c>
      <c r="F58" s="2">
        <f t="shared" si="0"/>
        <v>787.02208607672947</v>
      </c>
      <c r="G58" s="2">
        <f t="shared" si="1"/>
        <v>614144.67401357088</v>
      </c>
      <c r="H58" s="2">
        <f>IF(A58="","",MIN(0,MAX(0,C58+E58-'Loan Inputs'!$B$17)))</f>
        <v>0</v>
      </c>
    </row>
    <row r="59" spans="1:8" ht="22" customHeight="1">
      <c r="A59" s="1">
        <f>IF(AND('Loan Inputs'!$B$12,53&lt;=IF('Loan Inputs'!$B$12,'Loan Inputs'!$B$7,0)*'Loan Inputs'!$B$14+0,ISNUMBER(G58),G58&gt;0),53,"")</f>
        <v>53</v>
      </c>
      <c r="B59" s="4">
        <f>IF(A59="","",IF('Loan Inputs'!$B$14=12,DATE(YEAR('Loan Inputs'!$B$8),MONTH('Loan Inputs'!$B$8)+A59,DAY('Loan Inputs'!$B$8)),'Loan Inputs'!$B$8+A59*IF('Loan Inputs'!$B$14=26,14,7)))</f>
        <v>47939</v>
      </c>
      <c r="C59" s="2">
        <f t="shared" si="2"/>
        <v>614144.67401357088</v>
      </c>
      <c r="D59" s="2">
        <f>IF(A59="","",MIN('Loan Inputs'!$B$17,C59+E59)+H59)</f>
        <v>4061.5333678073534</v>
      </c>
      <c r="E59" s="2">
        <f>IF(A59="","",C59*'Loan Inputs'!$B$15)</f>
        <v>3270.3203891222647</v>
      </c>
      <c r="F59" s="2">
        <f t="shared" si="0"/>
        <v>791.21297868508873</v>
      </c>
      <c r="G59" s="2">
        <f t="shared" si="1"/>
        <v>613353.46103488584</v>
      </c>
      <c r="H59" s="2">
        <f>IF(A59="","",MIN(0,MAX(0,C59+E59-'Loan Inputs'!$B$17)))</f>
        <v>0</v>
      </c>
    </row>
    <row r="60" spans="1:8" ht="22" customHeight="1">
      <c r="A60" s="1">
        <f>IF(AND('Loan Inputs'!$B$12,54&lt;=IF('Loan Inputs'!$B$12,'Loan Inputs'!$B$7,0)*'Loan Inputs'!$B$14+0,ISNUMBER(G59),G59&gt;0),54,"")</f>
        <v>54</v>
      </c>
      <c r="B60" s="4">
        <f>IF(A60="","",IF('Loan Inputs'!$B$14=12,DATE(YEAR('Loan Inputs'!$B$8),MONTH('Loan Inputs'!$B$8)+A60,DAY('Loan Inputs'!$B$8)),'Loan Inputs'!$B$8+A60*IF('Loan Inputs'!$B$14=26,14,7)))</f>
        <v>47969</v>
      </c>
      <c r="C60" s="2">
        <f t="shared" si="2"/>
        <v>613353.46103488584</v>
      </c>
      <c r="D60" s="2">
        <f>IF(A60="","",MIN('Loan Inputs'!$B$17,C60+E60)+H60)</f>
        <v>4061.5333678073534</v>
      </c>
      <c r="E60" s="2">
        <f>IF(A60="","",C60*'Loan Inputs'!$B$15)</f>
        <v>3266.107180010767</v>
      </c>
      <c r="F60" s="2">
        <f t="shared" si="0"/>
        <v>795.42618779658642</v>
      </c>
      <c r="G60" s="2">
        <f t="shared" si="1"/>
        <v>612558.03484708921</v>
      </c>
      <c r="H60" s="2">
        <f>IF(A60="","",MIN(0,MAX(0,C60+E60-'Loan Inputs'!$B$17)))</f>
        <v>0</v>
      </c>
    </row>
    <row r="61" spans="1:8" ht="22" customHeight="1">
      <c r="A61" s="1">
        <f>IF(AND('Loan Inputs'!$B$12,55&lt;=IF('Loan Inputs'!$B$12,'Loan Inputs'!$B$7,0)*'Loan Inputs'!$B$14+0,ISNUMBER(G60),G60&gt;0),55,"")</f>
        <v>55</v>
      </c>
      <c r="B61" s="4">
        <f>IF(A61="","",IF('Loan Inputs'!$B$14=12,DATE(YEAR('Loan Inputs'!$B$8),MONTH('Loan Inputs'!$B$8)+A61,DAY('Loan Inputs'!$B$8)),'Loan Inputs'!$B$8+A61*IF('Loan Inputs'!$B$14=26,14,7)))</f>
        <v>48000</v>
      </c>
      <c r="C61" s="2">
        <f t="shared" si="2"/>
        <v>612558.03484708921</v>
      </c>
      <c r="D61" s="2">
        <f>IF(A61="","",MIN('Loan Inputs'!$B$17,C61+E61)+H61)</f>
        <v>4061.5333678073534</v>
      </c>
      <c r="E61" s="2">
        <f>IF(A61="","",C61*'Loan Inputs'!$B$15)</f>
        <v>3261.8715355607501</v>
      </c>
      <c r="F61" s="2">
        <f t="shared" si="0"/>
        <v>799.66183224660335</v>
      </c>
      <c r="G61" s="2">
        <f t="shared" si="1"/>
        <v>611758.37301484263</v>
      </c>
      <c r="H61" s="2">
        <f>IF(A61="","",MIN(0,MAX(0,C61+E61-'Loan Inputs'!$B$17)))</f>
        <v>0</v>
      </c>
    </row>
    <row r="62" spans="1:8" ht="22" customHeight="1">
      <c r="A62" s="1">
        <f>IF(AND('Loan Inputs'!$B$12,56&lt;=IF('Loan Inputs'!$B$12,'Loan Inputs'!$B$7,0)*'Loan Inputs'!$B$14+0,ISNUMBER(G61),G61&gt;0),56,"")</f>
        <v>56</v>
      </c>
      <c r="B62" s="4">
        <f>IF(A62="","",IF('Loan Inputs'!$B$14=12,DATE(YEAR('Loan Inputs'!$B$8),MONTH('Loan Inputs'!$B$8)+A62,DAY('Loan Inputs'!$B$8)),'Loan Inputs'!$B$8+A62*IF('Loan Inputs'!$B$14=26,14,7)))</f>
        <v>48030</v>
      </c>
      <c r="C62" s="2">
        <f t="shared" si="2"/>
        <v>611758.37301484263</v>
      </c>
      <c r="D62" s="2">
        <f>IF(A62="","",MIN('Loan Inputs'!$B$17,C62+E62)+H62)</f>
        <v>4061.5333678073534</v>
      </c>
      <c r="E62" s="2">
        <f>IF(A62="","",C62*'Loan Inputs'!$B$15)</f>
        <v>3257.6133363040367</v>
      </c>
      <c r="F62" s="2">
        <f t="shared" si="0"/>
        <v>803.92003150331675</v>
      </c>
      <c r="G62" s="2">
        <f t="shared" si="1"/>
        <v>610954.45298333932</v>
      </c>
      <c r="H62" s="2">
        <f>IF(A62="","",MIN(0,MAX(0,C62+E62-'Loan Inputs'!$B$17)))</f>
        <v>0</v>
      </c>
    </row>
    <row r="63" spans="1:8" ht="22" customHeight="1">
      <c r="A63" s="1">
        <f>IF(AND('Loan Inputs'!$B$12,57&lt;=IF('Loan Inputs'!$B$12,'Loan Inputs'!$B$7,0)*'Loan Inputs'!$B$14+0,ISNUMBER(G62),G62&gt;0),57,"")</f>
        <v>57</v>
      </c>
      <c r="B63" s="4">
        <f>IF(A63="","",IF('Loan Inputs'!$B$14=12,DATE(YEAR('Loan Inputs'!$B$8),MONTH('Loan Inputs'!$B$8)+A63,DAY('Loan Inputs'!$B$8)),'Loan Inputs'!$B$8+A63*IF('Loan Inputs'!$B$14=26,14,7)))</f>
        <v>48061</v>
      </c>
      <c r="C63" s="2">
        <f t="shared" si="2"/>
        <v>610954.45298333932</v>
      </c>
      <c r="D63" s="2">
        <f>IF(A63="","",MIN('Loan Inputs'!$B$17,C63+E63)+H63)</f>
        <v>4061.5333678073534</v>
      </c>
      <c r="E63" s="2">
        <f>IF(A63="","",C63*'Loan Inputs'!$B$15)</f>
        <v>3253.3324621362817</v>
      </c>
      <c r="F63" s="2">
        <f t="shared" si="0"/>
        <v>808.20090567107172</v>
      </c>
      <c r="G63" s="2">
        <f t="shared" si="1"/>
        <v>610146.25207766821</v>
      </c>
      <c r="H63" s="2">
        <f>IF(A63="","",MIN(0,MAX(0,C63+E63-'Loan Inputs'!$B$17)))</f>
        <v>0</v>
      </c>
    </row>
    <row r="64" spans="1:8" ht="22" customHeight="1">
      <c r="A64" s="1">
        <f>IF(AND('Loan Inputs'!$B$12,58&lt;=IF('Loan Inputs'!$B$12,'Loan Inputs'!$B$7,0)*'Loan Inputs'!$B$14+0,ISNUMBER(G63),G63&gt;0),58,"")</f>
        <v>58</v>
      </c>
      <c r="B64" s="4">
        <f>IF(A64="","",IF('Loan Inputs'!$B$14=12,DATE(YEAR('Loan Inputs'!$B$8),MONTH('Loan Inputs'!$B$8)+A64,DAY('Loan Inputs'!$B$8)),'Loan Inputs'!$B$8+A64*IF('Loan Inputs'!$B$14=26,14,7)))</f>
        <v>48092</v>
      </c>
      <c r="C64" s="2">
        <f t="shared" si="2"/>
        <v>610146.25207766821</v>
      </c>
      <c r="D64" s="2">
        <f>IF(A64="","",MIN('Loan Inputs'!$B$17,C64+E64)+H64)</f>
        <v>4061.5333678073534</v>
      </c>
      <c r="E64" s="2">
        <f>IF(A64="","",C64*'Loan Inputs'!$B$15)</f>
        <v>3249.0287923135829</v>
      </c>
      <c r="F64" s="2">
        <f t="shared" si="0"/>
        <v>812.50457549377052</v>
      </c>
      <c r="G64" s="2">
        <f t="shared" si="1"/>
        <v>609333.74750217446</v>
      </c>
      <c r="H64" s="2">
        <f>IF(A64="","",MIN(0,MAX(0,C64+E64-'Loan Inputs'!$B$17)))</f>
        <v>0</v>
      </c>
    </row>
    <row r="65" spans="1:8" ht="22" customHeight="1">
      <c r="A65" s="1">
        <f>IF(AND('Loan Inputs'!$B$12,59&lt;=IF('Loan Inputs'!$B$12,'Loan Inputs'!$B$7,0)*'Loan Inputs'!$B$14+0,ISNUMBER(G64),G64&gt;0),59,"")</f>
        <v>59</v>
      </c>
      <c r="B65" s="4">
        <f>IF(A65="","",IF('Loan Inputs'!$B$14=12,DATE(YEAR('Loan Inputs'!$B$8),MONTH('Loan Inputs'!$B$8)+A65,DAY('Loan Inputs'!$B$8)),'Loan Inputs'!$B$8+A65*IF('Loan Inputs'!$B$14=26,14,7)))</f>
        <v>48122</v>
      </c>
      <c r="C65" s="2">
        <f t="shared" si="2"/>
        <v>609333.74750217446</v>
      </c>
      <c r="D65" s="2">
        <f>IF(A65="","",MIN('Loan Inputs'!$B$17,C65+E65)+H65)</f>
        <v>4061.5333678073534</v>
      </c>
      <c r="E65" s="2">
        <f>IF(A65="","",C65*'Loan Inputs'!$B$15)</f>
        <v>3244.702205449079</v>
      </c>
      <c r="F65" s="2">
        <f t="shared" si="0"/>
        <v>816.83116235827447</v>
      </c>
      <c r="G65" s="2">
        <f t="shared" si="1"/>
        <v>608516.91633981618</v>
      </c>
      <c r="H65" s="2">
        <f>IF(A65="","",MIN(0,MAX(0,C65+E65-'Loan Inputs'!$B$17)))</f>
        <v>0</v>
      </c>
    </row>
    <row r="66" spans="1:8" ht="22" customHeight="1">
      <c r="A66" s="1">
        <f>IF(AND('Loan Inputs'!$B$12,60&lt;=IF('Loan Inputs'!$B$12,'Loan Inputs'!$B$7,0)*'Loan Inputs'!$B$14+0,ISNUMBER(G65),G65&gt;0),60,"")</f>
        <v>60</v>
      </c>
      <c r="B66" s="4">
        <f>IF(A66="","",IF('Loan Inputs'!$B$14=12,DATE(YEAR('Loan Inputs'!$B$8),MONTH('Loan Inputs'!$B$8)+A66,DAY('Loan Inputs'!$B$8)),'Loan Inputs'!$B$8+A66*IF('Loan Inputs'!$B$14=26,14,7)))</f>
        <v>48153</v>
      </c>
      <c r="C66" s="2">
        <f t="shared" si="2"/>
        <v>608516.91633981618</v>
      </c>
      <c r="D66" s="2">
        <f>IF(A66="","",MIN('Loan Inputs'!$B$17,C66+E66)+H66)</f>
        <v>4061.5333678073534</v>
      </c>
      <c r="E66" s="2">
        <f>IF(A66="","",C66*'Loan Inputs'!$B$15)</f>
        <v>3240.3525795095211</v>
      </c>
      <c r="F66" s="2">
        <f t="shared" si="0"/>
        <v>821.18078829783235</v>
      </c>
      <c r="G66" s="2">
        <f t="shared" si="1"/>
        <v>607695.73555151839</v>
      </c>
      <c r="H66" s="2">
        <f>IF(A66="","",MIN(0,MAX(0,C66+E66-'Loan Inputs'!$B$17)))</f>
        <v>0</v>
      </c>
    </row>
    <row r="67" spans="1:8" ht="22" customHeight="1">
      <c r="A67" s="1">
        <f>IF(AND('Loan Inputs'!$B$12,61&lt;=IF('Loan Inputs'!$B$12,'Loan Inputs'!$B$7,0)*'Loan Inputs'!$B$14+0,ISNUMBER(G66),G66&gt;0),61,"")</f>
        <v>61</v>
      </c>
      <c r="B67" s="4">
        <f>IF(A67="","",IF('Loan Inputs'!$B$14=12,DATE(YEAR('Loan Inputs'!$B$8),MONTH('Loan Inputs'!$B$8)+A67,DAY('Loan Inputs'!$B$8)),'Loan Inputs'!$B$8+A67*IF('Loan Inputs'!$B$14=26,14,7)))</f>
        <v>48183</v>
      </c>
      <c r="C67" s="2">
        <f t="shared" si="2"/>
        <v>607695.73555151839</v>
      </c>
      <c r="D67" s="2">
        <f>IF(A67="","",MIN('Loan Inputs'!$B$17,C67+E67)+H67)</f>
        <v>4061.5333678073534</v>
      </c>
      <c r="E67" s="2">
        <f>IF(A67="","",C67*'Loan Inputs'!$B$15)</f>
        <v>3235.9797918118352</v>
      </c>
      <c r="F67" s="2">
        <f t="shared" si="0"/>
        <v>825.55357599551826</v>
      </c>
      <c r="G67" s="2">
        <f t="shared" si="1"/>
        <v>606870.18197552289</v>
      </c>
      <c r="H67" s="2">
        <f>IF(A67="","",MIN(0,MAX(0,C67+E67-'Loan Inputs'!$B$17)))</f>
        <v>0</v>
      </c>
    </row>
    <row r="68" spans="1:8" ht="22" customHeight="1">
      <c r="A68" s="1">
        <f>IF(AND('Loan Inputs'!$B$12,62&lt;=IF('Loan Inputs'!$B$12,'Loan Inputs'!$B$7,0)*'Loan Inputs'!$B$14+0,ISNUMBER(G67),G67&gt;0),62,"")</f>
        <v>62</v>
      </c>
      <c r="B68" s="4">
        <f>IF(A68="","",IF('Loan Inputs'!$B$14=12,DATE(YEAR('Loan Inputs'!$B$8),MONTH('Loan Inputs'!$B$8)+A68,DAY('Loan Inputs'!$B$8)),'Loan Inputs'!$B$8+A68*IF('Loan Inputs'!$B$14=26,14,7)))</f>
        <v>48214</v>
      </c>
      <c r="C68" s="2">
        <f t="shared" si="2"/>
        <v>606870.18197552289</v>
      </c>
      <c r="D68" s="2">
        <f>IF(A68="","",MIN('Loan Inputs'!$B$17,C68+E68)+H68)</f>
        <v>4061.5333678073534</v>
      </c>
      <c r="E68" s="2">
        <f>IF(A68="","",C68*'Loan Inputs'!$B$15)</f>
        <v>3231.5837190196594</v>
      </c>
      <c r="F68" s="2">
        <f t="shared" si="0"/>
        <v>829.94964878769406</v>
      </c>
      <c r="G68" s="2">
        <f t="shared" si="1"/>
        <v>606040.23232673516</v>
      </c>
      <c r="H68" s="2">
        <f>IF(A68="","",MIN(0,MAX(0,C68+E68-'Loan Inputs'!$B$17)))</f>
        <v>0</v>
      </c>
    </row>
    <row r="69" spans="1:8" ht="22" customHeight="1">
      <c r="A69" s="1">
        <f>IF(AND('Loan Inputs'!$B$12,63&lt;=IF('Loan Inputs'!$B$12,'Loan Inputs'!$B$7,0)*'Loan Inputs'!$B$14+0,ISNUMBER(G68),G68&gt;0),63,"")</f>
        <v>63</v>
      </c>
      <c r="B69" s="4">
        <f>IF(A69="","",IF('Loan Inputs'!$B$14=12,DATE(YEAR('Loan Inputs'!$B$8),MONTH('Loan Inputs'!$B$8)+A69,DAY('Loan Inputs'!$B$8)),'Loan Inputs'!$B$8+A69*IF('Loan Inputs'!$B$14=26,14,7)))</f>
        <v>48245</v>
      </c>
      <c r="C69" s="2">
        <f t="shared" si="2"/>
        <v>606040.23232673516</v>
      </c>
      <c r="D69" s="2">
        <f>IF(A69="","",MIN('Loan Inputs'!$B$17,C69+E69)+H69)</f>
        <v>4061.5333678073534</v>
      </c>
      <c r="E69" s="2">
        <f>IF(A69="","",C69*'Loan Inputs'!$B$15)</f>
        <v>3227.1642371398648</v>
      </c>
      <c r="F69" s="2">
        <f t="shared" si="0"/>
        <v>834.36913066748866</v>
      </c>
      <c r="G69" s="2">
        <f t="shared" si="1"/>
        <v>605205.86319606763</v>
      </c>
      <c r="H69" s="2">
        <f>IF(A69="","",MIN(0,MAX(0,C69+E69-'Loan Inputs'!$B$17)))</f>
        <v>0</v>
      </c>
    </row>
    <row r="70" spans="1:8" ht="22" customHeight="1">
      <c r="A70" s="1">
        <f>IF(AND('Loan Inputs'!$B$12,64&lt;=IF('Loan Inputs'!$B$12,'Loan Inputs'!$B$7,0)*'Loan Inputs'!$B$14+0,ISNUMBER(G69),G69&gt;0),64,"")</f>
        <v>64</v>
      </c>
      <c r="B70" s="4">
        <f>IF(A70="","",IF('Loan Inputs'!$B$14=12,DATE(YEAR('Loan Inputs'!$B$8),MONTH('Loan Inputs'!$B$8)+A70,DAY('Loan Inputs'!$B$8)),'Loan Inputs'!$B$8+A70*IF('Loan Inputs'!$B$14=26,14,7)))</f>
        <v>48274</v>
      </c>
      <c r="C70" s="2">
        <f t="shared" si="2"/>
        <v>605205.86319606763</v>
      </c>
      <c r="D70" s="2">
        <f>IF(A70="","",MIN('Loan Inputs'!$B$17,C70+E70)+H70)</f>
        <v>4061.5333678073534</v>
      </c>
      <c r="E70" s="2">
        <f>IF(A70="","",C70*'Loan Inputs'!$B$15)</f>
        <v>3222.7212215190602</v>
      </c>
      <c r="F70" s="2">
        <f t="shared" si="0"/>
        <v>838.81214628829321</v>
      </c>
      <c r="G70" s="2">
        <f t="shared" si="1"/>
        <v>604367.05104977929</v>
      </c>
      <c r="H70" s="2">
        <f>IF(A70="","",MIN(0,MAX(0,C70+E70-'Loan Inputs'!$B$17)))</f>
        <v>0</v>
      </c>
    </row>
    <row r="71" spans="1:8" ht="22" customHeight="1">
      <c r="A71" s="1">
        <f>IF(AND('Loan Inputs'!$B$12,65&lt;=IF('Loan Inputs'!$B$12,'Loan Inputs'!$B$7,0)*'Loan Inputs'!$B$14+0,ISNUMBER(G70),G70&gt;0),65,"")</f>
        <v>65</v>
      </c>
      <c r="B71" s="4">
        <f>IF(A71="","",IF('Loan Inputs'!$B$14=12,DATE(YEAR('Loan Inputs'!$B$8),MONTH('Loan Inputs'!$B$8)+A71,DAY('Loan Inputs'!$B$8)),'Loan Inputs'!$B$8+A71*IF('Loan Inputs'!$B$14=26,14,7)))</f>
        <v>48305</v>
      </c>
      <c r="C71" s="2">
        <f t="shared" si="2"/>
        <v>604367.05104977929</v>
      </c>
      <c r="D71" s="2">
        <f>IF(A71="","",MIN('Loan Inputs'!$B$17,C71+E71)+H71)</f>
        <v>4061.5333678073534</v>
      </c>
      <c r="E71" s="2">
        <f>IF(A71="","",C71*'Loan Inputs'!$B$15)</f>
        <v>3218.2545468400745</v>
      </c>
      <c r="F71" s="2">
        <f t="shared" ref="F71:F134" si="3">IF(A71="","",MIN(C71,D71-E71))</f>
        <v>843.27882096727899</v>
      </c>
      <c r="G71" s="2">
        <f t="shared" ref="G71:G134" si="4">IF(A71="","",IF(C71-F71&lt;0.01,0,MAX(0,C71-F71)))</f>
        <v>603523.77222881198</v>
      </c>
      <c r="H71" s="2">
        <f>IF(A71="","",MIN(0,MAX(0,C71+E71-'Loan Inputs'!$B$17)))</f>
        <v>0</v>
      </c>
    </row>
    <row r="72" spans="1:8" ht="22" customHeight="1">
      <c r="A72" s="1">
        <f>IF(AND('Loan Inputs'!$B$12,66&lt;=IF('Loan Inputs'!$B$12,'Loan Inputs'!$B$7,0)*'Loan Inputs'!$B$14+0,ISNUMBER(G71),G71&gt;0),66,"")</f>
        <v>66</v>
      </c>
      <c r="B72" s="4">
        <f>IF(A72="","",IF('Loan Inputs'!$B$14=12,DATE(YEAR('Loan Inputs'!$B$8),MONTH('Loan Inputs'!$B$8)+A72,DAY('Loan Inputs'!$B$8)),'Loan Inputs'!$B$8+A72*IF('Loan Inputs'!$B$14=26,14,7)))</f>
        <v>48335</v>
      </c>
      <c r="C72" s="2">
        <f t="shared" ref="C72:C135" si="5">IF(A72="","",G71)</f>
        <v>603523.77222881198</v>
      </c>
      <c r="D72" s="2">
        <f>IF(A72="","",MIN('Loan Inputs'!$B$17,C72+E72)+H72)</f>
        <v>4061.5333678073534</v>
      </c>
      <c r="E72" s="2">
        <f>IF(A72="","",C72*'Loan Inputs'!$B$15)</f>
        <v>3213.764087118424</v>
      </c>
      <c r="F72" s="2">
        <f t="shared" si="3"/>
        <v>847.76928068892948</v>
      </c>
      <c r="G72" s="2">
        <f t="shared" si="4"/>
        <v>602676.00294812303</v>
      </c>
      <c r="H72" s="2">
        <f>IF(A72="","",MIN(0,MAX(0,C72+E72-'Loan Inputs'!$B$17)))</f>
        <v>0</v>
      </c>
    </row>
    <row r="73" spans="1:8" ht="22" customHeight="1">
      <c r="A73" s="1">
        <f>IF(AND('Loan Inputs'!$B$12,67&lt;=IF('Loan Inputs'!$B$12,'Loan Inputs'!$B$7,0)*'Loan Inputs'!$B$14+0,ISNUMBER(G72),G72&gt;0),67,"")</f>
        <v>67</v>
      </c>
      <c r="B73" s="4">
        <f>IF(A73="","",IF('Loan Inputs'!$B$14=12,DATE(YEAR('Loan Inputs'!$B$8),MONTH('Loan Inputs'!$B$8)+A73,DAY('Loan Inputs'!$B$8)),'Loan Inputs'!$B$8+A73*IF('Loan Inputs'!$B$14=26,14,7)))</f>
        <v>48366</v>
      </c>
      <c r="C73" s="2">
        <f t="shared" si="5"/>
        <v>602676.00294812303</v>
      </c>
      <c r="D73" s="2">
        <f>IF(A73="","",MIN('Loan Inputs'!$B$17,C73+E73)+H73)</f>
        <v>4061.5333678073534</v>
      </c>
      <c r="E73" s="2">
        <f>IF(A73="","",C73*'Loan Inputs'!$B$15)</f>
        <v>3209.2497156987552</v>
      </c>
      <c r="F73" s="2">
        <f t="shared" si="3"/>
        <v>852.28365210859829</v>
      </c>
      <c r="G73" s="2">
        <f t="shared" si="4"/>
        <v>601823.7192960144</v>
      </c>
      <c r="H73" s="2">
        <f>IF(A73="","",MIN(0,MAX(0,C73+E73-'Loan Inputs'!$B$17)))</f>
        <v>0</v>
      </c>
    </row>
    <row r="74" spans="1:8" ht="22" customHeight="1">
      <c r="A74" s="1">
        <f>IF(AND('Loan Inputs'!$B$12,68&lt;=IF('Loan Inputs'!$B$12,'Loan Inputs'!$B$7,0)*'Loan Inputs'!$B$14+0,ISNUMBER(G73),G73&gt;0),68,"")</f>
        <v>68</v>
      </c>
      <c r="B74" s="4">
        <f>IF(A74="","",IF('Loan Inputs'!$B$14=12,DATE(YEAR('Loan Inputs'!$B$8),MONTH('Loan Inputs'!$B$8)+A74,DAY('Loan Inputs'!$B$8)),'Loan Inputs'!$B$8+A74*IF('Loan Inputs'!$B$14=26,14,7)))</f>
        <v>48396</v>
      </c>
      <c r="C74" s="2">
        <f t="shared" si="5"/>
        <v>601823.7192960144</v>
      </c>
      <c r="D74" s="2">
        <f>IF(A74="","",MIN('Loan Inputs'!$B$17,C74+E74)+H74)</f>
        <v>4061.5333678073534</v>
      </c>
      <c r="E74" s="2">
        <f>IF(A74="","",C74*'Loan Inputs'!$B$15)</f>
        <v>3204.7113052512768</v>
      </c>
      <c r="F74" s="2">
        <f t="shared" si="3"/>
        <v>856.82206255607662</v>
      </c>
      <c r="G74" s="2">
        <f t="shared" si="4"/>
        <v>600966.89723345835</v>
      </c>
      <c r="H74" s="2">
        <f>IF(A74="","",MIN(0,MAX(0,C74+E74-'Loan Inputs'!$B$17)))</f>
        <v>0</v>
      </c>
    </row>
    <row r="75" spans="1:8" ht="22" customHeight="1">
      <c r="A75" s="1">
        <f>IF(AND('Loan Inputs'!$B$12,69&lt;=IF('Loan Inputs'!$B$12,'Loan Inputs'!$B$7,0)*'Loan Inputs'!$B$14+0,ISNUMBER(G74),G74&gt;0),69,"")</f>
        <v>69</v>
      </c>
      <c r="B75" s="4">
        <f>IF(A75="","",IF('Loan Inputs'!$B$14=12,DATE(YEAR('Loan Inputs'!$B$8),MONTH('Loan Inputs'!$B$8)+A75,DAY('Loan Inputs'!$B$8)),'Loan Inputs'!$B$8+A75*IF('Loan Inputs'!$B$14=26,14,7)))</f>
        <v>48427</v>
      </c>
      <c r="C75" s="2">
        <f t="shared" si="5"/>
        <v>600966.89723345835</v>
      </c>
      <c r="D75" s="2">
        <f>IF(A75="","",MIN('Loan Inputs'!$B$17,C75+E75)+H75)</f>
        <v>4061.5333678073534</v>
      </c>
      <c r="E75" s="2">
        <f>IF(A75="","",C75*'Loan Inputs'!$B$15)</f>
        <v>3200.1487277681658</v>
      </c>
      <c r="F75" s="2">
        <f t="shared" si="3"/>
        <v>861.38464003918762</v>
      </c>
      <c r="G75" s="2">
        <f t="shared" si="4"/>
        <v>600105.51259341917</v>
      </c>
      <c r="H75" s="2">
        <f>IF(A75="","",MIN(0,MAX(0,C75+E75-'Loan Inputs'!$B$17)))</f>
        <v>0</v>
      </c>
    </row>
    <row r="76" spans="1:8" ht="22" customHeight="1">
      <c r="A76" s="1">
        <f>IF(AND('Loan Inputs'!$B$12,70&lt;=IF('Loan Inputs'!$B$12,'Loan Inputs'!$B$7,0)*'Loan Inputs'!$B$14+0,ISNUMBER(G75),G75&gt;0),70,"")</f>
        <v>70</v>
      </c>
      <c r="B76" s="4">
        <f>IF(A76="","",IF('Loan Inputs'!$B$14=12,DATE(YEAR('Loan Inputs'!$B$8),MONTH('Loan Inputs'!$B$8)+A76,DAY('Loan Inputs'!$B$8)),'Loan Inputs'!$B$8+A76*IF('Loan Inputs'!$B$14=26,14,7)))</f>
        <v>48458</v>
      </c>
      <c r="C76" s="2">
        <f t="shared" si="5"/>
        <v>600105.51259341917</v>
      </c>
      <c r="D76" s="2">
        <f>IF(A76="","",MIN('Loan Inputs'!$B$17,C76+E76)+H76)</f>
        <v>4061.5333678073534</v>
      </c>
      <c r="E76" s="2">
        <f>IF(A76="","",C76*'Loan Inputs'!$B$15)</f>
        <v>3195.5618545599568</v>
      </c>
      <c r="F76" s="2">
        <f t="shared" si="3"/>
        <v>865.97151324739662</v>
      </c>
      <c r="G76" s="2">
        <f t="shared" si="4"/>
        <v>599239.54108017182</v>
      </c>
      <c r="H76" s="2">
        <f>IF(A76="","",MIN(0,MAX(0,C76+E76-'Loan Inputs'!$B$17)))</f>
        <v>0</v>
      </c>
    </row>
    <row r="77" spans="1:8" ht="22" customHeight="1">
      <c r="A77" s="1">
        <f>IF(AND('Loan Inputs'!$B$12,71&lt;=IF('Loan Inputs'!$B$12,'Loan Inputs'!$B$7,0)*'Loan Inputs'!$B$14+0,ISNUMBER(G76),G76&gt;0),71,"")</f>
        <v>71</v>
      </c>
      <c r="B77" s="4">
        <f>IF(A77="","",IF('Loan Inputs'!$B$14=12,DATE(YEAR('Loan Inputs'!$B$8),MONTH('Loan Inputs'!$B$8)+A77,DAY('Loan Inputs'!$B$8)),'Loan Inputs'!$B$8+A77*IF('Loan Inputs'!$B$14=26,14,7)))</f>
        <v>48488</v>
      </c>
      <c r="C77" s="2">
        <f t="shared" si="5"/>
        <v>599239.54108017182</v>
      </c>
      <c r="D77" s="2">
        <f>IF(A77="","",MIN('Loan Inputs'!$B$17,C77+E77)+H77)</f>
        <v>4061.5333678073534</v>
      </c>
      <c r="E77" s="2">
        <f>IF(A77="","",C77*'Loan Inputs'!$B$15)</f>
        <v>3190.9505562519148</v>
      </c>
      <c r="F77" s="2">
        <f t="shared" si="3"/>
        <v>870.58281155543864</v>
      </c>
      <c r="G77" s="2">
        <f t="shared" si="4"/>
        <v>598368.95826861635</v>
      </c>
      <c r="H77" s="2">
        <f>IF(A77="","",MIN(0,MAX(0,C77+E77-'Loan Inputs'!$B$17)))</f>
        <v>0</v>
      </c>
    </row>
    <row r="78" spans="1:8" ht="22" customHeight="1">
      <c r="A78" s="1">
        <f>IF(AND('Loan Inputs'!$B$12,72&lt;=IF('Loan Inputs'!$B$12,'Loan Inputs'!$B$7,0)*'Loan Inputs'!$B$14+0,ISNUMBER(G77),G77&gt;0),72,"")</f>
        <v>72</v>
      </c>
      <c r="B78" s="4">
        <f>IF(A78="","",IF('Loan Inputs'!$B$14=12,DATE(YEAR('Loan Inputs'!$B$8),MONTH('Loan Inputs'!$B$8)+A78,DAY('Loan Inputs'!$B$8)),'Loan Inputs'!$B$8+A78*IF('Loan Inputs'!$B$14=26,14,7)))</f>
        <v>48519</v>
      </c>
      <c r="C78" s="2">
        <f t="shared" si="5"/>
        <v>598368.95826861635</v>
      </c>
      <c r="D78" s="2">
        <f>IF(A78="","",MIN('Loan Inputs'!$B$17,C78+E78)+H78)</f>
        <v>4061.5333678073534</v>
      </c>
      <c r="E78" s="2">
        <f>IF(A78="","",C78*'Loan Inputs'!$B$15)</f>
        <v>3186.314702780382</v>
      </c>
      <c r="F78" s="2">
        <f t="shared" si="3"/>
        <v>875.21866502697139</v>
      </c>
      <c r="G78" s="2">
        <f t="shared" si="4"/>
        <v>597493.73960358941</v>
      </c>
      <c r="H78" s="2">
        <f>IF(A78="","",MIN(0,MAX(0,C78+E78-'Loan Inputs'!$B$17)))</f>
        <v>0</v>
      </c>
    </row>
    <row r="79" spans="1:8" ht="22" customHeight="1">
      <c r="A79" s="1">
        <f>IF(AND('Loan Inputs'!$B$12,73&lt;=IF('Loan Inputs'!$B$12,'Loan Inputs'!$B$7,0)*'Loan Inputs'!$B$14+0,ISNUMBER(G78),G78&gt;0),73,"")</f>
        <v>73</v>
      </c>
      <c r="B79" s="4">
        <f>IF(A79="","",IF('Loan Inputs'!$B$14=12,DATE(YEAR('Loan Inputs'!$B$8),MONTH('Loan Inputs'!$B$8)+A79,DAY('Loan Inputs'!$B$8)),'Loan Inputs'!$B$8+A79*IF('Loan Inputs'!$B$14=26,14,7)))</f>
        <v>48549</v>
      </c>
      <c r="C79" s="2">
        <f t="shared" si="5"/>
        <v>597493.73960358941</v>
      </c>
      <c r="D79" s="2">
        <f>IF(A79="","",MIN('Loan Inputs'!$B$17,C79+E79)+H79)</f>
        <v>4061.5333678073534</v>
      </c>
      <c r="E79" s="2">
        <f>IF(A79="","",C79*'Loan Inputs'!$B$15)</f>
        <v>3181.6541633891134</v>
      </c>
      <c r="F79" s="2">
        <f t="shared" si="3"/>
        <v>879.87920441824008</v>
      </c>
      <c r="G79" s="2">
        <f t="shared" si="4"/>
        <v>596613.86039917113</v>
      </c>
      <c r="H79" s="2">
        <f>IF(A79="","",MIN(0,MAX(0,C79+E79-'Loan Inputs'!$B$17)))</f>
        <v>0</v>
      </c>
    </row>
    <row r="80" spans="1:8" ht="22" customHeight="1">
      <c r="A80" s="1">
        <f>IF(AND('Loan Inputs'!$B$12,74&lt;=IF('Loan Inputs'!$B$12,'Loan Inputs'!$B$7,0)*'Loan Inputs'!$B$14+0,ISNUMBER(G79),G79&gt;0),74,"")</f>
        <v>74</v>
      </c>
      <c r="B80" s="4">
        <f>IF(A80="","",IF('Loan Inputs'!$B$14=12,DATE(YEAR('Loan Inputs'!$B$8),MONTH('Loan Inputs'!$B$8)+A80,DAY('Loan Inputs'!$B$8)),'Loan Inputs'!$B$8+A80*IF('Loan Inputs'!$B$14=26,14,7)))</f>
        <v>48580</v>
      </c>
      <c r="C80" s="2">
        <f t="shared" si="5"/>
        <v>596613.86039917113</v>
      </c>
      <c r="D80" s="2">
        <f>IF(A80="","",MIN('Loan Inputs'!$B$17,C80+E80)+H80)</f>
        <v>4061.5333678073534</v>
      </c>
      <c r="E80" s="2">
        <f>IF(A80="","",C80*'Loan Inputs'!$B$15)</f>
        <v>3176.9688066255862</v>
      </c>
      <c r="F80" s="2">
        <f t="shared" si="3"/>
        <v>884.5645611817672</v>
      </c>
      <c r="G80" s="2">
        <f t="shared" si="4"/>
        <v>595729.29583798931</v>
      </c>
      <c r="H80" s="2">
        <f>IF(A80="","",MIN(0,MAX(0,C80+E80-'Loan Inputs'!$B$17)))</f>
        <v>0</v>
      </c>
    </row>
    <row r="81" spans="1:8" ht="22" customHeight="1">
      <c r="A81" s="1">
        <f>IF(AND('Loan Inputs'!$B$12,75&lt;=IF('Loan Inputs'!$B$12,'Loan Inputs'!$B$7,0)*'Loan Inputs'!$B$14+0,ISNUMBER(G80),G80&gt;0),75,"")</f>
        <v>75</v>
      </c>
      <c r="B81" s="4">
        <f>IF(A81="","",IF('Loan Inputs'!$B$14=12,DATE(YEAR('Loan Inputs'!$B$8),MONTH('Loan Inputs'!$B$8)+A81,DAY('Loan Inputs'!$B$8)),'Loan Inputs'!$B$8+A81*IF('Loan Inputs'!$B$14=26,14,7)))</f>
        <v>48611</v>
      </c>
      <c r="C81" s="2">
        <f t="shared" si="5"/>
        <v>595729.29583798931</v>
      </c>
      <c r="D81" s="2">
        <f>IF(A81="","",MIN('Loan Inputs'!$B$17,C81+E81)+H81)</f>
        <v>4061.5333678073534</v>
      </c>
      <c r="E81" s="2">
        <f>IF(A81="","",C81*'Loan Inputs'!$B$15)</f>
        <v>3172.2585003372928</v>
      </c>
      <c r="F81" s="2">
        <f t="shared" si="3"/>
        <v>889.2748674700606</v>
      </c>
      <c r="G81" s="2">
        <f t="shared" si="4"/>
        <v>594840.02097051928</v>
      </c>
      <c r="H81" s="2">
        <f>IF(A81="","",MIN(0,MAX(0,C81+E81-'Loan Inputs'!$B$17)))</f>
        <v>0</v>
      </c>
    </row>
    <row r="82" spans="1:8" ht="22" customHeight="1">
      <c r="A82" s="1">
        <f>IF(AND('Loan Inputs'!$B$12,76&lt;=IF('Loan Inputs'!$B$12,'Loan Inputs'!$B$7,0)*'Loan Inputs'!$B$14+0,ISNUMBER(G81),G81&gt;0),76,"")</f>
        <v>76</v>
      </c>
      <c r="B82" s="4">
        <f>IF(A82="","",IF('Loan Inputs'!$B$14=12,DATE(YEAR('Loan Inputs'!$B$8),MONTH('Loan Inputs'!$B$8)+A82,DAY('Loan Inputs'!$B$8)),'Loan Inputs'!$B$8+A82*IF('Loan Inputs'!$B$14=26,14,7)))</f>
        <v>48639</v>
      </c>
      <c r="C82" s="2">
        <f t="shared" si="5"/>
        <v>594840.02097051928</v>
      </c>
      <c r="D82" s="2">
        <f>IF(A82="","",MIN('Loan Inputs'!$B$17,C82+E82)+H82)</f>
        <v>4061.5333678073534</v>
      </c>
      <c r="E82" s="2">
        <f>IF(A82="","",C82*'Loan Inputs'!$B$15)</f>
        <v>3167.5231116680152</v>
      </c>
      <c r="F82" s="2">
        <f t="shared" si="3"/>
        <v>894.01025613933825</v>
      </c>
      <c r="G82" s="2">
        <f t="shared" si="4"/>
        <v>593946.01071437995</v>
      </c>
      <c r="H82" s="2">
        <f>IF(A82="","",MIN(0,MAX(0,C82+E82-'Loan Inputs'!$B$17)))</f>
        <v>0</v>
      </c>
    </row>
    <row r="83" spans="1:8" ht="22" customHeight="1">
      <c r="A83" s="1">
        <f>IF(AND('Loan Inputs'!$B$12,77&lt;=IF('Loan Inputs'!$B$12,'Loan Inputs'!$B$7,0)*'Loan Inputs'!$B$14+0,ISNUMBER(G82),G82&gt;0),77,"")</f>
        <v>77</v>
      </c>
      <c r="B83" s="4">
        <f>IF(A83="","",IF('Loan Inputs'!$B$14=12,DATE(YEAR('Loan Inputs'!$B$8),MONTH('Loan Inputs'!$B$8)+A83,DAY('Loan Inputs'!$B$8)),'Loan Inputs'!$B$8+A83*IF('Loan Inputs'!$B$14=26,14,7)))</f>
        <v>48670</v>
      </c>
      <c r="C83" s="2">
        <f t="shared" si="5"/>
        <v>593946.01071437995</v>
      </c>
      <c r="D83" s="2">
        <f>IF(A83="","",MIN('Loan Inputs'!$B$17,C83+E83)+H83)</f>
        <v>4061.5333678073534</v>
      </c>
      <c r="E83" s="2">
        <f>IF(A83="","",C83*'Loan Inputs'!$B$15)</f>
        <v>3162.762507054073</v>
      </c>
      <c r="F83" s="2">
        <f t="shared" si="3"/>
        <v>898.77086075328043</v>
      </c>
      <c r="G83" s="2">
        <f t="shared" si="4"/>
        <v>593047.2398536267</v>
      </c>
      <c r="H83" s="2">
        <f>IF(A83="","",MIN(0,MAX(0,C83+E83-'Loan Inputs'!$B$17)))</f>
        <v>0</v>
      </c>
    </row>
    <row r="84" spans="1:8" ht="22" customHeight="1">
      <c r="A84" s="1">
        <f>IF(AND('Loan Inputs'!$B$12,78&lt;=IF('Loan Inputs'!$B$12,'Loan Inputs'!$B$7,0)*'Loan Inputs'!$B$14+0,ISNUMBER(G83),G83&gt;0),78,"")</f>
        <v>78</v>
      </c>
      <c r="B84" s="4">
        <f>IF(A84="","",IF('Loan Inputs'!$B$14=12,DATE(YEAR('Loan Inputs'!$B$8),MONTH('Loan Inputs'!$B$8)+A84,DAY('Loan Inputs'!$B$8)),'Loan Inputs'!$B$8+A84*IF('Loan Inputs'!$B$14=26,14,7)))</f>
        <v>48700</v>
      </c>
      <c r="C84" s="2">
        <f t="shared" si="5"/>
        <v>593047.2398536267</v>
      </c>
      <c r="D84" s="2">
        <f>IF(A84="","",MIN('Loan Inputs'!$B$17,C84+E84)+H84)</f>
        <v>4061.5333678073534</v>
      </c>
      <c r="E84" s="2">
        <f>IF(A84="","",C84*'Loan Inputs'!$B$15)</f>
        <v>3157.9765522205621</v>
      </c>
      <c r="F84" s="2">
        <f t="shared" si="3"/>
        <v>903.55681558679134</v>
      </c>
      <c r="G84" s="2">
        <f t="shared" si="4"/>
        <v>592143.68303803995</v>
      </c>
      <c r="H84" s="2">
        <f>IF(A84="","",MIN(0,MAX(0,C84+E84-'Loan Inputs'!$B$17)))</f>
        <v>0</v>
      </c>
    </row>
    <row r="85" spans="1:8" ht="22" customHeight="1">
      <c r="A85" s="1">
        <f>IF(AND('Loan Inputs'!$B$12,79&lt;=IF('Loan Inputs'!$B$12,'Loan Inputs'!$B$7,0)*'Loan Inputs'!$B$14+0,ISNUMBER(G84),G84&gt;0),79,"")</f>
        <v>79</v>
      </c>
      <c r="B85" s="4">
        <f>IF(A85="","",IF('Loan Inputs'!$B$14=12,DATE(YEAR('Loan Inputs'!$B$8),MONTH('Loan Inputs'!$B$8)+A85,DAY('Loan Inputs'!$B$8)),'Loan Inputs'!$B$8+A85*IF('Loan Inputs'!$B$14=26,14,7)))</f>
        <v>48731</v>
      </c>
      <c r="C85" s="2">
        <f t="shared" si="5"/>
        <v>592143.68303803995</v>
      </c>
      <c r="D85" s="2">
        <f>IF(A85="","",MIN('Loan Inputs'!$B$17,C85+E85)+H85)</f>
        <v>4061.5333678073534</v>
      </c>
      <c r="E85" s="2">
        <f>IF(A85="","",C85*'Loan Inputs'!$B$15)</f>
        <v>3153.1651121775626</v>
      </c>
      <c r="F85" s="2">
        <f t="shared" si="3"/>
        <v>908.36825562979084</v>
      </c>
      <c r="G85" s="2">
        <f t="shared" si="4"/>
        <v>591235.31478241016</v>
      </c>
      <c r="H85" s="2">
        <f>IF(A85="","",MIN(0,MAX(0,C85+E85-'Loan Inputs'!$B$17)))</f>
        <v>0</v>
      </c>
    </row>
    <row r="86" spans="1:8" ht="22" customHeight="1">
      <c r="A86" s="1">
        <f>IF(AND('Loan Inputs'!$B$12,80&lt;=IF('Loan Inputs'!$B$12,'Loan Inputs'!$B$7,0)*'Loan Inputs'!$B$14+0,ISNUMBER(G85),G85&gt;0),80,"")</f>
        <v>80</v>
      </c>
      <c r="B86" s="4">
        <f>IF(A86="","",IF('Loan Inputs'!$B$14=12,DATE(YEAR('Loan Inputs'!$B$8),MONTH('Loan Inputs'!$B$8)+A86,DAY('Loan Inputs'!$B$8)),'Loan Inputs'!$B$8+A86*IF('Loan Inputs'!$B$14=26,14,7)))</f>
        <v>48761</v>
      </c>
      <c r="C86" s="2">
        <f t="shared" si="5"/>
        <v>591235.31478241016</v>
      </c>
      <c r="D86" s="2">
        <f>IF(A86="","",MIN('Loan Inputs'!$B$17,C86+E86)+H86)</f>
        <v>4061.5333678073534</v>
      </c>
      <c r="E86" s="2">
        <f>IF(A86="","",C86*'Loan Inputs'!$B$15)</f>
        <v>3148.3280512163342</v>
      </c>
      <c r="F86" s="2">
        <f t="shared" si="3"/>
        <v>913.20531659101925</v>
      </c>
      <c r="G86" s="2">
        <f t="shared" si="4"/>
        <v>590322.10946581909</v>
      </c>
      <c r="H86" s="2">
        <f>IF(A86="","",MIN(0,MAX(0,C86+E86-'Loan Inputs'!$B$17)))</f>
        <v>0</v>
      </c>
    </row>
    <row r="87" spans="1:8" ht="22" customHeight="1">
      <c r="A87" s="1">
        <f>IF(AND('Loan Inputs'!$B$12,81&lt;=IF('Loan Inputs'!$B$12,'Loan Inputs'!$B$7,0)*'Loan Inputs'!$B$14+0,ISNUMBER(G86),G86&gt;0),81,"")</f>
        <v>81</v>
      </c>
      <c r="B87" s="4">
        <f>IF(A87="","",IF('Loan Inputs'!$B$14=12,DATE(YEAR('Loan Inputs'!$B$8),MONTH('Loan Inputs'!$B$8)+A87,DAY('Loan Inputs'!$B$8)),'Loan Inputs'!$B$8+A87*IF('Loan Inputs'!$B$14=26,14,7)))</f>
        <v>48792</v>
      </c>
      <c r="C87" s="2">
        <f t="shared" si="5"/>
        <v>590322.10946581909</v>
      </c>
      <c r="D87" s="2">
        <f>IF(A87="","",MIN('Loan Inputs'!$B$17,C87+E87)+H87)</f>
        <v>4061.5333678073534</v>
      </c>
      <c r="E87" s="2">
        <f>IF(A87="","",C87*'Loan Inputs'!$B$15)</f>
        <v>3143.4652329054866</v>
      </c>
      <c r="F87" s="2">
        <f t="shared" si="3"/>
        <v>918.06813490186687</v>
      </c>
      <c r="G87" s="2">
        <f t="shared" si="4"/>
        <v>589404.04133091727</v>
      </c>
      <c r="H87" s="2">
        <f>IF(A87="","",MIN(0,MAX(0,C87+E87-'Loan Inputs'!$B$17)))</f>
        <v>0</v>
      </c>
    </row>
    <row r="88" spans="1:8" ht="22" customHeight="1">
      <c r="A88" s="1">
        <f>IF(AND('Loan Inputs'!$B$12,82&lt;=IF('Loan Inputs'!$B$12,'Loan Inputs'!$B$7,0)*'Loan Inputs'!$B$14+0,ISNUMBER(G87),G87&gt;0),82,"")</f>
        <v>82</v>
      </c>
      <c r="B88" s="4">
        <f>IF(A88="","",IF('Loan Inputs'!$B$14=12,DATE(YEAR('Loan Inputs'!$B$8),MONTH('Loan Inputs'!$B$8)+A88,DAY('Loan Inputs'!$B$8)),'Loan Inputs'!$B$8+A88*IF('Loan Inputs'!$B$14=26,14,7)))</f>
        <v>48823</v>
      </c>
      <c r="C88" s="2">
        <f t="shared" si="5"/>
        <v>589404.04133091727</v>
      </c>
      <c r="D88" s="2">
        <f>IF(A88="","",MIN('Loan Inputs'!$B$17,C88+E88)+H88)</f>
        <v>4061.5333678073534</v>
      </c>
      <c r="E88" s="2">
        <f>IF(A88="","",C88*'Loan Inputs'!$B$15)</f>
        <v>3138.5765200871342</v>
      </c>
      <c r="F88" s="2">
        <f t="shared" si="3"/>
        <v>922.95684772021923</v>
      </c>
      <c r="G88" s="2">
        <f t="shared" si="4"/>
        <v>588481.08448319708</v>
      </c>
      <c r="H88" s="2">
        <f>IF(A88="","",MIN(0,MAX(0,C88+E88-'Loan Inputs'!$B$17)))</f>
        <v>0</v>
      </c>
    </row>
    <row r="89" spans="1:8" ht="22" customHeight="1">
      <c r="A89" s="1">
        <f>IF(AND('Loan Inputs'!$B$12,83&lt;=IF('Loan Inputs'!$B$12,'Loan Inputs'!$B$7,0)*'Loan Inputs'!$B$14+0,ISNUMBER(G88),G88&gt;0),83,"")</f>
        <v>83</v>
      </c>
      <c r="B89" s="4">
        <f>IF(A89="","",IF('Loan Inputs'!$B$14=12,DATE(YEAR('Loan Inputs'!$B$8),MONTH('Loan Inputs'!$B$8)+A89,DAY('Loan Inputs'!$B$8)),'Loan Inputs'!$B$8+A89*IF('Loan Inputs'!$B$14=26,14,7)))</f>
        <v>48853</v>
      </c>
      <c r="C89" s="2">
        <f t="shared" si="5"/>
        <v>588481.08448319708</v>
      </c>
      <c r="D89" s="2">
        <f>IF(A89="","",MIN('Loan Inputs'!$B$17,C89+E89)+H89)</f>
        <v>4061.5333678073534</v>
      </c>
      <c r="E89" s="2">
        <f>IF(A89="","",C89*'Loan Inputs'!$B$15)</f>
        <v>3133.6617748730246</v>
      </c>
      <c r="F89" s="2">
        <f t="shared" si="3"/>
        <v>927.87159293432887</v>
      </c>
      <c r="G89" s="2">
        <f t="shared" si="4"/>
        <v>587553.21289026272</v>
      </c>
      <c r="H89" s="2">
        <f>IF(A89="","",MIN(0,MAX(0,C89+E89-'Loan Inputs'!$B$17)))</f>
        <v>0</v>
      </c>
    </row>
    <row r="90" spans="1:8" ht="22" customHeight="1">
      <c r="A90" s="1">
        <f>IF(AND('Loan Inputs'!$B$12,84&lt;=IF('Loan Inputs'!$B$12,'Loan Inputs'!$B$7,0)*'Loan Inputs'!$B$14+0,ISNUMBER(G89),G89&gt;0),84,"")</f>
        <v>84</v>
      </c>
      <c r="B90" s="4">
        <f>IF(A90="","",IF('Loan Inputs'!$B$14=12,DATE(YEAR('Loan Inputs'!$B$8),MONTH('Loan Inputs'!$B$8)+A90,DAY('Loan Inputs'!$B$8)),'Loan Inputs'!$B$8+A90*IF('Loan Inputs'!$B$14=26,14,7)))</f>
        <v>48884</v>
      </c>
      <c r="C90" s="2">
        <f t="shared" si="5"/>
        <v>587553.21289026272</v>
      </c>
      <c r="D90" s="2">
        <f>IF(A90="","",MIN('Loan Inputs'!$B$17,C90+E90)+H90)</f>
        <v>4061.5333678073534</v>
      </c>
      <c r="E90" s="2">
        <f>IF(A90="","",C90*'Loan Inputs'!$B$15)</f>
        <v>3128.7208586406491</v>
      </c>
      <c r="F90" s="2">
        <f t="shared" si="3"/>
        <v>932.81250916670433</v>
      </c>
      <c r="G90" s="2">
        <f t="shared" si="4"/>
        <v>586620.40038109606</v>
      </c>
      <c r="H90" s="2">
        <f>IF(A90="","",MIN(0,MAX(0,C90+E90-'Loan Inputs'!$B$17)))</f>
        <v>0</v>
      </c>
    </row>
    <row r="91" spans="1:8" ht="22" customHeight="1">
      <c r="A91" s="1">
        <f>IF(AND('Loan Inputs'!$B$12,85&lt;=IF('Loan Inputs'!$B$12,'Loan Inputs'!$B$7,0)*'Loan Inputs'!$B$14+0,ISNUMBER(G90),G90&gt;0),85,"")</f>
        <v>85</v>
      </c>
      <c r="B91" s="4">
        <f>IF(A91="","",IF('Loan Inputs'!$B$14=12,DATE(YEAR('Loan Inputs'!$B$8),MONTH('Loan Inputs'!$B$8)+A91,DAY('Loan Inputs'!$B$8)),'Loan Inputs'!$B$8+A91*IF('Loan Inputs'!$B$14=26,14,7)))</f>
        <v>48914</v>
      </c>
      <c r="C91" s="2">
        <f t="shared" si="5"/>
        <v>586620.40038109606</v>
      </c>
      <c r="D91" s="2">
        <f>IF(A91="","",MIN('Loan Inputs'!$B$17,C91+E91)+H91)</f>
        <v>4061.5333678073534</v>
      </c>
      <c r="E91" s="2">
        <f>IF(A91="","",C91*'Loan Inputs'!$B$15)</f>
        <v>3123.7536320293366</v>
      </c>
      <c r="F91" s="2">
        <f t="shared" si="3"/>
        <v>937.77973577801686</v>
      </c>
      <c r="G91" s="2">
        <f t="shared" si="4"/>
        <v>585682.62064531806</v>
      </c>
      <c r="H91" s="2">
        <f>IF(A91="","",MIN(0,MAX(0,C91+E91-'Loan Inputs'!$B$17)))</f>
        <v>0</v>
      </c>
    </row>
    <row r="92" spans="1:8" ht="22" customHeight="1">
      <c r="A92" s="1">
        <f>IF(AND('Loan Inputs'!$B$12,86&lt;=IF('Loan Inputs'!$B$12,'Loan Inputs'!$B$7,0)*'Loan Inputs'!$B$14+0,ISNUMBER(G91),G91&gt;0),86,"")</f>
        <v>86</v>
      </c>
      <c r="B92" s="4">
        <f>IF(A92="","",IF('Loan Inputs'!$B$14=12,DATE(YEAR('Loan Inputs'!$B$8),MONTH('Loan Inputs'!$B$8)+A92,DAY('Loan Inputs'!$B$8)),'Loan Inputs'!$B$8+A92*IF('Loan Inputs'!$B$14=26,14,7)))</f>
        <v>48945</v>
      </c>
      <c r="C92" s="2">
        <f t="shared" si="5"/>
        <v>585682.62064531806</v>
      </c>
      <c r="D92" s="2">
        <f>IF(A92="","",MIN('Loan Inputs'!$B$17,C92+E92)+H92)</f>
        <v>4061.5333678073534</v>
      </c>
      <c r="E92" s="2">
        <f>IF(A92="","",C92*'Loan Inputs'!$B$15)</f>
        <v>3118.7599549363185</v>
      </c>
      <c r="F92" s="2">
        <f t="shared" si="3"/>
        <v>942.77341287103491</v>
      </c>
      <c r="G92" s="2">
        <f t="shared" si="4"/>
        <v>584739.84723244701</v>
      </c>
      <c r="H92" s="2">
        <f>IF(A92="","",MIN(0,MAX(0,C92+E92-'Loan Inputs'!$B$17)))</f>
        <v>0</v>
      </c>
    </row>
    <row r="93" spans="1:8" ht="22" customHeight="1">
      <c r="A93" s="1">
        <f>IF(AND('Loan Inputs'!$B$12,87&lt;=IF('Loan Inputs'!$B$12,'Loan Inputs'!$B$7,0)*'Loan Inputs'!$B$14+0,ISNUMBER(G92),G92&gt;0),87,"")</f>
        <v>87</v>
      </c>
      <c r="B93" s="4">
        <f>IF(A93="","",IF('Loan Inputs'!$B$14=12,DATE(YEAR('Loan Inputs'!$B$8),MONTH('Loan Inputs'!$B$8)+A93,DAY('Loan Inputs'!$B$8)),'Loan Inputs'!$B$8+A93*IF('Loan Inputs'!$B$14=26,14,7)))</f>
        <v>48976</v>
      </c>
      <c r="C93" s="2">
        <f t="shared" si="5"/>
        <v>584739.84723244701</v>
      </c>
      <c r="D93" s="2">
        <f>IF(A93="","",MIN('Loan Inputs'!$B$17,C93+E93)+H93)</f>
        <v>4061.5333678073534</v>
      </c>
      <c r="E93" s="2">
        <f>IF(A93="","",C93*'Loan Inputs'!$B$15)</f>
        <v>3113.7396865127803</v>
      </c>
      <c r="F93" s="2">
        <f t="shared" si="3"/>
        <v>947.79368129457316</v>
      </c>
      <c r="G93" s="2">
        <f t="shared" si="4"/>
        <v>583792.05355115246</v>
      </c>
      <c r="H93" s="2">
        <f>IF(A93="","",MIN(0,MAX(0,C93+E93-'Loan Inputs'!$B$17)))</f>
        <v>0</v>
      </c>
    </row>
    <row r="94" spans="1:8" ht="22" customHeight="1">
      <c r="A94" s="1">
        <f>IF(AND('Loan Inputs'!$B$12,88&lt;=IF('Loan Inputs'!$B$12,'Loan Inputs'!$B$7,0)*'Loan Inputs'!$B$14+0,ISNUMBER(G93),G93&gt;0),88,"")</f>
        <v>88</v>
      </c>
      <c r="B94" s="4">
        <f>IF(A94="","",IF('Loan Inputs'!$B$14=12,DATE(YEAR('Loan Inputs'!$B$8),MONTH('Loan Inputs'!$B$8)+A94,DAY('Loan Inputs'!$B$8)),'Loan Inputs'!$B$8+A94*IF('Loan Inputs'!$B$14=26,14,7)))</f>
        <v>49004</v>
      </c>
      <c r="C94" s="2">
        <f t="shared" si="5"/>
        <v>583792.05355115246</v>
      </c>
      <c r="D94" s="2">
        <f>IF(A94="","",MIN('Loan Inputs'!$B$17,C94+E94)+H94)</f>
        <v>4061.5333678073534</v>
      </c>
      <c r="E94" s="2">
        <f>IF(A94="","",C94*'Loan Inputs'!$B$15)</f>
        <v>3108.6926851598869</v>
      </c>
      <c r="F94" s="2">
        <f t="shared" si="3"/>
        <v>952.84068264746656</v>
      </c>
      <c r="G94" s="2">
        <f t="shared" si="4"/>
        <v>582839.21286850504</v>
      </c>
      <c r="H94" s="2">
        <f>IF(A94="","",MIN(0,MAX(0,C94+E94-'Loan Inputs'!$B$17)))</f>
        <v>0</v>
      </c>
    </row>
    <row r="95" spans="1:8" ht="22" customHeight="1">
      <c r="A95" s="1">
        <f>IF(AND('Loan Inputs'!$B$12,89&lt;=IF('Loan Inputs'!$B$12,'Loan Inputs'!$B$7,0)*'Loan Inputs'!$B$14+0,ISNUMBER(G94),G94&gt;0),89,"")</f>
        <v>89</v>
      </c>
      <c r="B95" s="4">
        <f>IF(A95="","",IF('Loan Inputs'!$B$14=12,DATE(YEAR('Loan Inputs'!$B$8),MONTH('Loan Inputs'!$B$8)+A95,DAY('Loan Inputs'!$B$8)),'Loan Inputs'!$B$8+A95*IF('Loan Inputs'!$B$14=26,14,7)))</f>
        <v>49035</v>
      </c>
      <c r="C95" s="2">
        <f t="shared" si="5"/>
        <v>582839.21286850504</v>
      </c>
      <c r="D95" s="2">
        <f>IF(A95="","",MIN('Loan Inputs'!$B$17,C95+E95)+H95)</f>
        <v>4061.5333678073534</v>
      </c>
      <c r="E95" s="2">
        <f>IF(A95="","",C95*'Loan Inputs'!$B$15)</f>
        <v>3103.6188085247891</v>
      </c>
      <c r="F95" s="2">
        <f t="shared" si="3"/>
        <v>957.91455928256437</v>
      </c>
      <c r="G95" s="2">
        <f t="shared" si="4"/>
        <v>581881.29830922245</v>
      </c>
      <c r="H95" s="2">
        <f>IF(A95="","",MIN(0,MAX(0,C95+E95-'Loan Inputs'!$B$17)))</f>
        <v>0</v>
      </c>
    </row>
    <row r="96" spans="1:8" ht="22" customHeight="1">
      <c r="A96" s="1">
        <f>IF(AND('Loan Inputs'!$B$12,90&lt;=IF('Loan Inputs'!$B$12,'Loan Inputs'!$B$7,0)*'Loan Inputs'!$B$14+0,ISNUMBER(G95),G95&gt;0),90,"")</f>
        <v>90</v>
      </c>
      <c r="B96" s="4">
        <f>IF(A96="","",IF('Loan Inputs'!$B$14=12,DATE(YEAR('Loan Inputs'!$B$8),MONTH('Loan Inputs'!$B$8)+A96,DAY('Loan Inputs'!$B$8)),'Loan Inputs'!$B$8+A96*IF('Loan Inputs'!$B$14=26,14,7)))</f>
        <v>49065</v>
      </c>
      <c r="C96" s="2">
        <f t="shared" si="5"/>
        <v>581881.29830922245</v>
      </c>
      <c r="D96" s="2">
        <f>IF(A96="","",MIN('Loan Inputs'!$B$17,C96+E96)+H96)</f>
        <v>4061.5333678073534</v>
      </c>
      <c r="E96" s="2">
        <f>IF(A96="","",C96*'Loan Inputs'!$B$15)</f>
        <v>3098.5179134966093</v>
      </c>
      <c r="F96" s="2">
        <f t="shared" si="3"/>
        <v>963.01545431074419</v>
      </c>
      <c r="G96" s="2">
        <f t="shared" si="4"/>
        <v>580918.28285491175</v>
      </c>
      <c r="H96" s="2">
        <f>IF(A96="","",MIN(0,MAX(0,C96+E96-'Loan Inputs'!$B$17)))</f>
        <v>0</v>
      </c>
    </row>
    <row r="97" spans="1:8" ht="22" customHeight="1">
      <c r="A97" s="1">
        <f>IF(AND('Loan Inputs'!$B$12,91&lt;=IF('Loan Inputs'!$B$12,'Loan Inputs'!$B$7,0)*'Loan Inputs'!$B$14+0,ISNUMBER(G96),G96&gt;0),91,"")</f>
        <v>91</v>
      </c>
      <c r="B97" s="4">
        <f>IF(A97="","",IF('Loan Inputs'!$B$14=12,DATE(YEAR('Loan Inputs'!$B$8),MONTH('Loan Inputs'!$B$8)+A97,DAY('Loan Inputs'!$B$8)),'Loan Inputs'!$B$8+A97*IF('Loan Inputs'!$B$14=26,14,7)))</f>
        <v>49096</v>
      </c>
      <c r="C97" s="2">
        <f t="shared" si="5"/>
        <v>580918.28285491175</v>
      </c>
      <c r="D97" s="2">
        <f>IF(A97="","",MIN('Loan Inputs'!$B$17,C97+E97)+H97)</f>
        <v>4061.5333678073534</v>
      </c>
      <c r="E97" s="2">
        <f>IF(A97="","",C97*'Loan Inputs'!$B$15)</f>
        <v>3093.3898562024051</v>
      </c>
      <c r="F97" s="2">
        <f t="shared" si="3"/>
        <v>968.14351160494834</v>
      </c>
      <c r="G97" s="2">
        <f t="shared" si="4"/>
        <v>579950.13934330677</v>
      </c>
      <c r="H97" s="2">
        <f>IF(A97="","",MIN(0,MAX(0,C97+E97-'Loan Inputs'!$B$17)))</f>
        <v>0</v>
      </c>
    </row>
    <row r="98" spans="1:8" ht="22" customHeight="1">
      <c r="A98" s="1">
        <f>IF(AND('Loan Inputs'!$B$12,92&lt;=IF('Loan Inputs'!$B$12,'Loan Inputs'!$B$7,0)*'Loan Inputs'!$B$14+0,ISNUMBER(G97),G97&gt;0),92,"")</f>
        <v>92</v>
      </c>
      <c r="B98" s="4">
        <f>IF(A98="","",IF('Loan Inputs'!$B$14=12,DATE(YEAR('Loan Inputs'!$B$8),MONTH('Loan Inputs'!$B$8)+A98,DAY('Loan Inputs'!$B$8)),'Loan Inputs'!$B$8+A98*IF('Loan Inputs'!$B$14=26,14,7)))</f>
        <v>49126</v>
      </c>
      <c r="C98" s="2">
        <f t="shared" si="5"/>
        <v>579950.13934330677</v>
      </c>
      <c r="D98" s="2">
        <f>IF(A98="","",MIN('Loan Inputs'!$B$17,C98+E98)+H98)</f>
        <v>4061.5333678073534</v>
      </c>
      <c r="E98" s="2">
        <f>IF(A98="","",C98*'Loan Inputs'!$B$15)</f>
        <v>3088.2344920031087</v>
      </c>
      <c r="F98" s="2">
        <f t="shared" si="3"/>
        <v>973.29887580424474</v>
      </c>
      <c r="G98" s="2">
        <f t="shared" si="4"/>
        <v>578976.84046750248</v>
      </c>
      <c r="H98" s="2">
        <f>IF(A98="","",MIN(0,MAX(0,C98+E98-'Loan Inputs'!$B$17)))</f>
        <v>0</v>
      </c>
    </row>
    <row r="99" spans="1:8" ht="22" customHeight="1">
      <c r="A99" s="1">
        <f>IF(AND('Loan Inputs'!$B$12,93&lt;=IF('Loan Inputs'!$B$12,'Loan Inputs'!$B$7,0)*'Loan Inputs'!$B$14+0,ISNUMBER(G98),G98&gt;0),93,"")</f>
        <v>93</v>
      </c>
      <c r="B99" s="4">
        <f>IF(A99="","",IF('Loan Inputs'!$B$14=12,DATE(YEAR('Loan Inputs'!$B$8),MONTH('Loan Inputs'!$B$8)+A99,DAY('Loan Inputs'!$B$8)),'Loan Inputs'!$B$8+A99*IF('Loan Inputs'!$B$14=26,14,7)))</f>
        <v>49157</v>
      </c>
      <c r="C99" s="2">
        <f t="shared" si="5"/>
        <v>578976.84046750248</v>
      </c>
      <c r="D99" s="2">
        <f>IF(A99="","",MIN('Loan Inputs'!$B$17,C99+E99)+H99)</f>
        <v>4061.5333678073534</v>
      </c>
      <c r="E99" s="2">
        <f>IF(A99="","",C99*'Loan Inputs'!$B$15)</f>
        <v>3083.0516754894506</v>
      </c>
      <c r="F99" s="2">
        <f t="shared" si="3"/>
        <v>978.4816923179028</v>
      </c>
      <c r="G99" s="2">
        <f t="shared" si="4"/>
        <v>577998.35877518461</v>
      </c>
      <c r="H99" s="2">
        <f>IF(A99="","",MIN(0,MAX(0,C99+E99-'Loan Inputs'!$B$17)))</f>
        <v>0</v>
      </c>
    </row>
    <row r="100" spans="1:8" ht="22" customHeight="1">
      <c r="A100" s="1">
        <f>IF(AND('Loan Inputs'!$B$12,94&lt;=IF('Loan Inputs'!$B$12,'Loan Inputs'!$B$7,0)*'Loan Inputs'!$B$14+0,ISNUMBER(G99),G99&gt;0),94,"")</f>
        <v>94</v>
      </c>
      <c r="B100" s="4">
        <f>IF(A100="","",IF('Loan Inputs'!$B$14=12,DATE(YEAR('Loan Inputs'!$B$8),MONTH('Loan Inputs'!$B$8)+A100,DAY('Loan Inputs'!$B$8)),'Loan Inputs'!$B$8+A100*IF('Loan Inputs'!$B$14=26,14,7)))</f>
        <v>49188</v>
      </c>
      <c r="C100" s="2">
        <f t="shared" si="5"/>
        <v>577998.35877518461</v>
      </c>
      <c r="D100" s="2">
        <f>IF(A100="","",MIN('Loan Inputs'!$B$17,C100+E100)+H100)</f>
        <v>4061.5333678073534</v>
      </c>
      <c r="E100" s="2">
        <f>IF(A100="","",C100*'Loan Inputs'!$B$15)</f>
        <v>3077.8412604778578</v>
      </c>
      <c r="F100" s="2">
        <f t="shared" si="3"/>
        <v>983.69210732949568</v>
      </c>
      <c r="G100" s="2">
        <f t="shared" si="4"/>
        <v>577014.66666785511</v>
      </c>
      <c r="H100" s="2">
        <f>IF(A100="","",MIN(0,MAX(0,C100+E100-'Loan Inputs'!$B$17)))</f>
        <v>0</v>
      </c>
    </row>
    <row r="101" spans="1:8" ht="22" customHeight="1">
      <c r="A101" s="1">
        <f>IF(AND('Loan Inputs'!$B$12,95&lt;=IF('Loan Inputs'!$B$12,'Loan Inputs'!$B$7,0)*'Loan Inputs'!$B$14+0,ISNUMBER(G100),G100&gt;0),95,"")</f>
        <v>95</v>
      </c>
      <c r="B101" s="4">
        <f>IF(A101="","",IF('Loan Inputs'!$B$14=12,DATE(YEAR('Loan Inputs'!$B$8),MONTH('Loan Inputs'!$B$8)+A101,DAY('Loan Inputs'!$B$8)),'Loan Inputs'!$B$8+A101*IF('Loan Inputs'!$B$14=26,14,7)))</f>
        <v>49218</v>
      </c>
      <c r="C101" s="2">
        <f t="shared" si="5"/>
        <v>577014.66666785511</v>
      </c>
      <c r="D101" s="2">
        <f>IF(A101="","",MIN('Loan Inputs'!$B$17,C101+E101)+H101)</f>
        <v>4061.5333678073534</v>
      </c>
      <c r="E101" s="2">
        <f>IF(A101="","",C101*'Loan Inputs'!$B$15)</f>
        <v>3072.6031000063285</v>
      </c>
      <c r="F101" s="2">
        <f t="shared" si="3"/>
        <v>988.93026780102491</v>
      </c>
      <c r="G101" s="2">
        <f t="shared" si="4"/>
        <v>576025.73640005407</v>
      </c>
      <c r="H101" s="2">
        <f>IF(A101="","",MIN(0,MAX(0,C101+E101-'Loan Inputs'!$B$17)))</f>
        <v>0</v>
      </c>
    </row>
    <row r="102" spans="1:8" ht="22" customHeight="1">
      <c r="A102" s="1">
        <f>IF(AND('Loan Inputs'!$B$12,96&lt;=IF('Loan Inputs'!$B$12,'Loan Inputs'!$B$7,0)*'Loan Inputs'!$B$14+0,ISNUMBER(G101),G101&gt;0),96,"")</f>
        <v>96</v>
      </c>
      <c r="B102" s="4">
        <f>IF(A102="","",IF('Loan Inputs'!$B$14=12,DATE(YEAR('Loan Inputs'!$B$8),MONTH('Loan Inputs'!$B$8)+A102,DAY('Loan Inputs'!$B$8)),'Loan Inputs'!$B$8+A102*IF('Loan Inputs'!$B$14=26,14,7)))</f>
        <v>49249</v>
      </c>
      <c r="C102" s="2">
        <f t="shared" si="5"/>
        <v>576025.73640005407</v>
      </c>
      <c r="D102" s="2">
        <f>IF(A102="","",MIN('Loan Inputs'!$B$17,C102+E102)+H102)</f>
        <v>4061.5333678073534</v>
      </c>
      <c r="E102" s="2">
        <f>IF(A102="","",C102*'Loan Inputs'!$B$15)</f>
        <v>3067.3370463302876</v>
      </c>
      <c r="F102" s="2">
        <f t="shared" si="3"/>
        <v>994.19632147706579</v>
      </c>
      <c r="G102" s="2">
        <f t="shared" si="4"/>
        <v>575031.540078577</v>
      </c>
      <c r="H102" s="2">
        <f>IF(A102="","",MIN(0,MAX(0,C102+E102-'Loan Inputs'!$B$17)))</f>
        <v>0</v>
      </c>
    </row>
    <row r="103" spans="1:8" ht="22" customHeight="1">
      <c r="A103" s="1">
        <f>IF(AND('Loan Inputs'!$B$12,97&lt;=IF('Loan Inputs'!$B$12,'Loan Inputs'!$B$7,0)*'Loan Inputs'!$B$14+0,ISNUMBER(G102),G102&gt;0),97,"")</f>
        <v>97</v>
      </c>
      <c r="B103" s="4">
        <f>IF(A103="","",IF('Loan Inputs'!$B$14=12,DATE(YEAR('Loan Inputs'!$B$8),MONTH('Loan Inputs'!$B$8)+A103,DAY('Loan Inputs'!$B$8)),'Loan Inputs'!$B$8+A103*IF('Loan Inputs'!$B$14=26,14,7)))</f>
        <v>49279</v>
      </c>
      <c r="C103" s="2">
        <f t="shared" si="5"/>
        <v>575031.540078577</v>
      </c>
      <c r="D103" s="2">
        <f>IF(A103="","",MIN('Loan Inputs'!$B$17,C103+E103)+H103)</f>
        <v>4061.5333678073534</v>
      </c>
      <c r="E103" s="2">
        <f>IF(A103="","",C103*'Loan Inputs'!$B$15)</f>
        <v>3062.0429509184223</v>
      </c>
      <c r="F103" s="2">
        <f t="shared" si="3"/>
        <v>999.49041688893112</v>
      </c>
      <c r="G103" s="2">
        <f t="shared" si="4"/>
        <v>574032.04966168804</v>
      </c>
      <c r="H103" s="2">
        <f>IF(A103="","",MIN(0,MAX(0,C103+E103-'Loan Inputs'!$B$17)))</f>
        <v>0</v>
      </c>
    </row>
    <row r="104" spans="1:8" ht="22" customHeight="1">
      <c r="A104" s="1">
        <f>IF(AND('Loan Inputs'!$B$12,98&lt;=IF('Loan Inputs'!$B$12,'Loan Inputs'!$B$7,0)*'Loan Inputs'!$B$14+0,ISNUMBER(G103),G103&gt;0),98,"")</f>
        <v>98</v>
      </c>
      <c r="B104" s="4">
        <f>IF(A104="","",IF('Loan Inputs'!$B$14=12,DATE(YEAR('Loan Inputs'!$B$8),MONTH('Loan Inputs'!$B$8)+A104,DAY('Loan Inputs'!$B$8)),'Loan Inputs'!$B$8+A104*IF('Loan Inputs'!$B$14=26,14,7)))</f>
        <v>49310</v>
      </c>
      <c r="C104" s="2">
        <f t="shared" si="5"/>
        <v>574032.04966168804</v>
      </c>
      <c r="D104" s="2">
        <f>IF(A104="","",MIN('Loan Inputs'!$B$17,C104+E104)+H104)</f>
        <v>4061.5333678073534</v>
      </c>
      <c r="E104" s="2">
        <f>IF(A104="","",C104*'Loan Inputs'!$B$15)</f>
        <v>3056.7206644484886</v>
      </c>
      <c r="F104" s="2">
        <f t="shared" si="3"/>
        <v>1004.8127033588648</v>
      </c>
      <c r="G104" s="2">
        <f t="shared" si="4"/>
        <v>573027.23695832922</v>
      </c>
      <c r="H104" s="2">
        <f>IF(A104="","",MIN(0,MAX(0,C104+E104-'Loan Inputs'!$B$17)))</f>
        <v>0</v>
      </c>
    </row>
    <row r="105" spans="1:8" ht="22" customHeight="1">
      <c r="A105" s="1">
        <f>IF(AND('Loan Inputs'!$B$12,99&lt;=IF('Loan Inputs'!$B$12,'Loan Inputs'!$B$7,0)*'Loan Inputs'!$B$14+0,ISNUMBER(G104),G104&gt;0),99,"")</f>
        <v>99</v>
      </c>
      <c r="B105" s="4">
        <f>IF(A105="","",IF('Loan Inputs'!$B$14=12,DATE(YEAR('Loan Inputs'!$B$8),MONTH('Loan Inputs'!$B$8)+A105,DAY('Loan Inputs'!$B$8)),'Loan Inputs'!$B$8+A105*IF('Loan Inputs'!$B$14=26,14,7)))</f>
        <v>49341</v>
      </c>
      <c r="C105" s="2">
        <f t="shared" si="5"/>
        <v>573027.23695832922</v>
      </c>
      <c r="D105" s="2">
        <f>IF(A105="","",MIN('Loan Inputs'!$B$17,C105+E105)+H105)</f>
        <v>4061.5333678073534</v>
      </c>
      <c r="E105" s="2">
        <f>IF(A105="","",C105*'Loan Inputs'!$B$15)</f>
        <v>3051.3700368031032</v>
      </c>
      <c r="F105" s="2">
        <f t="shared" si="3"/>
        <v>1010.1633310042503</v>
      </c>
      <c r="G105" s="2">
        <f t="shared" si="4"/>
        <v>572017.07362732501</v>
      </c>
      <c r="H105" s="2">
        <f>IF(A105="","",MIN(0,MAX(0,C105+E105-'Loan Inputs'!$B$17)))</f>
        <v>0</v>
      </c>
    </row>
    <row r="106" spans="1:8" ht="22" customHeight="1">
      <c r="A106" s="1">
        <f>IF(AND('Loan Inputs'!$B$12,100&lt;=IF('Loan Inputs'!$B$12,'Loan Inputs'!$B$7,0)*'Loan Inputs'!$B$14+0,ISNUMBER(G105),G105&gt;0),100,"")</f>
        <v>100</v>
      </c>
      <c r="B106" s="4">
        <f>IF(A106="","",IF('Loan Inputs'!$B$14=12,DATE(YEAR('Loan Inputs'!$B$8),MONTH('Loan Inputs'!$B$8)+A106,DAY('Loan Inputs'!$B$8)),'Loan Inputs'!$B$8+A106*IF('Loan Inputs'!$B$14=26,14,7)))</f>
        <v>49369</v>
      </c>
      <c r="C106" s="2">
        <f t="shared" si="5"/>
        <v>572017.07362732501</v>
      </c>
      <c r="D106" s="2">
        <f>IF(A106="","",MIN('Loan Inputs'!$B$17,C106+E106)+H106)</f>
        <v>4061.5333678073534</v>
      </c>
      <c r="E106" s="2">
        <f>IF(A106="","",C106*'Loan Inputs'!$B$15)</f>
        <v>3045.9909170655055</v>
      </c>
      <c r="F106" s="2">
        <f t="shared" si="3"/>
        <v>1015.5424507418479</v>
      </c>
      <c r="G106" s="2">
        <f t="shared" si="4"/>
        <v>571001.53117658314</v>
      </c>
      <c r="H106" s="2">
        <f>IF(A106="","",MIN(0,MAX(0,C106+E106-'Loan Inputs'!$B$17)))</f>
        <v>0</v>
      </c>
    </row>
    <row r="107" spans="1:8" ht="22" customHeight="1">
      <c r="A107" s="1">
        <f>IF(AND('Loan Inputs'!$B$12,101&lt;=IF('Loan Inputs'!$B$12,'Loan Inputs'!$B$7,0)*'Loan Inputs'!$B$14+0,ISNUMBER(G106),G106&gt;0),101,"")</f>
        <v>101</v>
      </c>
      <c r="B107" s="4">
        <f>IF(A107="","",IF('Loan Inputs'!$B$14=12,DATE(YEAR('Loan Inputs'!$B$8),MONTH('Loan Inputs'!$B$8)+A107,DAY('Loan Inputs'!$B$8)),'Loan Inputs'!$B$8+A107*IF('Loan Inputs'!$B$14=26,14,7)))</f>
        <v>49400</v>
      </c>
      <c r="C107" s="2">
        <f t="shared" si="5"/>
        <v>571001.53117658314</v>
      </c>
      <c r="D107" s="2">
        <f>IF(A107="","",MIN('Loan Inputs'!$B$17,C107+E107)+H107)</f>
        <v>4061.5333678073534</v>
      </c>
      <c r="E107" s="2">
        <f>IF(A107="","",C107*'Loan Inputs'!$B$15)</f>
        <v>3040.5831535153052</v>
      </c>
      <c r="F107" s="2">
        <f t="shared" si="3"/>
        <v>1020.9502142920483</v>
      </c>
      <c r="G107" s="2">
        <f t="shared" si="4"/>
        <v>569980.5809622911</v>
      </c>
      <c r="H107" s="2">
        <f>IF(A107="","",MIN(0,MAX(0,C107+E107-'Loan Inputs'!$B$17)))</f>
        <v>0</v>
      </c>
    </row>
    <row r="108" spans="1:8" ht="22" customHeight="1">
      <c r="A108" s="1">
        <f>IF(AND('Loan Inputs'!$B$12,102&lt;=IF('Loan Inputs'!$B$12,'Loan Inputs'!$B$7,0)*'Loan Inputs'!$B$14+0,ISNUMBER(G107),G107&gt;0),102,"")</f>
        <v>102</v>
      </c>
      <c r="B108" s="4">
        <f>IF(A108="","",IF('Loan Inputs'!$B$14=12,DATE(YEAR('Loan Inputs'!$B$8),MONTH('Loan Inputs'!$B$8)+A108,DAY('Loan Inputs'!$B$8)),'Loan Inputs'!$B$8+A108*IF('Loan Inputs'!$B$14=26,14,7)))</f>
        <v>49430</v>
      </c>
      <c r="C108" s="2">
        <f t="shared" si="5"/>
        <v>569980.5809622911</v>
      </c>
      <c r="D108" s="2">
        <f>IF(A108="","",MIN('Loan Inputs'!$B$17,C108+E108)+H108)</f>
        <v>4061.5333678073534</v>
      </c>
      <c r="E108" s="2">
        <f>IF(A108="","",C108*'Loan Inputs'!$B$15)</f>
        <v>3035.1465936242002</v>
      </c>
      <c r="F108" s="2">
        <f t="shared" si="3"/>
        <v>1026.3867741831532</v>
      </c>
      <c r="G108" s="2">
        <f t="shared" si="4"/>
        <v>568954.19418810797</v>
      </c>
      <c r="H108" s="2">
        <f>IF(A108="","",MIN(0,MAX(0,C108+E108-'Loan Inputs'!$B$17)))</f>
        <v>0</v>
      </c>
    </row>
    <row r="109" spans="1:8" ht="22" customHeight="1">
      <c r="A109" s="1">
        <f>IF(AND('Loan Inputs'!$B$12,103&lt;=IF('Loan Inputs'!$B$12,'Loan Inputs'!$B$7,0)*'Loan Inputs'!$B$14+0,ISNUMBER(G108),G108&gt;0),103,"")</f>
        <v>103</v>
      </c>
      <c r="B109" s="4">
        <f>IF(A109="","",IF('Loan Inputs'!$B$14=12,DATE(YEAR('Loan Inputs'!$B$8),MONTH('Loan Inputs'!$B$8)+A109,DAY('Loan Inputs'!$B$8)),'Loan Inputs'!$B$8+A109*IF('Loan Inputs'!$B$14=26,14,7)))</f>
        <v>49461</v>
      </c>
      <c r="C109" s="2">
        <f t="shared" si="5"/>
        <v>568954.19418810797</v>
      </c>
      <c r="D109" s="2">
        <f>IF(A109="","",MIN('Loan Inputs'!$B$17,C109+E109)+H109)</f>
        <v>4061.5333678073534</v>
      </c>
      <c r="E109" s="2">
        <f>IF(A109="","",C109*'Loan Inputs'!$B$15)</f>
        <v>3029.681084051675</v>
      </c>
      <c r="F109" s="2">
        <f t="shared" si="3"/>
        <v>1031.8522837556784</v>
      </c>
      <c r="G109" s="2">
        <f t="shared" si="4"/>
        <v>567922.3419043523</v>
      </c>
      <c r="H109" s="2">
        <f>IF(A109="","",MIN(0,MAX(0,C109+E109-'Loan Inputs'!$B$17)))</f>
        <v>0</v>
      </c>
    </row>
    <row r="110" spans="1:8" ht="22" customHeight="1">
      <c r="A110" s="1">
        <f>IF(AND('Loan Inputs'!$B$12,104&lt;=IF('Loan Inputs'!$B$12,'Loan Inputs'!$B$7,0)*'Loan Inputs'!$B$14+0,ISNUMBER(G109),G109&gt;0),104,"")</f>
        <v>104</v>
      </c>
      <c r="B110" s="4">
        <f>IF(A110="","",IF('Loan Inputs'!$B$14=12,DATE(YEAR('Loan Inputs'!$B$8),MONTH('Loan Inputs'!$B$8)+A110,DAY('Loan Inputs'!$B$8)),'Loan Inputs'!$B$8+A110*IF('Loan Inputs'!$B$14=26,14,7)))</f>
        <v>49491</v>
      </c>
      <c r="C110" s="2">
        <f t="shared" si="5"/>
        <v>567922.3419043523</v>
      </c>
      <c r="D110" s="2">
        <f>IF(A110="","",MIN('Loan Inputs'!$B$17,C110+E110)+H110)</f>
        <v>4061.5333678073534</v>
      </c>
      <c r="E110" s="2">
        <f>IF(A110="","",C110*'Loan Inputs'!$B$15)</f>
        <v>3024.1864706406759</v>
      </c>
      <c r="F110" s="2">
        <f t="shared" si="3"/>
        <v>1037.3468971666775</v>
      </c>
      <c r="G110" s="2">
        <f t="shared" si="4"/>
        <v>566884.99500718561</v>
      </c>
      <c r="H110" s="2">
        <f>IF(A110="","",MIN(0,MAX(0,C110+E110-'Loan Inputs'!$B$17)))</f>
        <v>0</v>
      </c>
    </row>
    <row r="111" spans="1:8" ht="22" customHeight="1">
      <c r="A111" s="1">
        <f>IF(AND('Loan Inputs'!$B$12,105&lt;=IF('Loan Inputs'!$B$12,'Loan Inputs'!$B$7,0)*'Loan Inputs'!$B$14+0,ISNUMBER(G110),G110&gt;0),105,"")</f>
        <v>105</v>
      </c>
      <c r="B111" s="4">
        <f>IF(A111="","",IF('Loan Inputs'!$B$14=12,DATE(YEAR('Loan Inputs'!$B$8),MONTH('Loan Inputs'!$B$8)+A111,DAY('Loan Inputs'!$B$8)),'Loan Inputs'!$B$8+A111*IF('Loan Inputs'!$B$14=26,14,7)))</f>
        <v>49522</v>
      </c>
      <c r="C111" s="2">
        <f t="shared" si="5"/>
        <v>566884.99500718561</v>
      </c>
      <c r="D111" s="2">
        <f>IF(A111="","",MIN('Loan Inputs'!$B$17,C111+E111)+H111)</f>
        <v>4061.5333678073534</v>
      </c>
      <c r="E111" s="2">
        <f>IF(A111="","",C111*'Loan Inputs'!$B$15)</f>
        <v>3018.6625984132634</v>
      </c>
      <c r="F111" s="2">
        <f t="shared" si="3"/>
        <v>1042.8707693940901</v>
      </c>
      <c r="G111" s="2">
        <f t="shared" si="4"/>
        <v>565842.12423779152</v>
      </c>
      <c r="H111" s="2">
        <f>IF(A111="","",MIN(0,MAX(0,C111+E111-'Loan Inputs'!$B$17)))</f>
        <v>0</v>
      </c>
    </row>
    <row r="112" spans="1:8" ht="22" customHeight="1">
      <c r="A112" s="1">
        <f>IF(AND('Loan Inputs'!$B$12,106&lt;=IF('Loan Inputs'!$B$12,'Loan Inputs'!$B$7,0)*'Loan Inputs'!$B$14+0,ISNUMBER(G111),G111&gt;0),106,"")</f>
        <v>106</v>
      </c>
      <c r="B112" s="4">
        <f>IF(A112="","",IF('Loan Inputs'!$B$14=12,DATE(YEAR('Loan Inputs'!$B$8),MONTH('Loan Inputs'!$B$8)+A112,DAY('Loan Inputs'!$B$8)),'Loan Inputs'!$B$8+A112*IF('Loan Inputs'!$B$14=26,14,7)))</f>
        <v>49553</v>
      </c>
      <c r="C112" s="2">
        <f t="shared" si="5"/>
        <v>565842.12423779152</v>
      </c>
      <c r="D112" s="2">
        <f>IF(A112="","",MIN('Loan Inputs'!$B$17,C112+E112)+H112)</f>
        <v>4061.5333678073534</v>
      </c>
      <c r="E112" s="2">
        <f>IF(A112="","",C112*'Loan Inputs'!$B$15)</f>
        <v>3013.1093115662397</v>
      </c>
      <c r="F112" s="2">
        <f t="shared" si="3"/>
        <v>1048.4240562411137</v>
      </c>
      <c r="G112" s="2">
        <f t="shared" si="4"/>
        <v>564793.70018155046</v>
      </c>
      <c r="H112" s="2">
        <f>IF(A112="","",MIN(0,MAX(0,C112+E112-'Loan Inputs'!$B$17)))</f>
        <v>0</v>
      </c>
    </row>
    <row r="113" spans="1:8" ht="22" customHeight="1">
      <c r="A113" s="1">
        <f>IF(AND('Loan Inputs'!$B$12,107&lt;=IF('Loan Inputs'!$B$12,'Loan Inputs'!$B$7,0)*'Loan Inputs'!$B$14+0,ISNUMBER(G112),G112&gt;0),107,"")</f>
        <v>107</v>
      </c>
      <c r="B113" s="4">
        <f>IF(A113="","",IF('Loan Inputs'!$B$14=12,DATE(YEAR('Loan Inputs'!$B$8),MONTH('Loan Inputs'!$B$8)+A113,DAY('Loan Inputs'!$B$8)),'Loan Inputs'!$B$8+A113*IF('Loan Inputs'!$B$14=26,14,7)))</f>
        <v>49583</v>
      </c>
      <c r="C113" s="2">
        <f t="shared" si="5"/>
        <v>564793.70018155046</v>
      </c>
      <c r="D113" s="2">
        <f>IF(A113="","",MIN('Loan Inputs'!$B$17,C113+E113)+H113)</f>
        <v>4061.5333678073534</v>
      </c>
      <c r="E113" s="2">
        <f>IF(A113="","",C113*'Loan Inputs'!$B$15)</f>
        <v>3007.5264534667563</v>
      </c>
      <c r="F113" s="2">
        <f t="shared" si="3"/>
        <v>1054.0069143405972</v>
      </c>
      <c r="G113" s="2">
        <f t="shared" si="4"/>
        <v>563739.69326720992</v>
      </c>
      <c r="H113" s="2">
        <f>IF(A113="","",MIN(0,MAX(0,C113+E113-'Loan Inputs'!$B$17)))</f>
        <v>0</v>
      </c>
    </row>
    <row r="114" spans="1:8" ht="22" customHeight="1">
      <c r="A114" s="1">
        <f>IF(AND('Loan Inputs'!$B$12,108&lt;=IF('Loan Inputs'!$B$12,'Loan Inputs'!$B$7,0)*'Loan Inputs'!$B$14+0,ISNUMBER(G113),G113&gt;0),108,"")</f>
        <v>108</v>
      </c>
      <c r="B114" s="4">
        <f>IF(A114="","",IF('Loan Inputs'!$B$14=12,DATE(YEAR('Loan Inputs'!$B$8),MONTH('Loan Inputs'!$B$8)+A114,DAY('Loan Inputs'!$B$8)),'Loan Inputs'!$B$8+A114*IF('Loan Inputs'!$B$14=26,14,7)))</f>
        <v>49614</v>
      </c>
      <c r="C114" s="2">
        <f t="shared" si="5"/>
        <v>563739.69326720992</v>
      </c>
      <c r="D114" s="2">
        <f>IF(A114="","",MIN('Loan Inputs'!$B$17,C114+E114)+H114)</f>
        <v>4061.5333678073534</v>
      </c>
      <c r="E114" s="2">
        <f>IF(A114="","",C114*'Loan Inputs'!$B$15)</f>
        <v>3001.913866647893</v>
      </c>
      <c r="F114" s="2">
        <f t="shared" si="3"/>
        <v>1059.6195011594605</v>
      </c>
      <c r="G114" s="2">
        <f t="shared" si="4"/>
        <v>562680.07376605051</v>
      </c>
      <c r="H114" s="2">
        <f>IF(A114="","",MIN(0,MAX(0,C114+E114-'Loan Inputs'!$B$17)))</f>
        <v>0</v>
      </c>
    </row>
    <row r="115" spans="1:8" ht="22" customHeight="1">
      <c r="A115" s="1">
        <f>IF(AND('Loan Inputs'!$B$12,109&lt;=IF('Loan Inputs'!$B$12,'Loan Inputs'!$B$7,0)*'Loan Inputs'!$B$14+0,ISNUMBER(G114),G114&gt;0),109,"")</f>
        <v>109</v>
      </c>
      <c r="B115" s="4">
        <f>IF(A115="","",IF('Loan Inputs'!$B$14=12,DATE(YEAR('Loan Inputs'!$B$8),MONTH('Loan Inputs'!$B$8)+A115,DAY('Loan Inputs'!$B$8)),'Loan Inputs'!$B$8+A115*IF('Loan Inputs'!$B$14=26,14,7)))</f>
        <v>49644</v>
      </c>
      <c r="C115" s="2">
        <f t="shared" si="5"/>
        <v>562680.07376605051</v>
      </c>
      <c r="D115" s="2">
        <f>IF(A115="","",MIN('Loan Inputs'!$B$17,C115+E115)+H115)</f>
        <v>4061.5333678073534</v>
      </c>
      <c r="E115" s="2">
        <f>IF(A115="","",C115*'Loan Inputs'!$B$15)</f>
        <v>2996.271392804219</v>
      </c>
      <c r="F115" s="2">
        <f t="shared" si="3"/>
        <v>1065.2619750031345</v>
      </c>
      <c r="G115" s="2">
        <f t="shared" si="4"/>
        <v>561614.81179104734</v>
      </c>
      <c r="H115" s="2">
        <f>IF(A115="","",MIN(0,MAX(0,C115+E115-'Loan Inputs'!$B$17)))</f>
        <v>0</v>
      </c>
    </row>
    <row r="116" spans="1:8" ht="22" customHeight="1">
      <c r="A116" s="1">
        <f>IF(AND('Loan Inputs'!$B$12,110&lt;=IF('Loan Inputs'!$B$12,'Loan Inputs'!$B$7,0)*'Loan Inputs'!$B$14+0,ISNUMBER(G115),G115&gt;0),110,"")</f>
        <v>110</v>
      </c>
      <c r="B116" s="4">
        <f>IF(A116="","",IF('Loan Inputs'!$B$14=12,DATE(YEAR('Loan Inputs'!$B$8),MONTH('Loan Inputs'!$B$8)+A116,DAY('Loan Inputs'!$B$8)),'Loan Inputs'!$B$8+A116*IF('Loan Inputs'!$B$14=26,14,7)))</f>
        <v>49675</v>
      </c>
      <c r="C116" s="2">
        <f t="shared" si="5"/>
        <v>561614.81179104734</v>
      </c>
      <c r="D116" s="2">
        <f>IF(A116="","",MIN('Loan Inputs'!$B$17,C116+E116)+H116)</f>
        <v>4061.5333678073534</v>
      </c>
      <c r="E116" s="2">
        <f>IF(A116="","",C116*'Loan Inputs'!$B$15)</f>
        <v>2990.5988727873269</v>
      </c>
      <c r="F116" s="2">
        <f t="shared" si="3"/>
        <v>1070.9344950200266</v>
      </c>
      <c r="G116" s="2">
        <f t="shared" si="4"/>
        <v>560543.87729602726</v>
      </c>
      <c r="H116" s="2">
        <f>IF(A116="","",MIN(0,MAX(0,C116+E116-'Loan Inputs'!$B$17)))</f>
        <v>0</v>
      </c>
    </row>
    <row r="117" spans="1:8" ht="22" customHeight="1">
      <c r="A117" s="1">
        <f>IF(AND('Loan Inputs'!$B$12,111&lt;=IF('Loan Inputs'!$B$12,'Loan Inputs'!$B$7,0)*'Loan Inputs'!$B$14+0,ISNUMBER(G116),G116&gt;0),111,"")</f>
        <v>111</v>
      </c>
      <c r="B117" s="4">
        <f>IF(A117="","",IF('Loan Inputs'!$B$14=12,DATE(YEAR('Loan Inputs'!$B$8),MONTH('Loan Inputs'!$B$8)+A117,DAY('Loan Inputs'!$B$8)),'Loan Inputs'!$B$8+A117*IF('Loan Inputs'!$B$14=26,14,7)))</f>
        <v>49706</v>
      </c>
      <c r="C117" s="2">
        <f t="shared" si="5"/>
        <v>560543.87729602726</v>
      </c>
      <c r="D117" s="2">
        <f>IF(A117="","",MIN('Loan Inputs'!$B$17,C117+E117)+H117)</f>
        <v>4061.5333678073534</v>
      </c>
      <c r="E117" s="2">
        <f>IF(A117="","",C117*'Loan Inputs'!$B$15)</f>
        <v>2984.8961466013452</v>
      </c>
      <c r="F117" s="2">
        <f t="shared" si="3"/>
        <v>1076.6372212060082</v>
      </c>
      <c r="G117" s="2">
        <f t="shared" si="4"/>
        <v>559467.24007482128</v>
      </c>
      <c r="H117" s="2">
        <f>IF(A117="","",MIN(0,MAX(0,C117+E117-'Loan Inputs'!$B$17)))</f>
        <v>0</v>
      </c>
    </row>
    <row r="118" spans="1:8" ht="22" customHeight="1">
      <c r="A118" s="1">
        <f>IF(AND('Loan Inputs'!$B$12,112&lt;=IF('Loan Inputs'!$B$12,'Loan Inputs'!$B$7,0)*'Loan Inputs'!$B$14+0,ISNUMBER(G117),G117&gt;0),112,"")</f>
        <v>112</v>
      </c>
      <c r="B118" s="4">
        <f>IF(A118="","",IF('Loan Inputs'!$B$14=12,DATE(YEAR('Loan Inputs'!$B$8),MONTH('Loan Inputs'!$B$8)+A118,DAY('Loan Inputs'!$B$8)),'Loan Inputs'!$B$8+A118*IF('Loan Inputs'!$B$14=26,14,7)))</f>
        <v>49735</v>
      </c>
      <c r="C118" s="2">
        <f t="shared" si="5"/>
        <v>559467.24007482128</v>
      </c>
      <c r="D118" s="2">
        <f>IF(A118="","",MIN('Loan Inputs'!$B$17,C118+E118)+H118)</f>
        <v>4061.5333678073534</v>
      </c>
      <c r="E118" s="2">
        <f>IF(A118="","",C118*'Loan Inputs'!$B$15)</f>
        <v>2979.1630533984235</v>
      </c>
      <c r="F118" s="2">
        <f t="shared" si="3"/>
        <v>1082.37031440893</v>
      </c>
      <c r="G118" s="2">
        <f t="shared" si="4"/>
        <v>558384.86976041237</v>
      </c>
      <c r="H118" s="2">
        <f>IF(A118="","",MIN(0,MAX(0,C118+E118-'Loan Inputs'!$B$17)))</f>
        <v>0</v>
      </c>
    </row>
    <row r="119" spans="1:8" ht="22" customHeight="1">
      <c r="A119" s="1">
        <f>IF(AND('Loan Inputs'!$B$12,113&lt;=IF('Loan Inputs'!$B$12,'Loan Inputs'!$B$7,0)*'Loan Inputs'!$B$14+0,ISNUMBER(G118),G118&gt;0),113,"")</f>
        <v>113</v>
      </c>
      <c r="B119" s="4">
        <f>IF(A119="","",IF('Loan Inputs'!$B$14=12,DATE(YEAR('Loan Inputs'!$B$8),MONTH('Loan Inputs'!$B$8)+A119,DAY('Loan Inputs'!$B$8)),'Loan Inputs'!$B$8+A119*IF('Loan Inputs'!$B$14=26,14,7)))</f>
        <v>49766</v>
      </c>
      <c r="C119" s="2">
        <f t="shared" si="5"/>
        <v>558384.86976041237</v>
      </c>
      <c r="D119" s="2">
        <f>IF(A119="","",MIN('Loan Inputs'!$B$17,C119+E119)+H119)</f>
        <v>4061.5333678073534</v>
      </c>
      <c r="E119" s="2">
        <f>IF(A119="","",C119*'Loan Inputs'!$B$15)</f>
        <v>2973.3994314741958</v>
      </c>
      <c r="F119" s="2">
        <f t="shared" si="3"/>
        <v>1088.1339363331576</v>
      </c>
      <c r="G119" s="2">
        <f t="shared" si="4"/>
        <v>557296.73582407925</v>
      </c>
      <c r="H119" s="2">
        <f>IF(A119="","",MIN(0,MAX(0,C119+E119-'Loan Inputs'!$B$17)))</f>
        <v>0</v>
      </c>
    </row>
    <row r="120" spans="1:8" ht="22" customHeight="1">
      <c r="A120" s="1">
        <f>IF(AND('Loan Inputs'!$B$12,114&lt;=IF('Loan Inputs'!$B$12,'Loan Inputs'!$B$7,0)*'Loan Inputs'!$B$14+0,ISNUMBER(G119),G119&gt;0),114,"")</f>
        <v>114</v>
      </c>
      <c r="B120" s="4">
        <f>IF(A120="","",IF('Loan Inputs'!$B$14=12,DATE(YEAR('Loan Inputs'!$B$8),MONTH('Loan Inputs'!$B$8)+A120,DAY('Loan Inputs'!$B$8)),'Loan Inputs'!$B$8+A120*IF('Loan Inputs'!$B$14=26,14,7)))</f>
        <v>49796</v>
      </c>
      <c r="C120" s="2">
        <f t="shared" si="5"/>
        <v>557296.73582407925</v>
      </c>
      <c r="D120" s="2">
        <f>IF(A120="","",MIN('Loan Inputs'!$B$17,C120+E120)+H120)</f>
        <v>4061.5333678073534</v>
      </c>
      <c r="E120" s="2">
        <f>IF(A120="","",C120*'Loan Inputs'!$B$15)</f>
        <v>2967.6051182632218</v>
      </c>
      <c r="F120" s="2">
        <f t="shared" si="3"/>
        <v>1093.9282495441316</v>
      </c>
      <c r="G120" s="2">
        <f t="shared" si="4"/>
        <v>556202.80757453514</v>
      </c>
      <c r="H120" s="2">
        <f>IF(A120="","",MIN(0,MAX(0,C120+E120-'Loan Inputs'!$B$17)))</f>
        <v>0</v>
      </c>
    </row>
    <row r="121" spans="1:8" ht="22" customHeight="1">
      <c r="A121" s="1">
        <f>IF(AND('Loan Inputs'!$B$12,115&lt;=IF('Loan Inputs'!$B$12,'Loan Inputs'!$B$7,0)*'Loan Inputs'!$B$14+0,ISNUMBER(G120),G120&gt;0),115,"")</f>
        <v>115</v>
      </c>
      <c r="B121" s="4">
        <f>IF(A121="","",IF('Loan Inputs'!$B$14=12,DATE(YEAR('Loan Inputs'!$B$8),MONTH('Loan Inputs'!$B$8)+A121,DAY('Loan Inputs'!$B$8)),'Loan Inputs'!$B$8+A121*IF('Loan Inputs'!$B$14=26,14,7)))</f>
        <v>49827</v>
      </c>
      <c r="C121" s="2">
        <f t="shared" si="5"/>
        <v>556202.80757453514</v>
      </c>
      <c r="D121" s="2">
        <f>IF(A121="","",MIN('Loan Inputs'!$B$17,C121+E121)+H121)</f>
        <v>4061.5333678073534</v>
      </c>
      <c r="E121" s="2">
        <f>IF(A121="","",C121*'Loan Inputs'!$B$15)</f>
        <v>2961.7799503343995</v>
      </c>
      <c r="F121" s="2">
        <f t="shared" si="3"/>
        <v>1099.753417472954</v>
      </c>
      <c r="G121" s="2">
        <f t="shared" si="4"/>
        <v>555103.0541570622</v>
      </c>
      <c r="H121" s="2">
        <f>IF(A121="","",MIN(0,MAX(0,C121+E121-'Loan Inputs'!$B$17)))</f>
        <v>0</v>
      </c>
    </row>
    <row r="122" spans="1:8" ht="22" customHeight="1">
      <c r="A122" s="1">
        <f>IF(AND('Loan Inputs'!$B$12,116&lt;=IF('Loan Inputs'!$B$12,'Loan Inputs'!$B$7,0)*'Loan Inputs'!$B$14+0,ISNUMBER(G121),G121&gt;0),116,"")</f>
        <v>116</v>
      </c>
      <c r="B122" s="4">
        <f>IF(A122="","",IF('Loan Inputs'!$B$14=12,DATE(YEAR('Loan Inputs'!$B$8),MONTH('Loan Inputs'!$B$8)+A122,DAY('Loan Inputs'!$B$8)),'Loan Inputs'!$B$8+A122*IF('Loan Inputs'!$B$14=26,14,7)))</f>
        <v>49857</v>
      </c>
      <c r="C122" s="2">
        <f t="shared" si="5"/>
        <v>555103.0541570622</v>
      </c>
      <c r="D122" s="2">
        <f>IF(A122="","",MIN('Loan Inputs'!$B$17,C122+E122)+H122)</f>
        <v>4061.5333678073534</v>
      </c>
      <c r="E122" s="2">
        <f>IF(A122="","",C122*'Loan Inputs'!$B$15)</f>
        <v>2955.9237633863563</v>
      </c>
      <c r="F122" s="2">
        <f t="shared" si="3"/>
        <v>1105.6096044209971</v>
      </c>
      <c r="G122" s="2">
        <f t="shared" si="4"/>
        <v>553997.44455264125</v>
      </c>
      <c r="H122" s="2">
        <f>IF(A122="","",MIN(0,MAX(0,C122+E122-'Loan Inputs'!$B$17)))</f>
        <v>0</v>
      </c>
    </row>
    <row r="123" spans="1:8" ht="22" customHeight="1">
      <c r="A123" s="1">
        <f>IF(AND('Loan Inputs'!$B$12,117&lt;=IF('Loan Inputs'!$B$12,'Loan Inputs'!$B$7,0)*'Loan Inputs'!$B$14+0,ISNUMBER(G122),G122&gt;0),117,"")</f>
        <v>117</v>
      </c>
      <c r="B123" s="4">
        <f>IF(A123="","",IF('Loan Inputs'!$B$14=12,DATE(YEAR('Loan Inputs'!$B$8),MONTH('Loan Inputs'!$B$8)+A123,DAY('Loan Inputs'!$B$8)),'Loan Inputs'!$B$8+A123*IF('Loan Inputs'!$B$14=26,14,7)))</f>
        <v>49888</v>
      </c>
      <c r="C123" s="2">
        <f t="shared" si="5"/>
        <v>553997.44455264125</v>
      </c>
      <c r="D123" s="2">
        <f>IF(A123="","",MIN('Loan Inputs'!$B$17,C123+E123)+H123)</f>
        <v>4061.5333678073534</v>
      </c>
      <c r="E123" s="2">
        <f>IF(A123="","",C123*'Loan Inputs'!$B$15)</f>
        <v>2950.0363922428146</v>
      </c>
      <c r="F123" s="2">
        <f t="shared" si="3"/>
        <v>1111.4969755645388</v>
      </c>
      <c r="G123" s="2">
        <f t="shared" si="4"/>
        <v>552885.94757707673</v>
      </c>
      <c r="H123" s="2">
        <f>IF(A123="","",MIN(0,MAX(0,C123+E123-'Loan Inputs'!$B$17)))</f>
        <v>0</v>
      </c>
    </row>
    <row r="124" spans="1:8" ht="22" customHeight="1">
      <c r="A124" s="1">
        <f>IF(AND('Loan Inputs'!$B$12,118&lt;=IF('Loan Inputs'!$B$12,'Loan Inputs'!$B$7,0)*'Loan Inputs'!$B$14+0,ISNUMBER(G123),G123&gt;0),118,"")</f>
        <v>118</v>
      </c>
      <c r="B124" s="4">
        <f>IF(A124="","",IF('Loan Inputs'!$B$14=12,DATE(YEAR('Loan Inputs'!$B$8),MONTH('Loan Inputs'!$B$8)+A124,DAY('Loan Inputs'!$B$8)),'Loan Inputs'!$B$8+A124*IF('Loan Inputs'!$B$14=26,14,7)))</f>
        <v>49919</v>
      </c>
      <c r="C124" s="2">
        <f t="shared" si="5"/>
        <v>552885.94757707673</v>
      </c>
      <c r="D124" s="2">
        <f>IF(A124="","",MIN('Loan Inputs'!$B$17,C124+E124)+H124)</f>
        <v>4061.5333678073534</v>
      </c>
      <c r="E124" s="2">
        <f>IF(A124="","",C124*'Loan Inputs'!$B$15)</f>
        <v>2944.1176708479334</v>
      </c>
      <c r="F124" s="2">
        <f t="shared" si="3"/>
        <v>1117.4156969594201</v>
      </c>
      <c r="G124" s="2">
        <f t="shared" si="4"/>
        <v>551768.53188011725</v>
      </c>
      <c r="H124" s="2">
        <f>IF(A124="","",MIN(0,MAX(0,C124+E124-'Loan Inputs'!$B$17)))</f>
        <v>0</v>
      </c>
    </row>
    <row r="125" spans="1:8" ht="22" customHeight="1">
      <c r="A125" s="1">
        <f>IF(AND('Loan Inputs'!$B$12,119&lt;=IF('Loan Inputs'!$B$12,'Loan Inputs'!$B$7,0)*'Loan Inputs'!$B$14+0,ISNUMBER(G124),G124&gt;0),119,"")</f>
        <v>119</v>
      </c>
      <c r="B125" s="4">
        <f>IF(A125="","",IF('Loan Inputs'!$B$14=12,DATE(YEAR('Loan Inputs'!$B$8),MONTH('Loan Inputs'!$B$8)+A125,DAY('Loan Inputs'!$B$8)),'Loan Inputs'!$B$8+A125*IF('Loan Inputs'!$B$14=26,14,7)))</f>
        <v>49949</v>
      </c>
      <c r="C125" s="2">
        <f t="shared" si="5"/>
        <v>551768.53188011725</v>
      </c>
      <c r="D125" s="2">
        <f>IF(A125="","",MIN('Loan Inputs'!$B$17,C125+E125)+H125)</f>
        <v>4061.5333678073534</v>
      </c>
      <c r="E125" s="2">
        <f>IF(A125="","",C125*'Loan Inputs'!$B$15)</f>
        <v>2938.1674322616245</v>
      </c>
      <c r="F125" s="2">
        <f t="shared" si="3"/>
        <v>1123.3659355457289</v>
      </c>
      <c r="G125" s="2">
        <f t="shared" si="4"/>
        <v>550645.16594457149</v>
      </c>
      <c r="H125" s="2">
        <f>IF(A125="","",MIN(0,MAX(0,C125+E125-'Loan Inputs'!$B$17)))</f>
        <v>0</v>
      </c>
    </row>
    <row r="126" spans="1:8" ht="22" customHeight="1">
      <c r="A126" s="1">
        <f>IF(AND('Loan Inputs'!$B$12,120&lt;=IF('Loan Inputs'!$B$12,'Loan Inputs'!$B$7,0)*'Loan Inputs'!$B$14+0,ISNUMBER(G125),G125&gt;0),120,"")</f>
        <v>120</v>
      </c>
      <c r="B126" s="4">
        <f>IF(A126="","",IF('Loan Inputs'!$B$14=12,DATE(YEAR('Loan Inputs'!$B$8),MONTH('Loan Inputs'!$B$8)+A126,DAY('Loan Inputs'!$B$8)),'Loan Inputs'!$B$8+A126*IF('Loan Inputs'!$B$14=26,14,7)))</f>
        <v>49980</v>
      </c>
      <c r="C126" s="2">
        <f t="shared" si="5"/>
        <v>550645.16594457149</v>
      </c>
      <c r="D126" s="2">
        <f>IF(A126="","",MIN('Loan Inputs'!$B$17,C126+E126)+H126)</f>
        <v>4061.5333678073534</v>
      </c>
      <c r="E126" s="2">
        <f>IF(A126="","",C126*'Loan Inputs'!$B$15)</f>
        <v>2932.185508654843</v>
      </c>
      <c r="F126" s="2">
        <f t="shared" si="3"/>
        <v>1129.3478591525104</v>
      </c>
      <c r="G126" s="2">
        <f t="shared" si="4"/>
        <v>549515.81808541901</v>
      </c>
      <c r="H126" s="2">
        <f>IF(A126="","",MIN(0,MAX(0,C126+E126-'Loan Inputs'!$B$17)))</f>
        <v>0</v>
      </c>
    </row>
    <row r="127" spans="1:8" ht="22" customHeight="1">
      <c r="A127" s="1">
        <f>IF(AND('Loan Inputs'!$B$12,121&lt;=IF('Loan Inputs'!$B$12,'Loan Inputs'!$B$7,0)*'Loan Inputs'!$B$14+0,ISNUMBER(G126),G126&gt;0),121,"")</f>
        <v>121</v>
      </c>
      <c r="B127" s="4">
        <f>IF(A127="","",IF('Loan Inputs'!$B$14=12,DATE(YEAR('Loan Inputs'!$B$8),MONTH('Loan Inputs'!$B$8)+A127,DAY('Loan Inputs'!$B$8)),'Loan Inputs'!$B$8+A127*IF('Loan Inputs'!$B$14=26,14,7)))</f>
        <v>50010</v>
      </c>
      <c r="C127" s="2">
        <f t="shared" si="5"/>
        <v>549515.81808541901</v>
      </c>
      <c r="D127" s="2">
        <f>IF(A127="","",MIN('Loan Inputs'!$B$17,C127+E127)+H127)</f>
        <v>4061.5333678073534</v>
      </c>
      <c r="E127" s="2">
        <f>IF(A127="","",C127*'Loan Inputs'!$B$15)</f>
        <v>2926.1717313048562</v>
      </c>
      <c r="F127" s="2">
        <f t="shared" si="3"/>
        <v>1135.3616365024973</v>
      </c>
      <c r="G127" s="2">
        <f t="shared" si="4"/>
        <v>548380.45644891646</v>
      </c>
      <c r="H127" s="2">
        <f>IF(A127="","",MIN(0,MAX(0,C127+E127-'Loan Inputs'!$B$17)))</f>
        <v>0</v>
      </c>
    </row>
    <row r="128" spans="1:8" ht="22" customHeight="1">
      <c r="A128" s="1">
        <f>IF(AND('Loan Inputs'!$B$12,122&lt;=IF('Loan Inputs'!$B$12,'Loan Inputs'!$B$7,0)*'Loan Inputs'!$B$14+0,ISNUMBER(G127),G127&gt;0),122,"")</f>
        <v>122</v>
      </c>
      <c r="B128" s="4">
        <f>IF(A128="","",IF('Loan Inputs'!$B$14=12,DATE(YEAR('Loan Inputs'!$B$8),MONTH('Loan Inputs'!$B$8)+A128,DAY('Loan Inputs'!$B$8)),'Loan Inputs'!$B$8+A128*IF('Loan Inputs'!$B$14=26,14,7)))</f>
        <v>50041</v>
      </c>
      <c r="C128" s="2">
        <f t="shared" si="5"/>
        <v>548380.45644891646</v>
      </c>
      <c r="D128" s="2">
        <f>IF(A128="","",MIN('Loan Inputs'!$B$17,C128+E128)+H128)</f>
        <v>4061.5333678073534</v>
      </c>
      <c r="E128" s="2">
        <f>IF(A128="","",C128*'Loan Inputs'!$B$15)</f>
        <v>2920.12593059048</v>
      </c>
      <c r="F128" s="2">
        <f t="shared" si="3"/>
        <v>1141.4074372168734</v>
      </c>
      <c r="G128" s="2">
        <f t="shared" si="4"/>
        <v>547239.04901169962</v>
      </c>
      <c r="H128" s="2">
        <f>IF(A128="","",MIN(0,MAX(0,C128+E128-'Loan Inputs'!$B$17)))</f>
        <v>0</v>
      </c>
    </row>
    <row r="129" spans="1:8" ht="22" customHeight="1">
      <c r="A129" s="1">
        <f>IF(AND('Loan Inputs'!$B$12,123&lt;=IF('Loan Inputs'!$B$12,'Loan Inputs'!$B$7,0)*'Loan Inputs'!$B$14+0,ISNUMBER(G128),G128&gt;0),123,"")</f>
        <v>123</v>
      </c>
      <c r="B129" s="4">
        <f>IF(A129="","",IF('Loan Inputs'!$B$14=12,DATE(YEAR('Loan Inputs'!$B$8),MONTH('Loan Inputs'!$B$8)+A129,DAY('Loan Inputs'!$B$8)),'Loan Inputs'!$B$8+A129*IF('Loan Inputs'!$B$14=26,14,7)))</f>
        <v>50072</v>
      </c>
      <c r="C129" s="2">
        <f t="shared" si="5"/>
        <v>547239.04901169962</v>
      </c>
      <c r="D129" s="2">
        <f>IF(A129="","",MIN('Loan Inputs'!$B$17,C129+E129)+H129)</f>
        <v>4061.5333678073534</v>
      </c>
      <c r="E129" s="2">
        <f>IF(A129="","",C129*'Loan Inputs'!$B$15)</f>
        <v>2914.0479359873002</v>
      </c>
      <c r="F129" s="2">
        <f t="shared" si="3"/>
        <v>1147.4854318200532</v>
      </c>
      <c r="G129" s="2">
        <f t="shared" si="4"/>
        <v>546091.56357987958</v>
      </c>
      <c r="H129" s="2">
        <f>IF(A129="","",MIN(0,MAX(0,C129+E129-'Loan Inputs'!$B$17)))</f>
        <v>0</v>
      </c>
    </row>
    <row r="130" spans="1:8" ht="22" customHeight="1">
      <c r="A130" s="1">
        <f>IF(AND('Loan Inputs'!$B$12,124&lt;=IF('Loan Inputs'!$B$12,'Loan Inputs'!$B$7,0)*'Loan Inputs'!$B$14+0,ISNUMBER(G129),G129&gt;0),124,"")</f>
        <v>124</v>
      </c>
      <c r="B130" s="4">
        <f>IF(A130="","",IF('Loan Inputs'!$B$14=12,DATE(YEAR('Loan Inputs'!$B$8),MONTH('Loan Inputs'!$B$8)+A130,DAY('Loan Inputs'!$B$8)),'Loan Inputs'!$B$8+A130*IF('Loan Inputs'!$B$14=26,14,7)))</f>
        <v>50100</v>
      </c>
      <c r="C130" s="2">
        <f t="shared" si="5"/>
        <v>546091.56357987958</v>
      </c>
      <c r="D130" s="2">
        <f>IF(A130="","",MIN('Loan Inputs'!$B$17,C130+E130)+H130)</f>
        <v>4061.5333678073534</v>
      </c>
      <c r="E130" s="2">
        <f>IF(A130="","",C130*'Loan Inputs'!$B$15)</f>
        <v>2907.9375760628586</v>
      </c>
      <c r="F130" s="2">
        <f t="shared" si="3"/>
        <v>1153.5957917444948</v>
      </c>
      <c r="G130" s="2">
        <f t="shared" si="4"/>
        <v>544937.96778813505</v>
      </c>
      <c r="H130" s="2">
        <f>IF(A130="","",MIN(0,MAX(0,C130+E130-'Loan Inputs'!$B$17)))</f>
        <v>0</v>
      </c>
    </row>
    <row r="131" spans="1:8" ht="22" customHeight="1">
      <c r="A131" s="1">
        <f>IF(AND('Loan Inputs'!$B$12,125&lt;=IF('Loan Inputs'!$B$12,'Loan Inputs'!$B$7,0)*'Loan Inputs'!$B$14+0,ISNUMBER(G130),G130&gt;0),125,"")</f>
        <v>125</v>
      </c>
      <c r="B131" s="4">
        <f>IF(A131="","",IF('Loan Inputs'!$B$14=12,DATE(YEAR('Loan Inputs'!$B$8),MONTH('Loan Inputs'!$B$8)+A131,DAY('Loan Inputs'!$B$8)),'Loan Inputs'!$B$8+A131*IF('Loan Inputs'!$B$14=26,14,7)))</f>
        <v>50131</v>
      </c>
      <c r="C131" s="2">
        <f t="shared" si="5"/>
        <v>544937.96778813505</v>
      </c>
      <c r="D131" s="2">
        <f>IF(A131="","",MIN('Loan Inputs'!$B$17,C131+E131)+H131)</f>
        <v>4061.5333678073534</v>
      </c>
      <c r="E131" s="2">
        <f>IF(A131="","",C131*'Loan Inputs'!$B$15)</f>
        <v>2901.7946784718192</v>
      </c>
      <c r="F131" s="2">
        <f t="shared" si="3"/>
        <v>1159.7386893355342</v>
      </c>
      <c r="G131" s="2">
        <f t="shared" si="4"/>
        <v>543778.22909879952</v>
      </c>
      <c r="H131" s="2">
        <f>IF(A131="","",MIN(0,MAX(0,C131+E131-'Loan Inputs'!$B$17)))</f>
        <v>0</v>
      </c>
    </row>
    <row r="132" spans="1:8" ht="22" customHeight="1">
      <c r="A132" s="1">
        <f>IF(AND('Loan Inputs'!$B$12,126&lt;=IF('Loan Inputs'!$B$12,'Loan Inputs'!$B$7,0)*'Loan Inputs'!$B$14+0,ISNUMBER(G131),G131&gt;0),126,"")</f>
        <v>126</v>
      </c>
      <c r="B132" s="4">
        <f>IF(A132="","",IF('Loan Inputs'!$B$14=12,DATE(YEAR('Loan Inputs'!$B$8),MONTH('Loan Inputs'!$B$8)+A132,DAY('Loan Inputs'!$B$8)),'Loan Inputs'!$B$8+A132*IF('Loan Inputs'!$B$14=26,14,7)))</f>
        <v>50161</v>
      </c>
      <c r="C132" s="2">
        <f t="shared" si="5"/>
        <v>543778.22909879952</v>
      </c>
      <c r="D132" s="2">
        <f>IF(A132="","",MIN('Loan Inputs'!$B$17,C132+E132)+H132)</f>
        <v>4061.5333678073534</v>
      </c>
      <c r="E132" s="2">
        <f>IF(A132="","",C132*'Loan Inputs'!$B$15)</f>
        <v>2895.6190699511076</v>
      </c>
      <c r="F132" s="2">
        <f t="shared" si="3"/>
        <v>1165.9142978562459</v>
      </c>
      <c r="G132" s="2">
        <f t="shared" si="4"/>
        <v>542612.31480094325</v>
      </c>
      <c r="H132" s="2">
        <f>IF(A132="","",MIN(0,MAX(0,C132+E132-'Loan Inputs'!$B$17)))</f>
        <v>0</v>
      </c>
    </row>
    <row r="133" spans="1:8" ht="22" customHeight="1">
      <c r="A133" s="1">
        <f>IF(AND('Loan Inputs'!$B$12,127&lt;=IF('Loan Inputs'!$B$12,'Loan Inputs'!$B$7,0)*'Loan Inputs'!$B$14+0,ISNUMBER(G132),G132&gt;0),127,"")</f>
        <v>127</v>
      </c>
      <c r="B133" s="4">
        <f>IF(A133="","",IF('Loan Inputs'!$B$14=12,DATE(YEAR('Loan Inputs'!$B$8),MONTH('Loan Inputs'!$B$8)+A133,DAY('Loan Inputs'!$B$8)),'Loan Inputs'!$B$8+A133*IF('Loan Inputs'!$B$14=26,14,7)))</f>
        <v>50192</v>
      </c>
      <c r="C133" s="2">
        <f t="shared" si="5"/>
        <v>542612.31480094325</v>
      </c>
      <c r="D133" s="2">
        <f>IF(A133="","",MIN('Loan Inputs'!$B$17,C133+E133)+H133)</f>
        <v>4061.5333678073534</v>
      </c>
      <c r="E133" s="2">
        <f>IF(A133="","",C133*'Loan Inputs'!$B$15)</f>
        <v>2889.4105763150228</v>
      </c>
      <c r="F133" s="2">
        <f t="shared" si="3"/>
        <v>1172.1227914923306</v>
      </c>
      <c r="G133" s="2">
        <f t="shared" si="4"/>
        <v>541440.19200945087</v>
      </c>
      <c r="H133" s="2">
        <f>IF(A133="","",MIN(0,MAX(0,C133+E133-'Loan Inputs'!$B$17)))</f>
        <v>0</v>
      </c>
    </row>
    <row r="134" spans="1:8" ht="22" customHeight="1">
      <c r="A134" s="1">
        <f>IF(AND('Loan Inputs'!$B$12,128&lt;=IF('Loan Inputs'!$B$12,'Loan Inputs'!$B$7,0)*'Loan Inputs'!$B$14+0,ISNUMBER(G133),G133&gt;0),128,"")</f>
        <v>128</v>
      </c>
      <c r="B134" s="4">
        <f>IF(A134="","",IF('Loan Inputs'!$B$14=12,DATE(YEAR('Loan Inputs'!$B$8),MONTH('Loan Inputs'!$B$8)+A134,DAY('Loan Inputs'!$B$8)),'Loan Inputs'!$B$8+A134*IF('Loan Inputs'!$B$14=26,14,7)))</f>
        <v>50222</v>
      </c>
      <c r="C134" s="2">
        <f t="shared" si="5"/>
        <v>541440.19200945087</v>
      </c>
      <c r="D134" s="2">
        <f>IF(A134="","",MIN('Loan Inputs'!$B$17,C134+E134)+H134)</f>
        <v>4061.5333678073534</v>
      </c>
      <c r="E134" s="2">
        <f>IF(A134="","",C134*'Loan Inputs'!$B$15)</f>
        <v>2883.1690224503259</v>
      </c>
      <c r="F134" s="2">
        <f t="shared" si="3"/>
        <v>1178.3643453570276</v>
      </c>
      <c r="G134" s="2">
        <f t="shared" si="4"/>
        <v>540261.82766409381</v>
      </c>
      <c r="H134" s="2">
        <f>IF(A134="","",MIN(0,MAX(0,C134+E134-'Loan Inputs'!$B$17)))</f>
        <v>0</v>
      </c>
    </row>
    <row r="135" spans="1:8" ht="22" customHeight="1">
      <c r="A135" s="1">
        <f>IF(AND('Loan Inputs'!$B$12,129&lt;=IF('Loan Inputs'!$B$12,'Loan Inputs'!$B$7,0)*'Loan Inputs'!$B$14+0,ISNUMBER(G134),G134&gt;0),129,"")</f>
        <v>129</v>
      </c>
      <c r="B135" s="4">
        <f>IF(A135="","",IF('Loan Inputs'!$B$14=12,DATE(YEAR('Loan Inputs'!$B$8),MONTH('Loan Inputs'!$B$8)+A135,DAY('Loan Inputs'!$B$8)),'Loan Inputs'!$B$8+A135*IF('Loan Inputs'!$B$14=26,14,7)))</f>
        <v>50253</v>
      </c>
      <c r="C135" s="2">
        <f t="shared" si="5"/>
        <v>540261.82766409381</v>
      </c>
      <c r="D135" s="2">
        <f>IF(A135="","",MIN('Loan Inputs'!$B$17,C135+E135)+H135)</f>
        <v>4061.5333678073534</v>
      </c>
      <c r="E135" s="2">
        <f>IF(A135="","",C135*'Loan Inputs'!$B$15)</f>
        <v>2876.8942323112997</v>
      </c>
      <c r="F135" s="2">
        <f t="shared" ref="F135:F198" si="6">IF(A135="","",MIN(C135,D135-E135))</f>
        <v>1184.6391354960538</v>
      </c>
      <c r="G135" s="2">
        <f t="shared" ref="G135:G198" si="7">IF(A135="","",IF(C135-F135&lt;0.01,0,MAX(0,C135-F135)))</f>
        <v>539077.1885285977</v>
      </c>
      <c r="H135" s="2">
        <f>IF(A135="","",MIN(0,MAX(0,C135+E135-'Loan Inputs'!$B$17)))</f>
        <v>0</v>
      </c>
    </row>
    <row r="136" spans="1:8" ht="22" customHeight="1">
      <c r="A136" s="1">
        <f>IF(AND('Loan Inputs'!$B$12,130&lt;=IF('Loan Inputs'!$B$12,'Loan Inputs'!$B$7,0)*'Loan Inputs'!$B$14+0,ISNUMBER(G135),G135&gt;0),130,"")</f>
        <v>130</v>
      </c>
      <c r="B136" s="4">
        <f>IF(A136="","",IF('Loan Inputs'!$B$14=12,DATE(YEAR('Loan Inputs'!$B$8),MONTH('Loan Inputs'!$B$8)+A136,DAY('Loan Inputs'!$B$8)),'Loan Inputs'!$B$8+A136*IF('Loan Inputs'!$B$14=26,14,7)))</f>
        <v>50284</v>
      </c>
      <c r="C136" s="2">
        <f t="shared" ref="C136:C199" si="8">IF(A136="","",G135)</f>
        <v>539077.1885285977</v>
      </c>
      <c r="D136" s="2">
        <f>IF(A136="","",MIN('Loan Inputs'!$B$17,C136+E136)+H136)</f>
        <v>4061.5333678073534</v>
      </c>
      <c r="E136" s="2">
        <f>IF(A136="","",C136*'Loan Inputs'!$B$15)</f>
        <v>2870.5860289147827</v>
      </c>
      <c r="F136" s="2">
        <f t="shared" si="6"/>
        <v>1190.9473388925708</v>
      </c>
      <c r="G136" s="2">
        <f t="shared" si="7"/>
        <v>537886.24118970509</v>
      </c>
      <c r="H136" s="2">
        <f>IF(A136="","",MIN(0,MAX(0,C136+E136-'Loan Inputs'!$B$17)))</f>
        <v>0</v>
      </c>
    </row>
    <row r="137" spans="1:8" ht="22" customHeight="1">
      <c r="A137" s="1">
        <f>IF(AND('Loan Inputs'!$B$12,131&lt;=IF('Loan Inputs'!$B$12,'Loan Inputs'!$B$7,0)*'Loan Inputs'!$B$14+0,ISNUMBER(G136),G136&gt;0),131,"")</f>
        <v>131</v>
      </c>
      <c r="B137" s="4">
        <f>IF(A137="","",IF('Loan Inputs'!$B$14=12,DATE(YEAR('Loan Inputs'!$B$8),MONTH('Loan Inputs'!$B$8)+A137,DAY('Loan Inputs'!$B$8)),'Loan Inputs'!$B$8+A137*IF('Loan Inputs'!$B$14=26,14,7)))</f>
        <v>50314</v>
      </c>
      <c r="C137" s="2">
        <f t="shared" si="8"/>
        <v>537886.24118970509</v>
      </c>
      <c r="D137" s="2">
        <f>IF(A137="","",MIN('Loan Inputs'!$B$17,C137+E137)+H137)</f>
        <v>4061.5333678073534</v>
      </c>
      <c r="E137" s="2">
        <f>IF(A137="","",C137*'Loan Inputs'!$B$15)</f>
        <v>2864.2442343351795</v>
      </c>
      <c r="F137" s="2">
        <f t="shared" si="6"/>
        <v>1197.2891334721739</v>
      </c>
      <c r="G137" s="2">
        <f t="shared" si="7"/>
        <v>536688.95205623296</v>
      </c>
      <c r="H137" s="2">
        <f>IF(A137="","",MIN(0,MAX(0,C137+E137-'Loan Inputs'!$B$17)))</f>
        <v>0</v>
      </c>
    </row>
    <row r="138" spans="1:8" ht="22" customHeight="1">
      <c r="A138" s="1">
        <f>IF(AND('Loan Inputs'!$B$12,132&lt;=IF('Loan Inputs'!$B$12,'Loan Inputs'!$B$7,0)*'Loan Inputs'!$B$14+0,ISNUMBER(G137),G137&gt;0),132,"")</f>
        <v>132</v>
      </c>
      <c r="B138" s="4">
        <f>IF(A138="","",IF('Loan Inputs'!$B$14=12,DATE(YEAR('Loan Inputs'!$B$8),MONTH('Loan Inputs'!$B$8)+A138,DAY('Loan Inputs'!$B$8)),'Loan Inputs'!$B$8+A138*IF('Loan Inputs'!$B$14=26,14,7)))</f>
        <v>50345</v>
      </c>
      <c r="C138" s="2">
        <f t="shared" si="8"/>
        <v>536688.95205623296</v>
      </c>
      <c r="D138" s="2">
        <f>IF(A138="","",MIN('Loan Inputs'!$B$17,C138+E138)+H138)</f>
        <v>4061.5333678073534</v>
      </c>
      <c r="E138" s="2">
        <f>IF(A138="","",C138*'Loan Inputs'!$B$15)</f>
        <v>2857.8686696994405</v>
      </c>
      <c r="F138" s="2">
        <f t="shared" si="6"/>
        <v>1203.664698107913</v>
      </c>
      <c r="G138" s="2">
        <f t="shared" si="7"/>
        <v>535485.28735812509</v>
      </c>
      <c r="H138" s="2">
        <f>IF(A138="","",MIN(0,MAX(0,C138+E138-'Loan Inputs'!$B$17)))</f>
        <v>0</v>
      </c>
    </row>
    <row r="139" spans="1:8" ht="22" customHeight="1">
      <c r="A139" s="1">
        <f>IF(AND('Loan Inputs'!$B$12,133&lt;=IF('Loan Inputs'!$B$12,'Loan Inputs'!$B$7,0)*'Loan Inputs'!$B$14+0,ISNUMBER(G138),G138&gt;0),133,"")</f>
        <v>133</v>
      </c>
      <c r="B139" s="4">
        <f>IF(A139="","",IF('Loan Inputs'!$B$14=12,DATE(YEAR('Loan Inputs'!$B$8),MONTH('Loan Inputs'!$B$8)+A139,DAY('Loan Inputs'!$B$8)),'Loan Inputs'!$B$8+A139*IF('Loan Inputs'!$B$14=26,14,7)))</f>
        <v>50375</v>
      </c>
      <c r="C139" s="2">
        <f t="shared" si="8"/>
        <v>535485.28735812509</v>
      </c>
      <c r="D139" s="2">
        <f>IF(A139="","",MIN('Loan Inputs'!$B$17,C139+E139)+H139)</f>
        <v>4061.5333678073534</v>
      </c>
      <c r="E139" s="2">
        <f>IF(A139="","",C139*'Loan Inputs'!$B$15)</f>
        <v>2851.4591551820158</v>
      </c>
      <c r="F139" s="2">
        <f t="shared" si="6"/>
        <v>1210.0742126253376</v>
      </c>
      <c r="G139" s="2">
        <f t="shared" si="7"/>
        <v>534275.2131454997</v>
      </c>
      <c r="H139" s="2">
        <f>IF(A139="","",MIN(0,MAX(0,C139+E139-'Loan Inputs'!$B$17)))</f>
        <v>0</v>
      </c>
    </row>
    <row r="140" spans="1:8" ht="22" customHeight="1">
      <c r="A140" s="1">
        <f>IF(AND('Loan Inputs'!$B$12,134&lt;=IF('Loan Inputs'!$B$12,'Loan Inputs'!$B$7,0)*'Loan Inputs'!$B$14+0,ISNUMBER(G139),G139&gt;0),134,"")</f>
        <v>134</v>
      </c>
      <c r="B140" s="4">
        <f>IF(A140="","",IF('Loan Inputs'!$B$14=12,DATE(YEAR('Loan Inputs'!$B$8),MONTH('Loan Inputs'!$B$8)+A140,DAY('Loan Inputs'!$B$8)),'Loan Inputs'!$B$8+A140*IF('Loan Inputs'!$B$14=26,14,7)))</f>
        <v>50406</v>
      </c>
      <c r="C140" s="2">
        <f t="shared" si="8"/>
        <v>534275.2131454997</v>
      </c>
      <c r="D140" s="2">
        <f>IF(A140="","",MIN('Loan Inputs'!$B$17,C140+E140)+H140)</f>
        <v>4061.5333678073534</v>
      </c>
      <c r="E140" s="2">
        <f>IF(A140="","",C140*'Loan Inputs'!$B$15)</f>
        <v>2845.015509999786</v>
      </c>
      <c r="F140" s="2">
        <f t="shared" si="6"/>
        <v>1216.5178578075675</v>
      </c>
      <c r="G140" s="2">
        <f t="shared" si="7"/>
        <v>533058.69528769213</v>
      </c>
      <c r="H140" s="2">
        <f>IF(A140="","",MIN(0,MAX(0,C140+E140-'Loan Inputs'!$B$17)))</f>
        <v>0</v>
      </c>
    </row>
    <row r="141" spans="1:8" ht="22" customHeight="1">
      <c r="A141" s="1">
        <f>IF(AND('Loan Inputs'!$B$12,135&lt;=IF('Loan Inputs'!$B$12,'Loan Inputs'!$B$7,0)*'Loan Inputs'!$B$14+0,ISNUMBER(G140),G140&gt;0),135,"")</f>
        <v>135</v>
      </c>
      <c r="B141" s="4">
        <f>IF(A141="","",IF('Loan Inputs'!$B$14=12,DATE(YEAR('Loan Inputs'!$B$8),MONTH('Loan Inputs'!$B$8)+A141,DAY('Loan Inputs'!$B$8)),'Loan Inputs'!$B$8+A141*IF('Loan Inputs'!$B$14=26,14,7)))</f>
        <v>50437</v>
      </c>
      <c r="C141" s="2">
        <f t="shared" si="8"/>
        <v>533058.69528769213</v>
      </c>
      <c r="D141" s="2">
        <f>IF(A141="","",MIN('Loan Inputs'!$B$17,C141+E141)+H141)</f>
        <v>4061.5333678073534</v>
      </c>
      <c r="E141" s="2">
        <f>IF(A141="","",C141*'Loan Inputs'!$B$15)</f>
        <v>2838.5375524069605</v>
      </c>
      <c r="F141" s="2">
        <f t="shared" si="6"/>
        <v>1222.995815400393</v>
      </c>
      <c r="G141" s="2">
        <f t="shared" si="7"/>
        <v>531835.69947229174</v>
      </c>
      <c r="H141" s="2">
        <f>IF(A141="","",MIN(0,MAX(0,C141+E141-'Loan Inputs'!$B$17)))</f>
        <v>0</v>
      </c>
    </row>
    <row r="142" spans="1:8" ht="22" customHeight="1">
      <c r="A142" s="1">
        <f>IF(AND('Loan Inputs'!$B$12,136&lt;=IF('Loan Inputs'!$B$12,'Loan Inputs'!$B$7,0)*'Loan Inputs'!$B$14+0,ISNUMBER(G141),G141&gt;0),136,"")</f>
        <v>136</v>
      </c>
      <c r="B142" s="4">
        <f>IF(A142="","",IF('Loan Inputs'!$B$14=12,DATE(YEAR('Loan Inputs'!$B$8),MONTH('Loan Inputs'!$B$8)+A142,DAY('Loan Inputs'!$B$8)),'Loan Inputs'!$B$8+A142*IF('Loan Inputs'!$B$14=26,14,7)))</f>
        <v>50465</v>
      </c>
      <c r="C142" s="2">
        <f t="shared" si="8"/>
        <v>531835.69947229174</v>
      </c>
      <c r="D142" s="2">
        <f>IF(A142="","",MIN('Loan Inputs'!$B$17,C142+E142)+H142)</f>
        <v>4061.5333678073534</v>
      </c>
      <c r="E142" s="2">
        <f>IF(A142="","",C142*'Loan Inputs'!$B$15)</f>
        <v>2832.0250996899535</v>
      </c>
      <c r="F142" s="2">
        <f t="shared" si="6"/>
        <v>1229.5082681173999</v>
      </c>
      <c r="G142" s="2">
        <f t="shared" si="7"/>
        <v>530606.19120417431</v>
      </c>
      <c r="H142" s="2">
        <f>IF(A142="","",MIN(0,MAX(0,C142+E142-'Loan Inputs'!$B$17)))</f>
        <v>0</v>
      </c>
    </row>
    <row r="143" spans="1:8" ht="22" customHeight="1">
      <c r="A143" s="1">
        <f>IF(AND('Loan Inputs'!$B$12,137&lt;=IF('Loan Inputs'!$B$12,'Loan Inputs'!$B$7,0)*'Loan Inputs'!$B$14+0,ISNUMBER(G142),G142&gt;0),137,"")</f>
        <v>137</v>
      </c>
      <c r="B143" s="4">
        <f>IF(A143="","",IF('Loan Inputs'!$B$14=12,DATE(YEAR('Loan Inputs'!$B$8),MONTH('Loan Inputs'!$B$8)+A143,DAY('Loan Inputs'!$B$8)),'Loan Inputs'!$B$8+A143*IF('Loan Inputs'!$B$14=26,14,7)))</f>
        <v>50496</v>
      </c>
      <c r="C143" s="2">
        <f t="shared" si="8"/>
        <v>530606.19120417431</v>
      </c>
      <c r="D143" s="2">
        <f>IF(A143="","",MIN('Loan Inputs'!$B$17,C143+E143)+H143)</f>
        <v>4061.5333678073534</v>
      </c>
      <c r="E143" s="2">
        <f>IF(A143="","",C143*'Loan Inputs'!$B$15)</f>
        <v>2825.4779681622281</v>
      </c>
      <c r="F143" s="2">
        <f t="shared" si="6"/>
        <v>1236.0553996451254</v>
      </c>
      <c r="G143" s="2">
        <f t="shared" si="7"/>
        <v>529370.13580452919</v>
      </c>
      <c r="H143" s="2">
        <f>IF(A143="","",MIN(0,MAX(0,C143+E143-'Loan Inputs'!$B$17)))</f>
        <v>0</v>
      </c>
    </row>
    <row r="144" spans="1:8" ht="22" customHeight="1">
      <c r="A144" s="1">
        <f>IF(AND('Loan Inputs'!$B$12,138&lt;=IF('Loan Inputs'!$B$12,'Loan Inputs'!$B$7,0)*'Loan Inputs'!$B$14+0,ISNUMBER(G143),G143&gt;0),138,"")</f>
        <v>138</v>
      </c>
      <c r="B144" s="4">
        <f>IF(A144="","",IF('Loan Inputs'!$B$14=12,DATE(YEAR('Loan Inputs'!$B$8),MONTH('Loan Inputs'!$B$8)+A144,DAY('Loan Inputs'!$B$8)),'Loan Inputs'!$B$8+A144*IF('Loan Inputs'!$B$14=26,14,7)))</f>
        <v>50526</v>
      </c>
      <c r="C144" s="2">
        <f t="shared" si="8"/>
        <v>529370.13580452919</v>
      </c>
      <c r="D144" s="2">
        <f>IF(A144="","",MIN('Loan Inputs'!$B$17,C144+E144)+H144)</f>
        <v>4061.5333678073534</v>
      </c>
      <c r="E144" s="2">
        <f>IF(A144="","",C144*'Loan Inputs'!$B$15)</f>
        <v>2818.8959731591181</v>
      </c>
      <c r="F144" s="2">
        <f t="shared" si="6"/>
        <v>1242.6373946482354</v>
      </c>
      <c r="G144" s="2">
        <f t="shared" si="7"/>
        <v>528127.49840988091</v>
      </c>
      <c r="H144" s="2">
        <f>IF(A144="","",MIN(0,MAX(0,C144+E144-'Loan Inputs'!$B$17)))</f>
        <v>0</v>
      </c>
    </row>
    <row r="145" spans="1:8" ht="22" customHeight="1">
      <c r="A145" s="1">
        <f>IF(AND('Loan Inputs'!$B$12,139&lt;=IF('Loan Inputs'!$B$12,'Loan Inputs'!$B$7,0)*'Loan Inputs'!$B$14+0,ISNUMBER(G144),G144&gt;0),139,"")</f>
        <v>139</v>
      </c>
      <c r="B145" s="4">
        <f>IF(A145="","",IF('Loan Inputs'!$B$14=12,DATE(YEAR('Loan Inputs'!$B$8),MONTH('Loan Inputs'!$B$8)+A145,DAY('Loan Inputs'!$B$8)),'Loan Inputs'!$B$8+A145*IF('Loan Inputs'!$B$14=26,14,7)))</f>
        <v>50557</v>
      </c>
      <c r="C145" s="2">
        <f t="shared" si="8"/>
        <v>528127.49840988091</v>
      </c>
      <c r="D145" s="2">
        <f>IF(A145="","",MIN('Loan Inputs'!$B$17,C145+E145)+H145)</f>
        <v>4061.5333678073534</v>
      </c>
      <c r="E145" s="2">
        <f>IF(A145="","",C145*'Loan Inputs'!$B$15)</f>
        <v>2812.2789290326159</v>
      </c>
      <c r="F145" s="2">
        <f t="shared" si="6"/>
        <v>1249.2544387747375</v>
      </c>
      <c r="G145" s="2">
        <f t="shared" si="7"/>
        <v>526878.24397110613</v>
      </c>
      <c r="H145" s="2">
        <f>IF(A145="","",MIN(0,MAX(0,C145+E145-'Loan Inputs'!$B$17)))</f>
        <v>0</v>
      </c>
    </row>
    <row r="146" spans="1:8" ht="22" customHeight="1">
      <c r="A146" s="1">
        <f>IF(AND('Loan Inputs'!$B$12,140&lt;=IF('Loan Inputs'!$B$12,'Loan Inputs'!$B$7,0)*'Loan Inputs'!$B$14+0,ISNUMBER(G145),G145&gt;0),140,"")</f>
        <v>140</v>
      </c>
      <c r="B146" s="4">
        <f>IF(A146="","",IF('Loan Inputs'!$B$14=12,DATE(YEAR('Loan Inputs'!$B$8),MONTH('Loan Inputs'!$B$8)+A146,DAY('Loan Inputs'!$B$8)),'Loan Inputs'!$B$8+A146*IF('Loan Inputs'!$B$14=26,14,7)))</f>
        <v>50587</v>
      </c>
      <c r="C146" s="2">
        <f t="shared" si="8"/>
        <v>526878.24397110613</v>
      </c>
      <c r="D146" s="2">
        <f>IF(A146="","",MIN('Loan Inputs'!$B$17,C146+E146)+H146)</f>
        <v>4061.5333678073534</v>
      </c>
      <c r="E146" s="2">
        <f>IF(A146="","",C146*'Loan Inputs'!$B$15)</f>
        <v>2805.6266491461402</v>
      </c>
      <c r="F146" s="2">
        <f t="shared" si="6"/>
        <v>1255.9067186612133</v>
      </c>
      <c r="G146" s="2">
        <f t="shared" si="7"/>
        <v>525622.33725244494</v>
      </c>
      <c r="H146" s="2">
        <f>IF(A146="","",MIN(0,MAX(0,C146+E146-'Loan Inputs'!$B$17)))</f>
        <v>0</v>
      </c>
    </row>
    <row r="147" spans="1:8" ht="22" customHeight="1">
      <c r="A147" s="1">
        <f>IF(AND('Loan Inputs'!$B$12,141&lt;=IF('Loan Inputs'!$B$12,'Loan Inputs'!$B$7,0)*'Loan Inputs'!$B$14+0,ISNUMBER(G146),G146&gt;0),141,"")</f>
        <v>141</v>
      </c>
      <c r="B147" s="4">
        <f>IF(A147="","",IF('Loan Inputs'!$B$14=12,DATE(YEAR('Loan Inputs'!$B$8),MONTH('Loan Inputs'!$B$8)+A147,DAY('Loan Inputs'!$B$8)),'Loan Inputs'!$B$8+A147*IF('Loan Inputs'!$B$14=26,14,7)))</f>
        <v>50618</v>
      </c>
      <c r="C147" s="2">
        <f t="shared" si="8"/>
        <v>525622.33725244494</v>
      </c>
      <c r="D147" s="2">
        <f>IF(A147="","",MIN('Loan Inputs'!$B$17,C147+E147)+H147)</f>
        <v>4061.5333678073534</v>
      </c>
      <c r="E147" s="2">
        <f>IF(A147="","",C147*'Loan Inputs'!$B$15)</f>
        <v>2798.9389458692694</v>
      </c>
      <c r="F147" s="2">
        <f t="shared" si="6"/>
        <v>1262.594421938084</v>
      </c>
      <c r="G147" s="2">
        <f t="shared" si="7"/>
        <v>524359.74283050688</v>
      </c>
      <c r="H147" s="2">
        <f>IF(A147="","",MIN(0,MAX(0,C147+E147-'Loan Inputs'!$B$17)))</f>
        <v>0</v>
      </c>
    </row>
    <row r="148" spans="1:8" ht="22" customHeight="1">
      <c r="A148" s="1">
        <f>IF(AND('Loan Inputs'!$B$12,142&lt;=IF('Loan Inputs'!$B$12,'Loan Inputs'!$B$7,0)*'Loan Inputs'!$B$14+0,ISNUMBER(G147),G147&gt;0),142,"")</f>
        <v>142</v>
      </c>
      <c r="B148" s="4">
        <f>IF(A148="","",IF('Loan Inputs'!$B$14=12,DATE(YEAR('Loan Inputs'!$B$8),MONTH('Loan Inputs'!$B$8)+A148,DAY('Loan Inputs'!$B$8)),'Loan Inputs'!$B$8+A148*IF('Loan Inputs'!$B$14=26,14,7)))</f>
        <v>50649</v>
      </c>
      <c r="C148" s="2">
        <f t="shared" si="8"/>
        <v>524359.74283050688</v>
      </c>
      <c r="D148" s="2">
        <f>IF(A148="","",MIN('Loan Inputs'!$B$17,C148+E148)+H148)</f>
        <v>4061.5333678073534</v>
      </c>
      <c r="E148" s="2">
        <f>IF(A148="","",C148*'Loan Inputs'!$B$15)</f>
        <v>2792.2156305724488</v>
      </c>
      <c r="F148" s="2">
        <f t="shared" si="6"/>
        <v>1269.3177372349046</v>
      </c>
      <c r="G148" s="2">
        <f t="shared" si="7"/>
        <v>523090.42509327194</v>
      </c>
      <c r="H148" s="2">
        <f>IF(A148="","",MIN(0,MAX(0,C148+E148-'Loan Inputs'!$B$17)))</f>
        <v>0</v>
      </c>
    </row>
    <row r="149" spans="1:8" ht="22" customHeight="1">
      <c r="A149" s="1">
        <f>IF(AND('Loan Inputs'!$B$12,143&lt;=IF('Loan Inputs'!$B$12,'Loan Inputs'!$B$7,0)*'Loan Inputs'!$B$14+0,ISNUMBER(G148),G148&gt;0),143,"")</f>
        <v>143</v>
      </c>
      <c r="B149" s="4">
        <f>IF(A149="","",IF('Loan Inputs'!$B$14=12,DATE(YEAR('Loan Inputs'!$B$8),MONTH('Loan Inputs'!$B$8)+A149,DAY('Loan Inputs'!$B$8)),'Loan Inputs'!$B$8+A149*IF('Loan Inputs'!$B$14=26,14,7)))</f>
        <v>50679</v>
      </c>
      <c r="C149" s="2">
        <f t="shared" si="8"/>
        <v>523090.42509327194</v>
      </c>
      <c r="D149" s="2">
        <f>IF(A149="","",MIN('Loan Inputs'!$B$17,C149+E149)+H149)</f>
        <v>4061.5333678073534</v>
      </c>
      <c r="E149" s="2">
        <f>IF(A149="","",C149*'Loan Inputs'!$B$15)</f>
        <v>2785.4565136216729</v>
      </c>
      <c r="F149" s="2">
        <f t="shared" si="6"/>
        <v>1276.0768541856805</v>
      </c>
      <c r="G149" s="2">
        <f t="shared" si="7"/>
        <v>521814.34823908628</v>
      </c>
      <c r="H149" s="2">
        <f>IF(A149="","",MIN(0,MAX(0,C149+E149-'Loan Inputs'!$B$17)))</f>
        <v>0</v>
      </c>
    </row>
    <row r="150" spans="1:8" ht="22" customHeight="1">
      <c r="A150" s="1">
        <f>IF(AND('Loan Inputs'!$B$12,144&lt;=IF('Loan Inputs'!$B$12,'Loan Inputs'!$B$7,0)*'Loan Inputs'!$B$14+0,ISNUMBER(G149),G149&gt;0),144,"")</f>
        <v>144</v>
      </c>
      <c r="B150" s="4">
        <f>IF(A150="","",IF('Loan Inputs'!$B$14=12,DATE(YEAR('Loan Inputs'!$B$8),MONTH('Loan Inputs'!$B$8)+A150,DAY('Loan Inputs'!$B$8)),'Loan Inputs'!$B$8+A150*IF('Loan Inputs'!$B$14=26,14,7)))</f>
        <v>50710</v>
      </c>
      <c r="C150" s="2">
        <f t="shared" si="8"/>
        <v>521814.34823908628</v>
      </c>
      <c r="D150" s="2">
        <f>IF(A150="","",MIN('Loan Inputs'!$B$17,C150+E150)+H150)</f>
        <v>4061.5333678073534</v>
      </c>
      <c r="E150" s="2">
        <f>IF(A150="","",C150*'Loan Inputs'!$B$15)</f>
        <v>2778.6614043731342</v>
      </c>
      <c r="F150" s="2">
        <f t="shared" si="6"/>
        <v>1282.8719634342192</v>
      </c>
      <c r="G150" s="2">
        <f t="shared" si="7"/>
        <v>520531.47627565206</v>
      </c>
      <c r="H150" s="2">
        <f>IF(A150="","",MIN(0,MAX(0,C150+E150-'Loan Inputs'!$B$17)))</f>
        <v>0</v>
      </c>
    </row>
    <row r="151" spans="1:8" ht="22" customHeight="1">
      <c r="A151" s="1">
        <f>IF(AND('Loan Inputs'!$B$12,145&lt;=IF('Loan Inputs'!$B$12,'Loan Inputs'!$B$7,0)*'Loan Inputs'!$B$14+0,ISNUMBER(G150),G150&gt;0),145,"")</f>
        <v>145</v>
      </c>
      <c r="B151" s="4">
        <f>IF(A151="","",IF('Loan Inputs'!$B$14=12,DATE(YEAR('Loan Inputs'!$B$8),MONTH('Loan Inputs'!$B$8)+A151,DAY('Loan Inputs'!$B$8)),'Loan Inputs'!$B$8+A151*IF('Loan Inputs'!$B$14=26,14,7)))</f>
        <v>50740</v>
      </c>
      <c r="C151" s="2">
        <f t="shared" si="8"/>
        <v>520531.47627565206</v>
      </c>
      <c r="D151" s="2">
        <f>IF(A151="","",MIN('Loan Inputs'!$B$17,C151+E151)+H151)</f>
        <v>4061.5333678073534</v>
      </c>
      <c r="E151" s="2">
        <f>IF(A151="","",C151*'Loan Inputs'!$B$15)</f>
        <v>2771.830111167847</v>
      </c>
      <c r="F151" s="2">
        <f t="shared" si="6"/>
        <v>1289.7032566395064</v>
      </c>
      <c r="G151" s="2">
        <f t="shared" si="7"/>
        <v>519241.77301901253</v>
      </c>
      <c r="H151" s="2">
        <f>IF(A151="","",MIN(0,MAX(0,C151+E151-'Loan Inputs'!$B$17)))</f>
        <v>0</v>
      </c>
    </row>
    <row r="152" spans="1:8" ht="22" customHeight="1">
      <c r="A152" s="1">
        <f>IF(AND('Loan Inputs'!$B$12,146&lt;=IF('Loan Inputs'!$B$12,'Loan Inputs'!$B$7,0)*'Loan Inputs'!$B$14+0,ISNUMBER(G151),G151&gt;0),146,"")</f>
        <v>146</v>
      </c>
      <c r="B152" s="4">
        <f>IF(A152="","",IF('Loan Inputs'!$B$14=12,DATE(YEAR('Loan Inputs'!$B$8),MONTH('Loan Inputs'!$B$8)+A152,DAY('Loan Inputs'!$B$8)),'Loan Inputs'!$B$8+A152*IF('Loan Inputs'!$B$14=26,14,7)))</f>
        <v>50771</v>
      </c>
      <c r="C152" s="2">
        <f t="shared" si="8"/>
        <v>519241.77301901253</v>
      </c>
      <c r="D152" s="2">
        <f>IF(A152="","",MIN('Loan Inputs'!$B$17,C152+E152)+H152)</f>
        <v>4061.5333678073534</v>
      </c>
      <c r="E152" s="2">
        <f>IF(A152="","",C152*'Loan Inputs'!$B$15)</f>
        <v>2764.9624413262418</v>
      </c>
      <c r="F152" s="2">
        <f t="shared" si="6"/>
        <v>1296.5709264811117</v>
      </c>
      <c r="G152" s="2">
        <f t="shared" si="7"/>
        <v>517945.20209253143</v>
      </c>
      <c r="H152" s="2">
        <f>IF(A152="","",MIN(0,MAX(0,C152+E152-'Loan Inputs'!$B$17)))</f>
        <v>0</v>
      </c>
    </row>
    <row r="153" spans="1:8" ht="22" customHeight="1">
      <c r="A153" s="1">
        <f>IF(AND('Loan Inputs'!$B$12,147&lt;=IF('Loan Inputs'!$B$12,'Loan Inputs'!$B$7,0)*'Loan Inputs'!$B$14+0,ISNUMBER(G152),G152&gt;0),147,"")</f>
        <v>147</v>
      </c>
      <c r="B153" s="4">
        <f>IF(A153="","",IF('Loan Inputs'!$B$14=12,DATE(YEAR('Loan Inputs'!$B$8),MONTH('Loan Inputs'!$B$8)+A153,DAY('Loan Inputs'!$B$8)),'Loan Inputs'!$B$8+A153*IF('Loan Inputs'!$B$14=26,14,7)))</f>
        <v>50802</v>
      </c>
      <c r="C153" s="2">
        <f t="shared" si="8"/>
        <v>517945.20209253143</v>
      </c>
      <c r="D153" s="2">
        <f>IF(A153="","",MIN('Loan Inputs'!$B$17,C153+E153)+H153)</f>
        <v>4061.5333678073534</v>
      </c>
      <c r="E153" s="2">
        <f>IF(A153="","",C153*'Loan Inputs'!$B$15)</f>
        <v>2758.05820114273</v>
      </c>
      <c r="F153" s="2">
        <f t="shared" si="6"/>
        <v>1303.4751666646234</v>
      </c>
      <c r="G153" s="2">
        <f t="shared" si="7"/>
        <v>516641.72692586679</v>
      </c>
      <c r="H153" s="2">
        <f>IF(A153="","",MIN(0,MAX(0,C153+E153-'Loan Inputs'!$B$17)))</f>
        <v>0</v>
      </c>
    </row>
    <row r="154" spans="1:8" ht="22" customHeight="1">
      <c r="A154" s="1">
        <f>IF(AND('Loan Inputs'!$B$12,148&lt;=IF('Loan Inputs'!$B$12,'Loan Inputs'!$B$7,0)*'Loan Inputs'!$B$14+0,ISNUMBER(G153),G153&gt;0),148,"")</f>
        <v>148</v>
      </c>
      <c r="B154" s="4">
        <f>IF(A154="","",IF('Loan Inputs'!$B$14=12,DATE(YEAR('Loan Inputs'!$B$8),MONTH('Loan Inputs'!$B$8)+A154,DAY('Loan Inputs'!$B$8)),'Loan Inputs'!$B$8+A154*IF('Loan Inputs'!$B$14=26,14,7)))</f>
        <v>50830</v>
      </c>
      <c r="C154" s="2">
        <f t="shared" si="8"/>
        <v>516641.72692586679</v>
      </c>
      <c r="D154" s="2">
        <f>IF(A154="","",MIN('Loan Inputs'!$B$17,C154+E154)+H154)</f>
        <v>4061.5333678073534</v>
      </c>
      <c r="E154" s="2">
        <f>IF(A154="","",C154*'Loan Inputs'!$B$15)</f>
        <v>2751.1171958802406</v>
      </c>
      <c r="F154" s="2">
        <f t="shared" si="6"/>
        <v>1310.4161719271128</v>
      </c>
      <c r="G154" s="2">
        <f t="shared" si="7"/>
        <v>515331.31075393967</v>
      </c>
      <c r="H154" s="2">
        <f>IF(A154="","",MIN(0,MAX(0,C154+E154-'Loan Inputs'!$B$17)))</f>
        <v>0</v>
      </c>
    </row>
    <row r="155" spans="1:8" ht="22" customHeight="1">
      <c r="A155" s="1">
        <f>IF(AND('Loan Inputs'!$B$12,149&lt;=IF('Loan Inputs'!$B$12,'Loan Inputs'!$B$7,0)*'Loan Inputs'!$B$14+0,ISNUMBER(G154),G154&gt;0),149,"")</f>
        <v>149</v>
      </c>
      <c r="B155" s="4">
        <f>IF(A155="","",IF('Loan Inputs'!$B$14=12,DATE(YEAR('Loan Inputs'!$B$8),MONTH('Loan Inputs'!$B$8)+A155,DAY('Loan Inputs'!$B$8)),'Loan Inputs'!$B$8+A155*IF('Loan Inputs'!$B$14=26,14,7)))</f>
        <v>50861</v>
      </c>
      <c r="C155" s="2">
        <f t="shared" si="8"/>
        <v>515331.31075393967</v>
      </c>
      <c r="D155" s="2">
        <f>IF(A155="","",MIN('Loan Inputs'!$B$17,C155+E155)+H155)</f>
        <v>4061.5333678073534</v>
      </c>
      <c r="E155" s="2">
        <f>IF(A155="","",C155*'Loan Inputs'!$B$15)</f>
        <v>2744.1392297647285</v>
      </c>
      <c r="F155" s="2">
        <f t="shared" si="6"/>
        <v>1317.3941380426249</v>
      </c>
      <c r="G155" s="2">
        <f t="shared" si="7"/>
        <v>514013.91661589703</v>
      </c>
      <c r="H155" s="2">
        <f>IF(A155="","",MIN(0,MAX(0,C155+E155-'Loan Inputs'!$B$17)))</f>
        <v>0</v>
      </c>
    </row>
    <row r="156" spans="1:8" ht="22" customHeight="1">
      <c r="A156" s="1">
        <f>IF(AND('Loan Inputs'!$B$12,150&lt;=IF('Loan Inputs'!$B$12,'Loan Inputs'!$B$7,0)*'Loan Inputs'!$B$14+0,ISNUMBER(G155),G155&gt;0),150,"")</f>
        <v>150</v>
      </c>
      <c r="B156" s="4">
        <f>IF(A156="","",IF('Loan Inputs'!$B$14=12,DATE(YEAR('Loan Inputs'!$B$8),MONTH('Loan Inputs'!$B$8)+A156,DAY('Loan Inputs'!$B$8)),'Loan Inputs'!$B$8+A156*IF('Loan Inputs'!$B$14=26,14,7)))</f>
        <v>50891</v>
      </c>
      <c r="C156" s="2">
        <f t="shared" si="8"/>
        <v>514013.91661589703</v>
      </c>
      <c r="D156" s="2">
        <f>IF(A156="","",MIN('Loan Inputs'!$B$17,C156+E156)+H156)</f>
        <v>4061.5333678073534</v>
      </c>
      <c r="E156" s="2">
        <f>IF(A156="","",C156*'Loan Inputs'!$B$15)</f>
        <v>2737.1241059796516</v>
      </c>
      <c r="F156" s="2">
        <f t="shared" si="6"/>
        <v>1324.4092618277018</v>
      </c>
      <c r="G156" s="2">
        <f t="shared" si="7"/>
        <v>512689.50735406933</v>
      </c>
      <c r="H156" s="2">
        <f>IF(A156="","",MIN(0,MAX(0,C156+E156-'Loan Inputs'!$B$17)))</f>
        <v>0</v>
      </c>
    </row>
    <row r="157" spans="1:8" ht="22" customHeight="1">
      <c r="A157" s="1">
        <f>IF(AND('Loan Inputs'!$B$12,151&lt;=IF('Loan Inputs'!$B$12,'Loan Inputs'!$B$7,0)*'Loan Inputs'!$B$14+0,ISNUMBER(G156),G156&gt;0),151,"")</f>
        <v>151</v>
      </c>
      <c r="B157" s="4">
        <f>IF(A157="","",IF('Loan Inputs'!$B$14=12,DATE(YEAR('Loan Inputs'!$B$8),MONTH('Loan Inputs'!$B$8)+A157,DAY('Loan Inputs'!$B$8)),'Loan Inputs'!$B$8+A157*IF('Loan Inputs'!$B$14=26,14,7)))</f>
        <v>50922</v>
      </c>
      <c r="C157" s="2">
        <f t="shared" si="8"/>
        <v>512689.50735406933</v>
      </c>
      <c r="D157" s="2">
        <f>IF(A157="","",MIN('Loan Inputs'!$B$17,C157+E157)+H157)</f>
        <v>4061.5333678073534</v>
      </c>
      <c r="E157" s="2">
        <f>IF(A157="","",C157*'Loan Inputs'!$B$15)</f>
        <v>2730.071626660419</v>
      </c>
      <c r="F157" s="2">
        <f t="shared" si="6"/>
        <v>1331.4617411469344</v>
      </c>
      <c r="G157" s="2">
        <f t="shared" si="7"/>
        <v>511358.0456129224</v>
      </c>
      <c r="H157" s="2">
        <f>IF(A157="","",MIN(0,MAX(0,C157+E157-'Loan Inputs'!$B$17)))</f>
        <v>0</v>
      </c>
    </row>
    <row r="158" spans="1:8" ht="22" customHeight="1">
      <c r="A158" s="1">
        <f>IF(AND('Loan Inputs'!$B$12,152&lt;=IF('Loan Inputs'!$B$12,'Loan Inputs'!$B$7,0)*'Loan Inputs'!$B$14+0,ISNUMBER(G157),G157&gt;0),152,"")</f>
        <v>152</v>
      </c>
      <c r="B158" s="4">
        <f>IF(A158="","",IF('Loan Inputs'!$B$14=12,DATE(YEAR('Loan Inputs'!$B$8),MONTH('Loan Inputs'!$B$8)+A158,DAY('Loan Inputs'!$B$8)),'Loan Inputs'!$B$8+A158*IF('Loan Inputs'!$B$14=26,14,7)))</f>
        <v>50952</v>
      </c>
      <c r="C158" s="2">
        <f t="shared" si="8"/>
        <v>511358.0456129224</v>
      </c>
      <c r="D158" s="2">
        <f>IF(A158="","",MIN('Loan Inputs'!$B$17,C158+E158)+H158)</f>
        <v>4061.5333678073534</v>
      </c>
      <c r="E158" s="2">
        <f>IF(A158="","",C158*'Loan Inputs'!$B$15)</f>
        <v>2722.9815928888115</v>
      </c>
      <c r="F158" s="2">
        <f t="shared" si="6"/>
        <v>1338.5517749185419</v>
      </c>
      <c r="G158" s="2">
        <f t="shared" si="7"/>
        <v>510019.49383800384</v>
      </c>
      <c r="H158" s="2">
        <f>IF(A158="","",MIN(0,MAX(0,C158+E158-'Loan Inputs'!$B$17)))</f>
        <v>0</v>
      </c>
    </row>
    <row r="159" spans="1:8" ht="22" customHeight="1">
      <c r="A159" s="1">
        <f>IF(AND('Loan Inputs'!$B$12,153&lt;=IF('Loan Inputs'!$B$12,'Loan Inputs'!$B$7,0)*'Loan Inputs'!$B$14+0,ISNUMBER(G158),G158&gt;0),153,"")</f>
        <v>153</v>
      </c>
      <c r="B159" s="4">
        <f>IF(A159="","",IF('Loan Inputs'!$B$14=12,DATE(YEAR('Loan Inputs'!$B$8),MONTH('Loan Inputs'!$B$8)+A159,DAY('Loan Inputs'!$B$8)),'Loan Inputs'!$B$8+A159*IF('Loan Inputs'!$B$14=26,14,7)))</f>
        <v>50983</v>
      </c>
      <c r="C159" s="2">
        <f t="shared" si="8"/>
        <v>510019.49383800384</v>
      </c>
      <c r="D159" s="2">
        <f>IF(A159="","",MIN('Loan Inputs'!$B$17,C159+E159)+H159)</f>
        <v>4061.5333678073534</v>
      </c>
      <c r="E159" s="2">
        <f>IF(A159="","",C159*'Loan Inputs'!$B$15)</f>
        <v>2715.8538046873705</v>
      </c>
      <c r="F159" s="2">
        <f t="shared" si="6"/>
        <v>1345.679563119983</v>
      </c>
      <c r="G159" s="2">
        <f t="shared" si="7"/>
        <v>508673.81427488383</v>
      </c>
      <c r="H159" s="2">
        <f>IF(A159="","",MIN(0,MAX(0,C159+E159-'Loan Inputs'!$B$17)))</f>
        <v>0</v>
      </c>
    </row>
    <row r="160" spans="1:8" ht="22" customHeight="1">
      <c r="A160" s="1">
        <f>IF(AND('Loan Inputs'!$B$12,154&lt;=IF('Loan Inputs'!$B$12,'Loan Inputs'!$B$7,0)*'Loan Inputs'!$B$14+0,ISNUMBER(G159),G159&gt;0),154,"")</f>
        <v>154</v>
      </c>
      <c r="B160" s="4">
        <f>IF(A160="","",IF('Loan Inputs'!$B$14=12,DATE(YEAR('Loan Inputs'!$B$8),MONTH('Loan Inputs'!$B$8)+A160,DAY('Loan Inputs'!$B$8)),'Loan Inputs'!$B$8+A160*IF('Loan Inputs'!$B$14=26,14,7)))</f>
        <v>51014</v>
      </c>
      <c r="C160" s="2">
        <f t="shared" si="8"/>
        <v>508673.81427488383</v>
      </c>
      <c r="D160" s="2">
        <f>IF(A160="","",MIN('Loan Inputs'!$B$17,C160+E160)+H160)</f>
        <v>4061.5333678073534</v>
      </c>
      <c r="E160" s="2">
        <f>IF(A160="","",C160*'Loan Inputs'!$B$15)</f>
        <v>2708.6880610137564</v>
      </c>
      <c r="F160" s="2">
        <f t="shared" si="6"/>
        <v>1352.845306793597</v>
      </c>
      <c r="G160" s="2">
        <f t="shared" si="7"/>
        <v>507320.96896809025</v>
      </c>
      <c r="H160" s="2">
        <f>IF(A160="","",MIN(0,MAX(0,C160+E160-'Loan Inputs'!$B$17)))</f>
        <v>0</v>
      </c>
    </row>
    <row r="161" spans="1:8" ht="22" customHeight="1">
      <c r="A161" s="1">
        <f>IF(AND('Loan Inputs'!$B$12,155&lt;=IF('Loan Inputs'!$B$12,'Loan Inputs'!$B$7,0)*'Loan Inputs'!$B$14+0,ISNUMBER(G160),G160&gt;0),155,"")</f>
        <v>155</v>
      </c>
      <c r="B161" s="4">
        <f>IF(A161="","",IF('Loan Inputs'!$B$14=12,DATE(YEAR('Loan Inputs'!$B$8),MONTH('Loan Inputs'!$B$8)+A161,DAY('Loan Inputs'!$B$8)),'Loan Inputs'!$B$8+A161*IF('Loan Inputs'!$B$14=26,14,7)))</f>
        <v>51044</v>
      </c>
      <c r="C161" s="2">
        <f t="shared" si="8"/>
        <v>507320.96896809025</v>
      </c>
      <c r="D161" s="2">
        <f>IF(A161="","",MIN('Loan Inputs'!$B$17,C161+E161)+H161)</f>
        <v>4061.5333678073534</v>
      </c>
      <c r="E161" s="2">
        <f>IF(A161="","",C161*'Loan Inputs'!$B$15)</f>
        <v>2701.4841597550803</v>
      </c>
      <c r="F161" s="2">
        <f t="shared" si="6"/>
        <v>1360.0492080522731</v>
      </c>
      <c r="G161" s="2">
        <f t="shared" si="7"/>
        <v>505960.91976003797</v>
      </c>
      <c r="H161" s="2">
        <f>IF(A161="","",MIN(0,MAX(0,C161+E161-'Loan Inputs'!$B$17)))</f>
        <v>0</v>
      </c>
    </row>
    <row r="162" spans="1:8" ht="22" customHeight="1">
      <c r="A162" s="1">
        <f>IF(AND('Loan Inputs'!$B$12,156&lt;=IF('Loan Inputs'!$B$12,'Loan Inputs'!$B$7,0)*'Loan Inputs'!$B$14+0,ISNUMBER(G161),G161&gt;0),156,"")</f>
        <v>156</v>
      </c>
      <c r="B162" s="4">
        <f>IF(A162="","",IF('Loan Inputs'!$B$14=12,DATE(YEAR('Loan Inputs'!$B$8),MONTH('Loan Inputs'!$B$8)+A162,DAY('Loan Inputs'!$B$8)),'Loan Inputs'!$B$8+A162*IF('Loan Inputs'!$B$14=26,14,7)))</f>
        <v>51075</v>
      </c>
      <c r="C162" s="2">
        <f t="shared" si="8"/>
        <v>505960.91976003797</v>
      </c>
      <c r="D162" s="2">
        <f>IF(A162="","",MIN('Loan Inputs'!$B$17,C162+E162)+H162)</f>
        <v>4061.5333678073534</v>
      </c>
      <c r="E162" s="2">
        <f>IF(A162="","",C162*'Loan Inputs'!$B$15)</f>
        <v>2694.2418977222023</v>
      </c>
      <c r="F162" s="2">
        <f t="shared" si="6"/>
        <v>1367.2914700851511</v>
      </c>
      <c r="G162" s="2">
        <f t="shared" si="7"/>
        <v>504593.62828995282</v>
      </c>
      <c r="H162" s="2">
        <f>IF(A162="","",MIN(0,MAX(0,C162+E162-'Loan Inputs'!$B$17)))</f>
        <v>0</v>
      </c>
    </row>
    <row r="163" spans="1:8" ht="22" customHeight="1">
      <c r="A163" s="1">
        <f>IF(AND('Loan Inputs'!$B$12,157&lt;=IF('Loan Inputs'!$B$12,'Loan Inputs'!$B$7,0)*'Loan Inputs'!$B$14+0,ISNUMBER(G162),G162&gt;0),157,"")</f>
        <v>157</v>
      </c>
      <c r="B163" s="4">
        <f>IF(A163="","",IF('Loan Inputs'!$B$14=12,DATE(YEAR('Loan Inputs'!$B$8),MONTH('Loan Inputs'!$B$8)+A163,DAY('Loan Inputs'!$B$8)),'Loan Inputs'!$B$8+A163*IF('Loan Inputs'!$B$14=26,14,7)))</f>
        <v>51105</v>
      </c>
      <c r="C163" s="2">
        <f t="shared" si="8"/>
        <v>504593.62828995282</v>
      </c>
      <c r="D163" s="2">
        <f>IF(A163="","",MIN('Loan Inputs'!$B$17,C163+E163)+H163)</f>
        <v>4061.5333678073534</v>
      </c>
      <c r="E163" s="2">
        <f>IF(A163="","",C163*'Loan Inputs'!$B$15)</f>
        <v>2686.9610706439985</v>
      </c>
      <c r="F163" s="2">
        <f t="shared" si="6"/>
        <v>1374.572297163355</v>
      </c>
      <c r="G163" s="2">
        <f t="shared" si="7"/>
        <v>503219.05599278945</v>
      </c>
      <c r="H163" s="2">
        <f>IF(A163="","",MIN(0,MAX(0,C163+E163-'Loan Inputs'!$B$17)))</f>
        <v>0</v>
      </c>
    </row>
    <row r="164" spans="1:8" ht="22" customHeight="1">
      <c r="A164" s="1">
        <f>IF(AND('Loan Inputs'!$B$12,158&lt;=IF('Loan Inputs'!$B$12,'Loan Inputs'!$B$7,0)*'Loan Inputs'!$B$14+0,ISNUMBER(G163),G163&gt;0),158,"")</f>
        <v>158</v>
      </c>
      <c r="B164" s="4">
        <f>IF(A164="","",IF('Loan Inputs'!$B$14=12,DATE(YEAR('Loan Inputs'!$B$8),MONTH('Loan Inputs'!$B$8)+A164,DAY('Loan Inputs'!$B$8)),'Loan Inputs'!$B$8+A164*IF('Loan Inputs'!$B$14=26,14,7)))</f>
        <v>51136</v>
      </c>
      <c r="C164" s="2">
        <f t="shared" si="8"/>
        <v>503219.05599278945</v>
      </c>
      <c r="D164" s="2">
        <f>IF(A164="","",MIN('Loan Inputs'!$B$17,C164+E164)+H164)</f>
        <v>4061.5333678073534</v>
      </c>
      <c r="E164" s="2">
        <f>IF(A164="","",C164*'Loan Inputs'!$B$15)</f>
        <v>2679.6414731616037</v>
      </c>
      <c r="F164" s="2">
        <f t="shared" si="6"/>
        <v>1381.8918946457497</v>
      </c>
      <c r="G164" s="2">
        <f t="shared" si="7"/>
        <v>501837.16409814369</v>
      </c>
      <c r="H164" s="2">
        <f>IF(A164="","",MIN(0,MAX(0,C164+E164-'Loan Inputs'!$B$17)))</f>
        <v>0</v>
      </c>
    </row>
    <row r="165" spans="1:8" ht="22" customHeight="1">
      <c r="A165" s="1">
        <f>IF(AND('Loan Inputs'!$B$12,159&lt;=IF('Loan Inputs'!$B$12,'Loan Inputs'!$B$7,0)*'Loan Inputs'!$B$14+0,ISNUMBER(G164),G164&gt;0),159,"")</f>
        <v>159</v>
      </c>
      <c r="B165" s="4">
        <f>IF(A165="","",IF('Loan Inputs'!$B$14=12,DATE(YEAR('Loan Inputs'!$B$8),MONTH('Loan Inputs'!$B$8)+A165,DAY('Loan Inputs'!$B$8)),'Loan Inputs'!$B$8+A165*IF('Loan Inputs'!$B$14=26,14,7)))</f>
        <v>51167</v>
      </c>
      <c r="C165" s="2">
        <f t="shared" si="8"/>
        <v>501837.16409814369</v>
      </c>
      <c r="D165" s="2">
        <f>IF(A165="","",MIN('Loan Inputs'!$B$17,C165+E165)+H165)</f>
        <v>4061.5333678073534</v>
      </c>
      <c r="E165" s="2">
        <f>IF(A165="","",C165*'Loan Inputs'!$B$15)</f>
        <v>2672.2828988226152</v>
      </c>
      <c r="F165" s="2">
        <f t="shared" si="6"/>
        <v>1389.2504689847383</v>
      </c>
      <c r="G165" s="2">
        <f t="shared" si="7"/>
        <v>500447.91362915898</v>
      </c>
      <c r="H165" s="2">
        <f>IF(A165="","",MIN(0,MAX(0,C165+E165-'Loan Inputs'!$B$17)))</f>
        <v>0</v>
      </c>
    </row>
    <row r="166" spans="1:8" ht="22" customHeight="1">
      <c r="A166" s="1">
        <f>IF(AND('Loan Inputs'!$B$12,160&lt;=IF('Loan Inputs'!$B$12,'Loan Inputs'!$B$7,0)*'Loan Inputs'!$B$14+0,ISNUMBER(G165),G165&gt;0),160,"")</f>
        <v>160</v>
      </c>
      <c r="B166" s="4">
        <f>IF(A166="","",IF('Loan Inputs'!$B$14=12,DATE(YEAR('Loan Inputs'!$B$8),MONTH('Loan Inputs'!$B$8)+A166,DAY('Loan Inputs'!$B$8)),'Loan Inputs'!$B$8+A166*IF('Loan Inputs'!$B$14=26,14,7)))</f>
        <v>51196</v>
      </c>
      <c r="C166" s="2">
        <f t="shared" si="8"/>
        <v>500447.91362915898</v>
      </c>
      <c r="D166" s="2">
        <f>IF(A166="","",MIN('Loan Inputs'!$B$17,C166+E166)+H166)</f>
        <v>4061.5333678073534</v>
      </c>
      <c r="E166" s="2">
        <f>IF(A166="","",C166*'Loan Inputs'!$B$15)</f>
        <v>2664.8851400752715</v>
      </c>
      <c r="F166" s="2">
        <f t="shared" si="6"/>
        <v>1396.648227732082</v>
      </c>
      <c r="G166" s="2">
        <f t="shared" si="7"/>
        <v>499051.26540142688</v>
      </c>
      <c r="H166" s="2">
        <f>IF(A166="","",MIN(0,MAX(0,C166+E166-'Loan Inputs'!$B$17)))</f>
        <v>0</v>
      </c>
    </row>
    <row r="167" spans="1:8" ht="22" customHeight="1">
      <c r="A167" s="1">
        <f>IF(AND('Loan Inputs'!$B$12,161&lt;=IF('Loan Inputs'!$B$12,'Loan Inputs'!$B$7,0)*'Loan Inputs'!$B$14+0,ISNUMBER(G166),G166&gt;0),161,"")</f>
        <v>161</v>
      </c>
      <c r="B167" s="4">
        <f>IF(A167="","",IF('Loan Inputs'!$B$14=12,DATE(YEAR('Loan Inputs'!$B$8),MONTH('Loan Inputs'!$B$8)+A167,DAY('Loan Inputs'!$B$8)),'Loan Inputs'!$B$8+A167*IF('Loan Inputs'!$B$14=26,14,7)))</f>
        <v>51227</v>
      </c>
      <c r="C167" s="2">
        <f t="shared" si="8"/>
        <v>499051.26540142688</v>
      </c>
      <c r="D167" s="2">
        <f>IF(A167="","",MIN('Loan Inputs'!$B$17,C167+E167)+H167)</f>
        <v>4061.5333678073534</v>
      </c>
      <c r="E167" s="2">
        <f>IF(A167="","",C167*'Loan Inputs'!$B$15)</f>
        <v>2657.4479882625978</v>
      </c>
      <c r="F167" s="2">
        <f t="shared" si="6"/>
        <v>1404.0853795447556</v>
      </c>
      <c r="G167" s="2">
        <f t="shared" si="7"/>
        <v>497647.18002188212</v>
      </c>
      <c r="H167" s="2">
        <f>IF(A167="","",MIN(0,MAX(0,C167+E167-'Loan Inputs'!$B$17)))</f>
        <v>0</v>
      </c>
    </row>
    <row r="168" spans="1:8" ht="22" customHeight="1">
      <c r="A168" s="1">
        <f>IF(AND('Loan Inputs'!$B$12,162&lt;=IF('Loan Inputs'!$B$12,'Loan Inputs'!$B$7,0)*'Loan Inputs'!$B$14+0,ISNUMBER(G167),G167&gt;0),162,"")</f>
        <v>162</v>
      </c>
      <c r="B168" s="4">
        <f>IF(A168="","",IF('Loan Inputs'!$B$14=12,DATE(YEAR('Loan Inputs'!$B$8),MONTH('Loan Inputs'!$B$8)+A168,DAY('Loan Inputs'!$B$8)),'Loan Inputs'!$B$8+A168*IF('Loan Inputs'!$B$14=26,14,7)))</f>
        <v>51257</v>
      </c>
      <c r="C168" s="2">
        <f t="shared" si="8"/>
        <v>497647.18002188212</v>
      </c>
      <c r="D168" s="2">
        <f>IF(A168="","",MIN('Loan Inputs'!$B$17,C168+E168)+H168)</f>
        <v>4061.5333678073534</v>
      </c>
      <c r="E168" s="2">
        <f>IF(A168="","",C168*'Loan Inputs'!$B$15)</f>
        <v>2649.9712336165221</v>
      </c>
      <c r="F168" s="2">
        <f t="shared" si="6"/>
        <v>1411.5621341908313</v>
      </c>
      <c r="G168" s="2">
        <f t="shared" si="7"/>
        <v>496235.6178876913</v>
      </c>
      <c r="H168" s="2">
        <f>IF(A168="","",MIN(0,MAX(0,C168+E168-'Loan Inputs'!$B$17)))</f>
        <v>0</v>
      </c>
    </row>
    <row r="169" spans="1:8" ht="22" customHeight="1">
      <c r="A169" s="1">
        <f>IF(AND('Loan Inputs'!$B$12,163&lt;=IF('Loan Inputs'!$B$12,'Loan Inputs'!$B$7,0)*'Loan Inputs'!$B$14+0,ISNUMBER(G168),G168&gt;0),163,"")</f>
        <v>163</v>
      </c>
      <c r="B169" s="4">
        <f>IF(A169="","",IF('Loan Inputs'!$B$14=12,DATE(YEAR('Loan Inputs'!$B$8),MONTH('Loan Inputs'!$B$8)+A169,DAY('Loan Inputs'!$B$8)),'Loan Inputs'!$B$8+A169*IF('Loan Inputs'!$B$14=26,14,7)))</f>
        <v>51288</v>
      </c>
      <c r="C169" s="2">
        <f t="shared" si="8"/>
        <v>496235.6178876913</v>
      </c>
      <c r="D169" s="2">
        <f>IF(A169="","",MIN('Loan Inputs'!$B$17,C169+E169)+H169)</f>
        <v>4061.5333678073534</v>
      </c>
      <c r="E169" s="2">
        <f>IF(A169="","",C169*'Loan Inputs'!$B$15)</f>
        <v>2642.4546652519562</v>
      </c>
      <c r="F169" s="2">
        <f t="shared" si="6"/>
        <v>1419.0787025553973</v>
      </c>
      <c r="G169" s="2">
        <f t="shared" si="7"/>
        <v>494816.53918513592</v>
      </c>
      <c r="H169" s="2">
        <f>IF(A169="","",MIN(0,MAX(0,C169+E169-'Loan Inputs'!$B$17)))</f>
        <v>0</v>
      </c>
    </row>
    <row r="170" spans="1:8" ht="22" customHeight="1">
      <c r="A170" s="1">
        <f>IF(AND('Loan Inputs'!$B$12,164&lt;=IF('Loan Inputs'!$B$12,'Loan Inputs'!$B$7,0)*'Loan Inputs'!$B$14+0,ISNUMBER(G169),G169&gt;0),164,"")</f>
        <v>164</v>
      </c>
      <c r="B170" s="4">
        <f>IF(A170="","",IF('Loan Inputs'!$B$14=12,DATE(YEAR('Loan Inputs'!$B$8),MONTH('Loan Inputs'!$B$8)+A170,DAY('Loan Inputs'!$B$8)),'Loan Inputs'!$B$8+A170*IF('Loan Inputs'!$B$14=26,14,7)))</f>
        <v>51318</v>
      </c>
      <c r="C170" s="2">
        <f t="shared" si="8"/>
        <v>494816.53918513592</v>
      </c>
      <c r="D170" s="2">
        <f>IF(A170="","",MIN('Loan Inputs'!$B$17,C170+E170)+H170)</f>
        <v>4061.5333678073534</v>
      </c>
      <c r="E170" s="2">
        <f>IF(A170="","",C170*'Loan Inputs'!$B$15)</f>
        <v>2634.8980711608488</v>
      </c>
      <c r="F170" s="2">
        <f t="shared" si="6"/>
        <v>1426.6352966465047</v>
      </c>
      <c r="G170" s="2">
        <f t="shared" si="7"/>
        <v>493389.90388848941</v>
      </c>
      <c r="H170" s="2">
        <f>IF(A170="","",MIN(0,MAX(0,C170+E170-'Loan Inputs'!$B$17)))</f>
        <v>0</v>
      </c>
    </row>
    <row r="171" spans="1:8" ht="22" customHeight="1">
      <c r="A171" s="1">
        <f>IF(AND('Loan Inputs'!$B$12,165&lt;=IF('Loan Inputs'!$B$12,'Loan Inputs'!$B$7,0)*'Loan Inputs'!$B$14+0,ISNUMBER(G170),G170&gt;0),165,"")</f>
        <v>165</v>
      </c>
      <c r="B171" s="4">
        <f>IF(A171="","",IF('Loan Inputs'!$B$14=12,DATE(YEAR('Loan Inputs'!$B$8),MONTH('Loan Inputs'!$B$8)+A171,DAY('Loan Inputs'!$B$8)),'Loan Inputs'!$B$8+A171*IF('Loan Inputs'!$B$14=26,14,7)))</f>
        <v>51349</v>
      </c>
      <c r="C171" s="2">
        <f t="shared" si="8"/>
        <v>493389.90388848941</v>
      </c>
      <c r="D171" s="2">
        <f>IF(A171="","",MIN('Loan Inputs'!$B$17,C171+E171)+H171)</f>
        <v>4061.5333678073534</v>
      </c>
      <c r="E171" s="2">
        <f>IF(A171="","",C171*'Loan Inputs'!$B$15)</f>
        <v>2627.3012382062061</v>
      </c>
      <c r="F171" s="2">
        <f t="shared" si="6"/>
        <v>1434.2321296011473</v>
      </c>
      <c r="G171" s="2">
        <f t="shared" si="7"/>
        <v>491955.67175888829</v>
      </c>
      <c r="H171" s="2">
        <f>IF(A171="","",MIN(0,MAX(0,C171+E171-'Loan Inputs'!$B$17)))</f>
        <v>0</v>
      </c>
    </row>
    <row r="172" spans="1:8" ht="22" customHeight="1">
      <c r="A172" s="1">
        <f>IF(AND('Loan Inputs'!$B$12,166&lt;=IF('Loan Inputs'!$B$12,'Loan Inputs'!$B$7,0)*'Loan Inputs'!$B$14+0,ISNUMBER(G171),G171&gt;0),166,"")</f>
        <v>166</v>
      </c>
      <c r="B172" s="4">
        <f>IF(A172="","",IF('Loan Inputs'!$B$14=12,DATE(YEAR('Loan Inputs'!$B$8),MONTH('Loan Inputs'!$B$8)+A172,DAY('Loan Inputs'!$B$8)),'Loan Inputs'!$B$8+A172*IF('Loan Inputs'!$B$14=26,14,7)))</f>
        <v>51380</v>
      </c>
      <c r="C172" s="2">
        <f t="shared" si="8"/>
        <v>491955.67175888829</v>
      </c>
      <c r="D172" s="2">
        <f>IF(A172="","",MIN('Loan Inputs'!$B$17,C172+E172)+H172)</f>
        <v>4061.5333678073534</v>
      </c>
      <c r="E172" s="2">
        <f>IF(A172="","",C172*'Loan Inputs'!$B$15)</f>
        <v>2619.6639521160801</v>
      </c>
      <c r="F172" s="2">
        <f t="shared" si="6"/>
        <v>1441.8694156912734</v>
      </c>
      <c r="G172" s="2">
        <f t="shared" si="7"/>
        <v>490513.80234319699</v>
      </c>
      <c r="H172" s="2">
        <f>IF(A172="","",MIN(0,MAX(0,C172+E172-'Loan Inputs'!$B$17)))</f>
        <v>0</v>
      </c>
    </row>
    <row r="173" spans="1:8" ht="22" customHeight="1">
      <c r="A173" s="1">
        <f>IF(AND('Loan Inputs'!$B$12,167&lt;=IF('Loan Inputs'!$B$12,'Loan Inputs'!$B$7,0)*'Loan Inputs'!$B$14+0,ISNUMBER(G172),G172&gt;0),167,"")</f>
        <v>167</v>
      </c>
      <c r="B173" s="4">
        <f>IF(A173="","",IF('Loan Inputs'!$B$14=12,DATE(YEAR('Loan Inputs'!$B$8),MONTH('Loan Inputs'!$B$8)+A173,DAY('Loan Inputs'!$B$8)),'Loan Inputs'!$B$8+A173*IF('Loan Inputs'!$B$14=26,14,7)))</f>
        <v>51410</v>
      </c>
      <c r="C173" s="2">
        <f t="shared" si="8"/>
        <v>490513.80234319699</v>
      </c>
      <c r="D173" s="2">
        <f>IF(A173="","",MIN('Loan Inputs'!$B$17,C173+E173)+H173)</f>
        <v>4061.5333678073534</v>
      </c>
      <c r="E173" s="2">
        <f>IF(A173="","",C173*'Loan Inputs'!$B$15)</f>
        <v>2611.9859974775241</v>
      </c>
      <c r="F173" s="2">
        <f t="shared" si="6"/>
        <v>1449.5473703298294</v>
      </c>
      <c r="G173" s="2">
        <f t="shared" si="7"/>
        <v>489064.25497286714</v>
      </c>
      <c r="H173" s="2">
        <f>IF(A173="","",MIN(0,MAX(0,C173+E173-'Loan Inputs'!$B$17)))</f>
        <v>0</v>
      </c>
    </row>
    <row r="174" spans="1:8" ht="22" customHeight="1">
      <c r="A174" s="1">
        <f>IF(AND('Loan Inputs'!$B$12,168&lt;=IF('Loan Inputs'!$B$12,'Loan Inputs'!$B$7,0)*'Loan Inputs'!$B$14+0,ISNUMBER(G173),G173&gt;0),168,"")</f>
        <v>168</v>
      </c>
      <c r="B174" s="4">
        <f>IF(A174="","",IF('Loan Inputs'!$B$14=12,DATE(YEAR('Loan Inputs'!$B$8),MONTH('Loan Inputs'!$B$8)+A174,DAY('Loan Inputs'!$B$8)),'Loan Inputs'!$B$8+A174*IF('Loan Inputs'!$B$14=26,14,7)))</f>
        <v>51441</v>
      </c>
      <c r="C174" s="2">
        <f t="shared" si="8"/>
        <v>489064.25497286714</v>
      </c>
      <c r="D174" s="2">
        <f>IF(A174="","",MIN('Loan Inputs'!$B$17,C174+E174)+H174)</f>
        <v>4061.5333678073534</v>
      </c>
      <c r="E174" s="2">
        <f>IF(A174="","",C174*'Loan Inputs'!$B$15)</f>
        <v>2604.2671577305173</v>
      </c>
      <c r="F174" s="2">
        <f t="shared" si="6"/>
        <v>1457.2662100768362</v>
      </c>
      <c r="G174" s="2">
        <f t="shared" si="7"/>
        <v>487606.98876279028</v>
      </c>
      <c r="H174" s="2">
        <f>IF(A174="","",MIN(0,MAX(0,C174+E174-'Loan Inputs'!$B$17)))</f>
        <v>0</v>
      </c>
    </row>
    <row r="175" spans="1:8" ht="22" customHeight="1">
      <c r="A175" s="1">
        <f>IF(AND('Loan Inputs'!$B$12,169&lt;=IF('Loan Inputs'!$B$12,'Loan Inputs'!$B$7,0)*'Loan Inputs'!$B$14+0,ISNUMBER(G174),G174&gt;0),169,"")</f>
        <v>169</v>
      </c>
      <c r="B175" s="4">
        <f>IF(A175="","",IF('Loan Inputs'!$B$14=12,DATE(YEAR('Loan Inputs'!$B$8),MONTH('Loan Inputs'!$B$8)+A175,DAY('Loan Inputs'!$B$8)),'Loan Inputs'!$B$8+A175*IF('Loan Inputs'!$B$14=26,14,7)))</f>
        <v>51471</v>
      </c>
      <c r="C175" s="2">
        <f t="shared" si="8"/>
        <v>487606.98876279028</v>
      </c>
      <c r="D175" s="2">
        <f>IF(A175="","",MIN('Loan Inputs'!$B$17,C175+E175)+H175)</f>
        <v>4061.5333678073534</v>
      </c>
      <c r="E175" s="2">
        <f>IF(A175="","",C175*'Loan Inputs'!$B$15)</f>
        <v>2596.5072151618583</v>
      </c>
      <c r="F175" s="2">
        <f t="shared" si="6"/>
        <v>1465.0261526454951</v>
      </c>
      <c r="G175" s="2">
        <f t="shared" si="7"/>
        <v>486141.96261014481</v>
      </c>
      <c r="H175" s="2">
        <f>IF(A175="","",MIN(0,MAX(0,C175+E175-'Loan Inputs'!$B$17)))</f>
        <v>0</v>
      </c>
    </row>
    <row r="176" spans="1:8" ht="22" customHeight="1">
      <c r="A176" s="1">
        <f>IF(AND('Loan Inputs'!$B$12,170&lt;=IF('Loan Inputs'!$B$12,'Loan Inputs'!$B$7,0)*'Loan Inputs'!$B$14+0,ISNUMBER(G175),G175&gt;0),170,"")</f>
        <v>170</v>
      </c>
      <c r="B176" s="4">
        <f>IF(A176="","",IF('Loan Inputs'!$B$14=12,DATE(YEAR('Loan Inputs'!$B$8),MONTH('Loan Inputs'!$B$8)+A176,DAY('Loan Inputs'!$B$8)),'Loan Inputs'!$B$8+A176*IF('Loan Inputs'!$B$14=26,14,7)))</f>
        <v>51502</v>
      </c>
      <c r="C176" s="2">
        <f t="shared" si="8"/>
        <v>486141.96261014481</v>
      </c>
      <c r="D176" s="2">
        <f>IF(A176="","",MIN('Loan Inputs'!$B$17,C176+E176)+H176)</f>
        <v>4061.5333678073534</v>
      </c>
      <c r="E176" s="2">
        <f>IF(A176="","",C176*'Loan Inputs'!$B$15)</f>
        <v>2588.705950899021</v>
      </c>
      <c r="F176" s="2">
        <f t="shared" si="6"/>
        <v>1472.8274169083325</v>
      </c>
      <c r="G176" s="2">
        <f t="shared" si="7"/>
        <v>484669.13519323646</v>
      </c>
      <c r="H176" s="2">
        <f>IF(A176="","",MIN(0,MAX(0,C176+E176-'Loan Inputs'!$B$17)))</f>
        <v>0</v>
      </c>
    </row>
    <row r="177" spans="1:8" ht="22" customHeight="1">
      <c r="A177" s="1">
        <f>IF(AND('Loan Inputs'!$B$12,171&lt;=IF('Loan Inputs'!$B$12,'Loan Inputs'!$B$7,0)*'Loan Inputs'!$B$14+0,ISNUMBER(G176),G176&gt;0),171,"")</f>
        <v>171</v>
      </c>
      <c r="B177" s="4">
        <f>IF(A177="","",IF('Loan Inputs'!$B$14=12,DATE(YEAR('Loan Inputs'!$B$8),MONTH('Loan Inputs'!$B$8)+A177,DAY('Loan Inputs'!$B$8)),'Loan Inputs'!$B$8+A177*IF('Loan Inputs'!$B$14=26,14,7)))</f>
        <v>51533</v>
      </c>
      <c r="C177" s="2">
        <f t="shared" si="8"/>
        <v>484669.13519323646</v>
      </c>
      <c r="D177" s="2">
        <f>IF(A177="","",MIN('Loan Inputs'!$B$17,C177+E177)+H177)</f>
        <v>4061.5333678073534</v>
      </c>
      <c r="E177" s="2">
        <f>IF(A177="","",C177*'Loan Inputs'!$B$15)</f>
        <v>2580.863144903984</v>
      </c>
      <c r="F177" s="2">
        <f t="shared" si="6"/>
        <v>1480.6702229033694</v>
      </c>
      <c r="G177" s="2">
        <f t="shared" si="7"/>
        <v>483188.46497033309</v>
      </c>
      <c r="H177" s="2">
        <f>IF(A177="","",MIN(0,MAX(0,C177+E177-'Loan Inputs'!$B$17)))</f>
        <v>0</v>
      </c>
    </row>
    <row r="178" spans="1:8" ht="22" customHeight="1">
      <c r="A178" s="1">
        <f>IF(AND('Loan Inputs'!$B$12,172&lt;=IF('Loan Inputs'!$B$12,'Loan Inputs'!$B$7,0)*'Loan Inputs'!$B$14+0,ISNUMBER(G177),G177&gt;0),172,"")</f>
        <v>172</v>
      </c>
      <c r="B178" s="4">
        <f>IF(A178="","",IF('Loan Inputs'!$B$14=12,DATE(YEAR('Loan Inputs'!$B$8),MONTH('Loan Inputs'!$B$8)+A178,DAY('Loan Inputs'!$B$8)),'Loan Inputs'!$B$8+A178*IF('Loan Inputs'!$B$14=26,14,7)))</f>
        <v>51561</v>
      </c>
      <c r="C178" s="2">
        <f t="shared" si="8"/>
        <v>483188.46497033309</v>
      </c>
      <c r="D178" s="2">
        <f>IF(A178="","",MIN('Loan Inputs'!$B$17,C178+E178)+H178)</f>
        <v>4061.5333678073534</v>
      </c>
      <c r="E178" s="2">
        <f>IF(A178="","",C178*'Loan Inputs'!$B$15)</f>
        <v>2572.9785759670235</v>
      </c>
      <c r="F178" s="2">
        <f t="shared" si="6"/>
        <v>1488.5547918403299</v>
      </c>
      <c r="G178" s="2">
        <f t="shared" si="7"/>
        <v>481699.91017849278</v>
      </c>
      <c r="H178" s="2">
        <f>IF(A178="","",MIN(0,MAX(0,C178+E178-'Loan Inputs'!$B$17)))</f>
        <v>0</v>
      </c>
    </row>
    <row r="179" spans="1:8" ht="22" customHeight="1">
      <c r="A179" s="1">
        <f>IF(AND('Loan Inputs'!$B$12,173&lt;=IF('Loan Inputs'!$B$12,'Loan Inputs'!$B$7,0)*'Loan Inputs'!$B$14+0,ISNUMBER(G178),G178&gt;0),173,"")</f>
        <v>173</v>
      </c>
      <c r="B179" s="4">
        <f>IF(A179="","",IF('Loan Inputs'!$B$14=12,DATE(YEAR('Loan Inputs'!$B$8),MONTH('Loan Inputs'!$B$8)+A179,DAY('Loan Inputs'!$B$8)),'Loan Inputs'!$B$8+A179*IF('Loan Inputs'!$B$14=26,14,7)))</f>
        <v>51592</v>
      </c>
      <c r="C179" s="2">
        <f t="shared" si="8"/>
        <v>481699.91017849278</v>
      </c>
      <c r="D179" s="2">
        <f>IF(A179="","",MIN('Loan Inputs'!$B$17,C179+E179)+H179)</f>
        <v>4061.5333678073534</v>
      </c>
      <c r="E179" s="2">
        <f>IF(A179="","",C179*'Loan Inputs'!$B$15)</f>
        <v>2565.0520217004741</v>
      </c>
      <c r="F179" s="2">
        <f t="shared" si="6"/>
        <v>1496.4813461068793</v>
      </c>
      <c r="G179" s="2">
        <f t="shared" si="7"/>
        <v>480203.42883238592</v>
      </c>
      <c r="H179" s="2">
        <f>IF(A179="","",MIN(0,MAX(0,C179+E179-'Loan Inputs'!$B$17)))</f>
        <v>0</v>
      </c>
    </row>
    <row r="180" spans="1:8" ht="22" customHeight="1">
      <c r="A180" s="1">
        <f>IF(AND('Loan Inputs'!$B$12,174&lt;=IF('Loan Inputs'!$B$12,'Loan Inputs'!$B$7,0)*'Loan Inputs'!$B$14+0,ISNUMBER(G179),G179&gt;0),174,"")</f>
        <v>174</v>
      </c>
      <c r="B180" s="4">
        <f>IF(A180="","",IF('Loan Inputs'!$B$14=12,DATE(YEAR('Loan Inputs'!$B$8),MONTH('Loan Inputs'!$B$8)+A180,DAY('Loan Inputs'!$B$8)),'Loan Inputs'!$B$8+A180*IF('Loan Inputs'!$B$14=26,14,7)))</f>
        <v>51622</v>
      </c>
      <c r="C180" s="2">
        <f t="shared" si="8"/>
        <v>480203.42883238592</v>
      </c>
      <c r="D180" s="2">
        <f>IF(A180="","",MIN('Loan Inputs'!$B$17,C180+E180)+H180)</f>
        <v>4061.5333678073534</v>
      </c>
      <c r="E180" s="2">
        <f>IF(A180="","",C180*'Loan Inputs'!$B$15)</f>
        <v>2557.0832585324551</v>
      </c>
      <c r="F180" s="2">
        <f t="shared" si="6"/>
        <v>1504.4501092748983</v>
      </c>
      <c r="G180" s="2">
        <f t="shared" si="7"/>
        <v>478698.97872311104</v>
      </c>
      <c r="H180" s="2">
        <f>IF(A180="","",MIN(0,MAX(0,C180+E180-'Loan Inputs'!$B$17)))</f>
        <v>0</v>
      </c>
    </row>
    <row r="181" spans="1:8" ht="22" customHeight="1">
      <c r="A181" s="1">
        <f>IF(AND('Loan Inputs'!$B$12,175&lt;=IF('Loan Inputs'!$B$12,'Loan Inputs'!$B$7,0)*'Loan Inputs'!$B$14+0,ISNUMBER(G180),G180&gt;0),175,"")</f>
        <v>175</v>
      </c>
      <c r="B181" s="4">
        <f>IF(A181="","",IF('Loan Inputs'!$B$14=12,DATE(YEAR('Loan Inputs'!$B$8),MONTH('Loan Inputs'!$B$8)+A181,DAY('Loan Inputs'!$B$8)),'Loan Inputs'!$B$8+A181*IF('Loan Inputs'!$B$14=26,14,7)))</f>
        <v>51653</v>
      </c>
      <c r="C181" s="2">
        <f t="shared" si="8"/>
        <v>478698.97872311104</v>
      </c>
      <c r="D181" s="2">
        <f>IF(A181="","",MIN('Loan Inputs'!$B$17,C181+E181)+H181)</f>
        <v>4061.5333678073534</v>
      </c>
      <c r="E181" s="2">
        <f>IF(A181="","",C181*'Loan Inputs'!$B$15)</f>
        <v>2549.0720617005663</v>
      </c>
      <c r="F181" s="2">
        <f t="shared" si="6"/>
        <v>1512.4613061067871</v>
      </c>
      <c r="G181" s="2">
        <f t="shared" si="7"/>
        <v>477186.51741700427</v>
      </c>
      <c r="H181" s="2">
        <f>IF(A181="","",MIN(0,MAX(0,C181+E181-'Loan Inputs'!$B$17)))</f>
        <v>0</v>
      </c>
    </row>
    <row r="182" spans="1:8" ht="22" customHeight="1">
      <c r="A182" s="1">
        <f>IF(AND('Loan Inputs'!$B$12,176&lt;=IF('Loan Inputs'!$B$12,'Loan Inputs'!$B$7,0)*'Loan Inputs'!$B$14+0,ISNUMBER(G181),G181&gt;0),176,"")</f>
        <v>176</v>
      </c>
      <c r="B182" s="4">
        <f>IF(A182="","",IF('Loan Inputs'!$B$14=12,DATE(YEAR('Loan Inputs'!$B$8),MONTH('Loan Inputs'!$B$8)+A182,DAY('Loan Inputs'!$B$8)),'Loan Inputs'!$B$8+A182*IF('Loan Inputs'!$B$14=26,14,7)))</f>
        <v>51683</v>
      </c>
      <c r="C182" s="2">
        <f t="shared" si="8"/>
        <v>477186.51741700427</v>
      </c>
      <c r="D182" s="2">
        <f>IF(A182="","",MIN('Loan Inputs'!$B$17,C182+E182)+H182)</f>
        <v>4061.5333678073534</v>
      </c>
      <c r="E182" s="2">
        <f>IF(A182="","",C182*'Loan Inputs'!$B$15)</f>
        <v>2541.0182052455475</v>
      </c>
      <c r="F182" s="2">
        <f t="shared" si="6"/>
        <v>1520.5151625618059</v>
      </c>
      <c r="G182" s="2">
        <f t="shared" si="7"/>
        <v>475666.00225444249</v>
      </c>
      <c r="H182" s="2">
        <f>IF(A182="","",MIN(0,MAX(0,C182+E182-'Loan Inputs'!$B$17)))</f>
        <v>0</v>
      </c>
    </row>
    <row r="183" spans="1:8" ht="22" customHeight="1">
      <c r="A183" s="1">
        <f>IF(AND('Loan Inputs'!$B$12,177&lt;=IF('Loan Inputs'!$B$12,'Loan Inputs'!$B$7,0)*'Loan Inputs'!$B$14+0,ISNUMBER(G182),G182&gt;0),177,"")</f>
        <v>177</v>
      </c>
      <c r="B183" s="4">
        <f>IF(A183="","",IF('Loan Inputs'!$B$14=12,DATE(YEAR('Loan Inputs'!$B$8),MONTH('Loan Inputs'!$B$8)+A183,DAY('Loan Inputs'!$B$8)),'Loan Inputs'!$B$8+A183*IF('Loan Inputs'!$B$14=26,14,7)))</f>
        <v>51714</v>
      </c>
      <c r="C183" s="2">
        <f t="shared" si="8"/>
        <v>475666.00225444249</v>
      </c>
      <c r="D183" s="2">
        <f>IF(A183="","",MIN('Loan Inputs'!$B$17,C183+E183)+H183)</f>
        <v>4061.5333678073534</v>
      </c>
      <c r="E183" s="2">
        <f>IF(A183="","",C183*'Loan Inputs'!$B$15)</f>
        <v>2532.9214620049061</v>
      </c>
      <c r="F183" s="2">
        <f t="shared" si="6"/>
        <v>1528.6119058024474</v>
      </c>
      <c r="G183" s="2">
        <f t="shared" si="7"/>
        <v>474137.39034864004</v>
      </c>
      <c r="H183" s="2">
        <f>IF(A183="","",MIN(0,MAX(0,C183+E183-'Loan Inputs'!$B$17)))</f>
        <v>0</v>
      </c>
    </row>
    <row r="184" spans="1:8" ht="22" customHeight="1">
      <c r="A184" s="1">
        <f>IF(AND('Loan Inputs'!$B$12,178&lt;=IF('Loan Inputs'!$B$12,'Loan Inputs'!$B$7,0)*'Loan Inputs'!$B$14+0,ISNUMBER(G183),G183&gt;0),178,"")</f>
        <v>178</v>
      </c>
      <c r="B184" s="4">
        <f>IF(A184="","",IF('Loan Inputs'!$B$14=12,DATE(YEAR('Loan Inputs'!$B$8),MONTH('Loan Inputs'!$B$8)+A184,DAY('Loan Inputs'!$B$8)),'Loan Inputs'!$B$8+A184*IF('Loan Inputs'!$B$14=26,14,7)))</f>
        <v>51745</v>
      </c>
      <c r="C184" s="2">
        <f t="shared" si="8"/>
        <v>474137.39034864004</v>
      </c>
      <c r="D184" s="2">
        <f>IF(A184="","",MIN('Loan Inputs'!$B$17,C184+E184)+H184)</f>
        <v>4061.5333678073534</v>
      </c>
      <c r="E184" s="2">
        <f>IF(A184="","",C184*'Loan Inputs'!$B$15)</f>
        <v>2524.7816036065083</v>
      </c>
      <c r="F184" s="2">
        <f t="shared" si="6"/>
        <v>1536.7517642008452</v>
      </c>
      <c r="G184" s="2">
        <f t="shared" si="7"/>
        <v>472600.63858443918</v>
      </c>
      <c r="H184" s="2">
        <f>IF(A184="","",MIN(0,MAX(0,C184+E184-'Loan Inputs'!$B$17)))</f>
        <v>0</v>
      </c>
    </row>
    <row r="185" spans="1:8" ht="22" customHeight="1">
      <c r="A185" s="1">
        <f>IF(AND('Loan Inputs'!$B$12,179&lt;=IF('Loan Inputs'!$B$12,'Loan Inputs'!$B$7,0)*'Loan Inputs'!$B$14+0,ISNUMBER(G184),G184&gt;0),179,"")</f>
        <v>179</v>
      </c>
      <c r="B185" s="4">
        <f>IF(A185="","",IF('Loan Inputs'!$B$14=12,DATE(YEAR('Loan Inputs'!$B$8),MONTH('Loan Inputs'!$B$8)+A185,DAY('Loan Inputs'!$B$8)),'Loan Inputs'!$B$8+A185*IF('Loan Inputs'!$B$14=26,14,7)))</f>
        <v>51775</v>
      </c>
      <c r="C185" s="2">
        <f t="shared" si="8"/>
        <v>472600.63858443918</v>
      </c>
      <c r="D185" s="2">
        <f>IF(A185="","",MIN('Loan Inputs'!$B$17,C185+E185)+H185)</f>
        <v>4061.5333678073534</v>
      </c>
      <c r="E185" s="2">
        <f>IF(A185="","",C185*'Loan Inputs'!$B$15)</f>
        <v>2516.5984004621387</v>
      </c>
      <c r="F185" s="2">
        <f t="shared" si="6"/>
        <v>1544.9349673452148</v>
      </c>
      <c r="G185" s="2">
        <f t="shared" si="7"/>
        <v>471055.70361709397</v>
      </c>
      <c r="H185" s="2">
        <f>IF(A185="","",MIN(0,MAX(0,C185+E185-'Loan Inputs'!$B$17)))</f>
        <v>0</v>
      </c>
    </row>
    <row r="186" spans="1:8" ht="22" customHeight="1">
      <c r="A186" s="1">
        <f>IF(AND('Loan Inputs'!$B$12,180&lt;=IF('Loan Inputs'!$B$12,'Loan Inputs'!$B$7,0)*'Loan Inputs'!$B$14+0,ISNUMBER(G185),G185&gt;0),180,"")</f>
        <v>180</v>
      </c>
      <c r="B186" s="4">
        <f>IF(A186="","",IF('Loan Inputs'!$B$14=12,DATE(YEAR('Loan Inputs'!$B$8),MONTH('Loan Inputs'!$B$8)+A186,DAY('Loan Inputs'!$B$8)),'Loan Inputs'!$B$8+A186*IF('Loan Inputs'!$B$14=26,14,7)))</f>
        <v>51806</v>
      </c>
      <c r="C186" s="2">
        <f t="shared" si="8"/>
        <v>471055.70361709397</v>
      </c>
      <c r="D186" s="2">
        <f>IF(A186="","",MIN('Loan Inputs'!$B$17,C186+E186)+H186)</f>
        <v>4061.5333678073534</v>
      </c>
      <c r="E186" s="2">
        <f>IF(A186="","",C186*'Loan Inputs'!$B$15)</f>
        <v>2508.3716217610254</v>
      </c>
      <c r="F186" s="2">
        <f t="shared" si="6"/>
        <v>1553.1617460463281</v>
      </c>
      <c r="G186" s="2">
        <f t="shared" si="7"/>
        <v>469502.54187104764</v>
      </c>
      <c r="H186" s="2">
        <f>IF(A186="","",MIN(0,MAX(0,C186+E186-'Loan Inputs'!$B$17)))</f>
        <v>0</v>
      </c>
    </row>
    <row r="187" spans="1:8" ht="22" customHeight="1">
      <c r="A187" s="1">
        <f>IF(AND('Loan Inputs'!$B$12,181&lt;=IF('Loan Inputs'!$B$12,'Loan Inputs'!$B$7,0)*'Loan Inputs'!$B$14+0,ISNUMBER(G186),G186&gt;0),181,"")</f>
        <v>181</v>
      </c>
      <c r="B187" s="4">
        <f>IF(A187="","",IF('Loan Inputs'!$B$14=12,DATE(YEAR('Loan Inputs'!$B$8),MONTH('Loan Inputs'!$B$8)+A187,DAY('Loan Inputs'!$B$8)),'Loan Inputs'!$B$8+A187*IF('Loan Inputs'!$B$14=26,14,7)))</f>
        <v>51836</v>
      </c>
      <c r="C187" s="2">
        <f t="shared" si="8"/>
        <v>469502.54187104764</v>
      </c>
      <c r="D187" s="2">
        <f>IF(A187="","",MIN('Loan Inputs'!$B$17,C187+E187)+H187)</f>
        <v>4061.5333678073534</v>
      </c>
      <c r="E187" s="2">
        <f>IF(A187="","",C187*'Loan Inputs'!$B$15)</f>
        <v>2500.1010354633286</v>
      </c>
      <c r="F187" s="2">
        <f t="shared" si="6"/>
        <v>1561.4323323440249</v>
      </c>
      <c r="G187" s="2">
        <f t="shared" si="7"/>
        <v>467941.10953870363</v>
      </c>
      <c r="H187" s="2">
        <f>IF(A187="","",MIN(0,MAX(0,C187+E187-'Loan Inputs'!$B$17)))</f>
        <v>0</v>
      </c>
    </row>
    <row r="188" spans="1:8" ht="22" customHeight="1">
      <c r="A188" s="1">
        <f>IF(AND('Loan Inputs'!$B$12,182&lt;=IF('Loan Inputs'!$B$12,'Loan Inputs'!$B$7,0)*'Loan Inputs'!$B$14+0,ISNUMBER(G187),G187&gt;0),182,"")</f>
        <v>182</v>
      </c>
      <c r="B188" s="4">
        <f>IF(A188="","",IF('Loan Inputs'!$B$14=12,DATE(YEAR('Loan Inputs'!$B$8),MONTH('Loan Inputs'!$B$8)+A188,DAY('Loan Inputs'!$B$8)),'Loan Inputs'!$B$8+A188*IF('Loan Inputs'!$B$14=26,14,7)))</f>
        <v>51867</v>
      </c>
      <c r="C188" s="2">
        <f t="shared" si="8"/>
        <v>467941.10953870363</v>
      </c>
      <c r="D188" s="2">
        <f>IF(A188="","",MIN('Loan Inputs'!$B$17,C188+E188)+H188)</f>
        <v>4061.5333678073534</v>
      </c>
      <c r="E188" s="2">
        <f>IF(A188="","",C188*'Loan Inputs'!$B$15)</f>
        <v>2491.7864082935967</v>
      </c>
      <c r="F188" s="2">
        <f t="shared" si="6"/>
        <v>1569.7469595137568</v>
      </c>
      <c r="G188" s="2">
        <f t="shared" si="7"/>
        <v>466371.36257918988</v>
      </c>
      <c r="H188" s="2">
        <f>IF(A188="","",MIN(0,MAX(0,C188+E188-'Loan Inputs'!$B$17)))</f>
        <v>0</v>
      </c>
    </row>
    <row r="189" spans="1:8" ht="22" customHeight="1">
      <c r="A189" s="1">
        <f>IF(AND('Loan Inputs'!$B$12,183&lt;=IF('Loan Inputs'!$B$12,'Loan Inputs'!$B$7,0)*'Loan Inputs'!$B$14+0,ISNUMBER(G188),G188&gt;0),183,"")</f>
        <v>183</v>
      </c>
      <c r="B189" s="4">
        <f>IF(A189="","",IF('Loan Inputs'!$B$14=12,DATE(YEAR('Loan Inputs'!$B$8),MONTH('Loan Inputs'!$B$8)+A189,DAY('Loan Inputs'!$B$8)),'Loan Inputs'!$B$8+A189*IF('Loan Inputs'!$B$14=26,14,7)))</f>
        <v>51898</v>
      </c>
      <c r="C189" s="2">
        <f t="shared" si="8"/>
        <v>466371.36257918988</v>
      </c>
      <c r="D189" s="2">
        <f>IF(A189="","",MIN('Loan Inputs'!$B$17,C189+E189)+H189)</f>
        <v>4061.5333678073534</v>
      </c>
      <c r="E189" s="2">
        <f>IF(A189="","",C189*'Loan Inputs'!$B$15)</f>
        <v>2483.4275057341861</v>
      </c>
      <c r="F189" s="2">
        <f t="shared" si="6"/>
        <v>1578.1058620731674</v>
      </c>
      <c r="G189" s="2">
        <f t="shared" si="7"/>
        <v>464793.25671711669</v>
      </c>
      <c r="H189" s="2">
        <f>IF(A189="","",MIN(0,MAX(0,C189+E189-'Loan Inputs'!$B$17)))</f>
        <v>0</v>
      </c>
    </row>
    <row r="190" spans="1:8" ht="22" customHeight="1">
      <c r="A190" s="1">
        <f>IF(AND('Loan Inputs'!$B$12,184&lt;=IF('Loan Inputs'!$B$12,'Loan Inputs'!$B$7,0)*'Loan Inputs'!$B$14+0,ISNUMBER(G189),G189&gt;0),184,"")</f>
        <v>184</v>
      </c>
      <c r="B190" s="4">
        <f>IF(A190="","",IF('Loan Inputs'!$B$14=12,DATE(YEAR('Loan Inputs'!$B$8),MONTH('Loan Inputs'!$B$8)+A190,DAY('Loan Inputs'!$B$8)),'Loan Inputs'!$B$8+A190*IF('Loan Inputs'!$B$14=26,14,7)))</f>
        <v>51926</v>
      </c>
      <c r="C190" s="2">
        <f t="shared" si="8"/>
        <v>464793.25671711669</v>
      </c>
      <c r="D190" s="2">
        <f>IF(A190="","",MIN('Loan Inputs'!$B$17,C190+E190)+H190)</f>
        <v>4061.5333678073534</v>
      </c>
      <c r="E190" s="2">
        <f>IF(A190="","",C190*'Loan Inputs'!$B$15)</f>
        <v>2475.0240920186461</v>
      </c>
      <c r="F190" s="2">
        <f t="shared" si="6"/>
        <v>1586.5092757887073</v>
      </c>
      <c r="G190" s="2">
        <f t="shared" si="7"/>
        <v>463206.74744132796</v>
      </c>
      <c r="H190" s="2">
        <f>IF(A190="","",MIN(0,MAX(0,C190+E190-'Loan Inputs'!$B$17)))</f>
        <v>0</v>
      </c>
    </row>
    <row r="191" spans="1:8" ht="22" customHeight="1">
      <c r="A191" s="1">
        <f>IF(AND('Loan Inputs'!$B$12,185&lt;=IF('Loan Inputs'!$B$12,'Loan Inputs'!$B$7,0)*'Loan Inputs'!$B$14+0,ISNUMBER(G190),G190&gt;0),185,"")</f>
        <v>185</v>
      </c>
      <c r="B191" s="4">
        <f>IF(A191="","",IF('Loan Inputs'!$B$14=12,DATE(YEAR('Loan Inputs'!$B$8),MONTH('Loan Inputs'!$B$8)+A191,DAY('Loan Inputs'!$B$8)),'Loan Inputs'!$B$8+A191*IF('Loan Inputs'!$B$14=26,14,7)))</f>
        <v>51957</v>
      </c>
      <c r="C191" s="2">
        <f t="shared" si="8"/>
        <v>463206.74744132796</v>
      </c>
      <c r="D191" s="2">
        <f>IF(A191="","",MIN('Loan Inputs'!$B$17,C191+E191)+H191)</f>
        <v>4061.5333678073534</v>
      </c>
      <c r="E191" s="2">
        <f>IF(A191="","",C191*'Loan Inputs'!$B$15)</f>
        <v>2466.5759301250714</v>
      </c>
      <c r="F191" s="2">
        <f t="shared" si="6"/>
        <v>1594.957437682282</v>
      </c>
      <c r="G191" s="2">
        <f t="shared" si="7"/>
        <v>461611.7900036457</v>
      </c>
      <c r="H191" s="2">
        <f>IF(A191="","",MIN(0,MAX(0,C191+E191-'Loan Inputs'!$B$17)))</f>
        <v>0</v>
      </c>
    </row>
    <row r="192" spans="1:8" ht="22" customHeight="1">
      <c r="A192" s="1">
        <f>IF(AND('Loan Inputs'!$B$12,186&lt;=IF('Loan Inputs'!$B$12,'Loan Inputs'!$B$7,0)*'Loan Inputs'!$B$14+0,ISNUMBER(G191),G191&gt;0),186,"")</f>
        <v>186</v>
      </c>
      <c r="B192" s="4">
        <f>IF(A192="","",IF('Loan Inputs'!$B$14=12,DATE(YEAR('Loan Inputs'!$B$8),MONTH('Loan Inputs'!$B$8)+A192,DAY('Loan Inputs'!$B$8)),'Loan Inputs'!$B$8+A192*IF('Loan Inputs'!$B$14=26,14,7)))</f>
        <v>51987</v>
      </c>
      <c r="C192" s="2">
        <f t="shared" si="8"/>
        <v>461611.7900036457</v>
      </c>
      <c r="D192" s="2">
        <f>IF(A192="","",MIN('Loan Inputs'!$B$17,C192+E192)+H192)</f>
        <v>4061.5333678073534</v>
      </c>
      <c r="E192" s="2">
        <f>IF(A192="","",C192*'Loan Inputs'!$B$15)</f>
        <v>2458.0827817694135</v>
      </c>
      <c r="F192" s="2">
        <f t="shared" si="6"/>
        <v>1603.45058603794</v>
      </c>
      <c r="G192" s="2">
        <f t="shared" si="7"/>
        <v>460008.33941760776</v>
      </c>
      <c r="H192" s="2">
        <f>IF(A192="","",MIN(0,MAX(0,C192+E192-'Loan Inputs'!$B$17)))</f>
        <v>0</v>
      </c>
    </row>
    <row r="193" spans="1:8" ht="22" customHeight="1">
      <c r="A193" s="1">
        <f>IF(AND('Loan Inputs'!$B$12,187&lt;=IF('Loan Inputs'!$B$12,'Loan Inputs'!$B$7,0)*'Loan Inputs'!$B$14+0,ISNUMBER(G192),G192&gt;0),187,"")</f>
        <v>187</v>
      </c>
      <c r="B193" s="4">
        <f>IF(A193="","",IF('Loan Inputs'!$B$14=12,DATE(YEAR('Loan Inputs'!$B$8),MONTH('Loan Inputs'!$B$8)+A193,DAY('Loan Inputs'!$B$8)),'Loan Inputs'!$B$8+A193*IF('Loan Inputs'!$B$14=26,14,7)))</f>
        <v>52018</v>
      </c>
      <c r="C193" s="2">
        <f t="shared" si="8"/>
        <v>460008.33941760776</v>
      </c>
      <c r="D193" s="2">
        <f>IF(A193="","",MIN('Loan Inputs'!$B$17,C193+E193)+H193)</f>
        <v>4061.5333678073534</v>
      </c>
      <c r="E193" s="2">
        <f>IF(A193="","",C193*'Loan Inputs'!$B$15)</f>
        <v>2449.5444073987615</v>
      </c>
      <c r="F193" s="2">
        <f t="shared" si="6"/>
        <v>1611.988960408592</v>
      </c>
      <c r="G193" s="2">
        <f t="shared" si="7"/>
        <v>458396.35045719915</v>
      </c>
      <c r="H193" s="2">
        <f>IF(A193="","",MIN(0,MAX(0,C193+E193-'Loan Inputs'!$B$17)))</f>
        <v>0</v>
      </c>
    </row>
    <row r="194" spans="1:8" ht="22" customHeight="1">
      <c r="A194" s="1">
        <f>IF(AND('Loan Inputs'!$B$12,188&lt;=IF('Loan Inputs'!$B$12,'Loan Inputs'!$B$7,0)*'Loan Inputs'!$B$14+0,ISNUMBER(G193),G193&gt;0),188,"")</f>
        <v>188</v>
      </c>
      <c r="B194" s="4">
        <f>IF(A194="","",IF('Loan Inputs'!$B$14=12,DATE(YEAR('Loan Inputs'!$B$8),MONTH('Loan Inputs'!$B$8)+A194,DAY('Loan Inputs'!$B$8)),'Loan Inputs'!$B$8+A194*IF('Loan Inputs'!$B$14=26,14,7)))</f>
        <v>52048</v>
      </c>
      <c r="C194" s="2">
        <f t="shared" si="8"/>
        <v>458396.35045719915</v>
      </c>
      <c r="D194" s="2">
        <f>IF(A194="","",MIN('Loan Inputs'!$B$17,C194+E194)+H194)</f>
        <v>4061.5333678073534</v>
      </c>
      <c r="E194" s="2">
        <f>IF(A194="","",C194*'Loan Inputs'!$B$15)</f>
        <v>2440.9605661845853</v>
      </c>
      <c r="F194" s="2">
        <f t="shared" si="6"/>
        <v>1620.5728016227681</v>
      </c>
      <c r="G194" s="2">
        <f t="shared" si="7"/>
        <v>456775.77765557636</v>
      </c>
      <c r="H194" s="2">
        <f>IF(A194="","",MIN(0,MAX(0,C194+E194-'Loan Inputs'!$B$17)))</f>
        <v>0</v>
      </c>
    </row>
    <row r="195" spans="1:8" ht="22" customHeight="1">
      <c r="A195" s="1">
        <f>IF(AND('Loan Inputs'!$B$12,189&lt;=IF('Loan Inputs'!$B$12,'Loan Inputs'!$B$7,0)*'Loan Inputs'!$B$14+0,ISNUMBER(G194),G194&gt;0),189,"")</f>
        <v>189</v>
      </c>
      <c r="B195" s="4">
        <f>IF(A195="","",IF('Loan Inputs'!$B$14=12,DATE(YEAR('Loan Inputs'!$B$8),MONTH('Loan Inputs'!$B$8)+A195,DAY('Loan Inputs'!$B$8)),'Loan Inputs'!$B$8+A195*IF('Loan Inputs'!$B$14=26,14,7)))</f>
        <v>52079</v>
      </c>
      <c r="C195" s="2">
        <f t="shared" si="8"/>
        <v>456775.77765557636</v>
      </c>
      <c r="D195" s="2">
        <f>IF(A195="","",MIN('Loan Inputs'!$B$17,C195+E195)+H195)</f>
        <v>4061.5333678073534</v>
      </c>
      <c r="E195" s="2">
        <f>IF(A195="","",C195*'Loan Inputs'!$B$15)</f>
        <v>2432.331016015944</v>
      </c>
      <c r="F195" s="2">
        <f t="shared" si="6"/>
        <v>1629.2023517914095</v>
      </c>
      <c r="G195" s="2">
        <f t="shared" si="7"/>
        <v>455146.57530378492</v>
      </c>
      <c r="H195" s="2">
        <f>IF(A195="","",MIN(0,MAX(0,C195+E195-'Loan Inputs'!$B$17)))</f>
        <v>0</v>
      </c>
    </row>
    <row r="196" spans="1:8" ht="22" customHeight="1">
      <c r="A196" s="1">
        <f>IF(AND('Loan Inputs'!$B$12,190&lt;=IF('Loan Inputs'!$B$12,'Loan Inputs'!$B$7,0)*'Loan Inputs'!$B$14+0,ISNUMBER(G195),G195&gt;0),190,"")</f>
        <v>190</v>
      </c>
      <c r="B196" s="4">
        <f>IF(A196="","",IF('Loan Inputs'!$B$14=12,DATE(YEAR('Loan Inputs'!$B$8),MONTH('Loan Inputs'!$B$8)+A196,DAY('Loan Inputs'!$B$8)),'Loan Inputs'!$B$8+A196*IF('Loan Inputs'!$B$14=26,14,7)))</f>
        <v>52110</v>
      </c>
      <c r="C196" s="2">
        <f t="shared" si="8"/>
        <v>455146.57530378492</v>
      </c>
      <c r="D196" s="2">
        <f>IF(A196="","",MIN('Loan Inputs'!$B$17,C196+E196)+H196)</f>
        <v>4061.5333678073534</v>
      </c>
      <c r="E196" s="2">
        <f>IF(A196="","",C196*'Loan Inputs'!$B$15)</f>
        <v>2423.6555134926548</v>
      </c>
      <c r="F196" s="2">
        <f t="shared" si="6"/>
        <v>1637.8778543146987</v>
      </c>
      <c r="G196" s="2">
        <f t="shared" si="7"/>
        <v>453508.69744947023</v>
      </c>
      <c r="H196" s="2">
        <f>IF(A196="","",MIN(0,MAX(0,C196+E196-'Loan Inputs'!$B$17)))</f>
        <v>0</v>
      </c>
    </row>
    <row r="197" spans="1:8" ht="22" customHeight="1">
      <c r="A197" s="1">
        <f>IF(AND('Loan Inputs'!$B$12,191&lt;=IF('Loan Inputs'!$B$12,'Loan Inputs'!$B$7,0)*'Loan Inputs'!$B$14+0,ISNUMBER(G196),G196&gt;0),191,"")</f>
        <v>191</v>
      </c>
      <c r="B197" s="4">
        <f>IF(A197="","",IF('Loan Inputs'!$B$14=12,DATE(YEAR('Loan Inputs'!$B$8),MONTH('Loan Inputs'!$B$8)+A197,DAY('Loan Inputs'!$B$8)),'Loan Inputs'!$B$8+A197*IF('Loan Inputs'!$B$14=26,14,7)))</f>
        <v>52140</v>
      </c>
      <c r="C197" s="2">
        <f t="shared" si="8"/>
        <v>453508.69744947023</v>
      </c>
      <c r="D197" s="2">
        <f>IF(A197="","",MIN('Loan Inputs'!$B$17,C197+E197)+H197)</f>
        <v>4061.5333678073534</v>
      </c>
      <c r="E197" s="2">
        <f>IF(A197="","",C197*'Loan Inputs'!$B$15)</f>
        <v>2414.9338139184288</v>
      </c>
      <c r="F197" s="2">
        <f t="shared" si="6"/>
        <v>1646.5995538889247</v>
      </c>
      <c r="G197" s="2">
        <f t="shared" si="7"/>
        <v>451862.09789558133</v>
      </c>
      <c r="H197" s="2">
        <f>IF(A197="","",MIN(0,MAX(0,C197+E197-'Loan Inputs'!$B$17)))</f>
        <v>0</v>
      </c>
    </row>
    <row r="198" spans="1:8" ht="22" customHeight="1">
      <c r="A198" s="1">
        <f>IF(AND('Loan Inputs'!$B$12,192&lt;=IF('Loan Inputs'!$B$12,'Loan Inputs'!$B$7,0)*'Loan Inputs'!$B$14+0,ISNUMBER(G197),G197&gt;0),192,"")</f>
        <v>192</v>
      </c>
      <c r="B198" s="4">
        <f>IF(A198="","",IF('Loan Inputs'!$B$14=12,DATE(YEAR('Loan Inputs'!$B$8),MONTH('Loan Inputs'!$B$8)+A198,DAY('Loan Inputs'!$B$8)),'Loan Inputs'!$B$8+A198*IF('Loan Inputs'!$B$14=26,14,7)))</f>
        <v>52171</v>
      </c>
      <c r="C198" s="2">
        <f t="shared" si="8"/>
        <v>451862.09789558133</v>
      </c>
      <c r="D198" s="2">
        <f>IF(A198="","",MIN('Loan Inputs'!$B$17,C198+E198)+H198)</f>
        <v>4061.5333678073534</v>
      </c>
      <c r="E198" s="2">
        <f>IF(A198="","",C198*'Loan Inputs'!$B$15)</f>
        <v>2406.1656712939707</v>
      </c>
      <c r="F198" s="2">
        <f t="shared" si="6"/>
        <v>1655.3676965133827</v>
      </c>
      <c r="G198" s="2">
        <f t="shared" si="7"/>
        <v>450206.73019906797</v>
      </c>
      <c r="H198" s="2">
        <f>IF(A198="","",MIN(0,MAX(0,C198+E198-'Loan Inputs'!$B$17)))</f>
        <v>0</v>
      </c>
    </row>
    <row r="199" spans="1:8" ht="22" customHeight="1">
      <c r="A199" s="1">
        <f>IF(AND('Loan Inputs'!$B$12,193&lt;=IF('Loan Inputs'!$B$12,'Loan Inputs'!$B$7,0)*'Loan Inputs'!$B$14+0,ISNUMBER(G198),G198&gt;0),193,"")</f>
        <v>193</v>
      </c>
      <c r="B199" s="4">
        <f>IF(A199="","",IF('Loan Inputs'!$B$14=12,DATE(YEAR('Loan Inputs'!$B$8),MONTH('Loan Inputs'!$B$8)+A199,DAY('Loan Inputs'!$B$8)),'Loan Inputs'!$B$8+A199*IF('Loan Inputs'!$B$14=26,14,7)))</f>
        <v>52201</v>
      </c>
      <c r="C199" s="2">
        <f t="shared" si="8"/>
        <v>450206.73019906797</v>
      </c>
      <c r="D199" s="2">
        <f>IF(A199="","",MIN('Loan Inputs'!$B$17,C199+E199)+H199)</f>
        <v>4061.5333678073534</v>
      </c>
      <c r="E199" s="2">
        <f>IF(A199="","",C199*'Loan Inputs'!$B$15)</f>
        <v>2397.350838310037</v>
      </c>
      <c r="F199" s="2">
        <f t="shared" ref="F199:F262" si="9">IF(A199="","",MIN(C199,D199-E199))</f>
        <v>1664.1825294973164</v>
      </c>
      <c r="G199" s="2">
        <f t="shared" ref="G199:G262" si="10">IF(A199="","",IF(C199-F199&lt;0.01,0,MAX(0,C199-F199)))</f>
        <v>448542.54766957066</v>
      </c>
      <c r="H199" s="2">
        <f>IF(A199="","",MIN(0,MAX(0,C199+E199-'Loan Inputs'!$B$17)))</f>
        <v>0</v>
      </c>
    </row>
    <row r="200" spans="1:8" ht="22" customHeight="1">
      <c r="A200" s="1">
        <f>IF(AND('Loan Inputs'!$B$12,194&lt;=IF('Loan Inputs'!$B$12,'Loan Inputs'!$B$7,0)*'Loan Inputs'!$B$14+0,ISNUMBER(G199),G199&gt;0),194,"")</f>
        <v>194</v>
      </c>
      <c r="B200" s="4">
        <f>IF(A200="","",IF('Loan Inputs'!$B$14=12,DATE(YEAR('Loan Inputs'!$B$8),MONTH('Loan Inputs'!$B$8)+A200,DAY('Loan Inputs'!$B$8)),'Loan Inputs'!$B$8+A200*IF('Loan Inputs'!$B$14=26,14,7)))</f>
        <v>52232</v>
      </c>
      <c r="C200" s="2">
        <f t="shared" ref="C200:C263" si="11">IF(A200="","",G199)</f>
        <v>448542.54766957066</v>
      </c>
      <c r="D200" s="2">
        <f>IF(A200="","",MIN('Loan Inputs'!$B$17,C200+E200)+H200)</f>
        <v>4061.5333678073534</v>
      </c>
      <c r="E200" s="2">
        <f>IF(A200="","",C200*'Loan Inputs'!$B$15)</f>
        <v>2388.4890663404635</v>
      </c>
      <c r="F200" s="2">
        <f t="shared" si="9"/>
        <v>1673.0443014668899</v>
      </c>
      <c r="G200" s="2">
        <f t="shared" si="10"/>
        <v>446869.50336810376</v>
      </c>
      <c r="H200" s="2">
        <f>IF(A200="","",MIN(0,MAX(0,C200+E200-'Loan Inputs'!$B$17)))</f>
        <v>0</v>
      </c>
    </row>
    <row r="201" spans="1:8" ht="22" customHeight="1">
      <c r="A201" s="1">
        <f>IF(AND('Loan Inputs'!$B$12,195&lt;=IF('Loan Inputs'!$B$12,'Loan Inputs'!$B$7,0)*'Loan Inputs'!$B$14+0,ISNUMBER(G200),G200&gt;0),195,"")</f>
        <v>195</v>
      </c>
      <c r="B201" s="4">
        <f>IF(A201="","",IF('Loan Inputs'!$B$14=12,DATE(YEAR('Loan Inputs'!$B$8),MONTH('Loan Inputs'!$B$8)+A201,DAY('Loan Inputs'!$B$8)),'Loan Inputs'!$B$8+A201*IF('Loan Inputs'!$B$14=26,14,7)))</f>
        <v>52263</v>
      </c>
      <c r="C201" s="2">
        <f t="shared" si="11"/>
        <v>446869.50336810376</v>
      </c>
      <c r="D201" s="2">
        <f>IF(A201="","",MIN('Loan Inputs'!$B$17,C201+E201)+H201)</f>
        <v>4061.5333678073534</v>
      </c>
      <c r="E201" s="2">
        <f>IF(A201="","",C201*'Loan Inputs'!$B$15)</f>
        <v>2379.5801054351523</v>
      </c>
      <c r="F201" s="2">
        <f t="shared" si="9"/>
        <v>1681.9532623722012</v>
      </c>
      <c r="G201" s="2">
        <f t="shared" si="10"/>
        <v>445187.55010573159</v>
      </c>
      <c r="H201" s="2">
        <f>IF(A201="","",MIN(0,MAX(0,C201+E201-'Loan Inputs'!$B$17)))</f>
        <v>0</v>
      </c>
    </row>
    <row r="202" spans="1:8" ht="22" customHeight="1">
      <c r="A202" s="1">
        <f>IF(AND('Loan Inputs'!$B$12,196&lt;=IF('Loan Inputs'!$B$12,'Loan Inputs'!$B$7,0)*'Loan Inputs'!$B$14+0,ISNUMBER(G201),G201&gt;0),196,"")</f>
        <v>196</v>
      </c>
      <c r="B202" s="4">
        <f>IF(A202="","",IF('Loan Inputs'!$B$14=12,DATE(YEAR('Loan Inputs'!$B$8),MONTH('Loan Inputs'!$B$8)+A202,DAY('Loan Inputs'!$B$8)),'Loan Inputs'!$B$8+A202*IF('Loan Inputs'!$B$14=26,14,7)))</f>
        <v>52291</v>
      </c>
      <c r="C202" s="2">
        <f t="shared" si="11"/>
        <v>445187.55010573159</v>
      </c>
      <c r="D202" s="2">
        <f>IF(A202="","",MIN('Loan Inputs'!$B$17,C202+E202)+H202)</f>
        <v>4061.5333678073534</v>
      </c>
      <c r="E202" s="2">
        <f>IF(A202="","",C202*'Loan Inputs'!$B$15)</f>
        <v>2370.6237043130204</v>
      </c>
      <c r="F202" s="2">
        <f t="shared" si="9"/>
        <v>1690.909663494333</v>
      </c>
      <c r="G202" s="2">
        <f t="shared" si="10"/>
        <v>443496.64044223726</v>
      </c>
      <c r="H202" s="2">
        <f>IF(A202="","",MIN(0,MAX(0,C202+E202-'Loan Inputs'!$B$17)))</f>
        <v>0</v>
      </c>
    </row>
    <row r="203" spans="1:8" ht="22" customHeight="1">
      <c r="A203" s="1">
        <f>IF(AND('Loan Inputs'!$B$12,197&lt;=IF('Loan Inputs'!$B$12,'Loan Inputs'!$B$7,0)*'Loan Inputs'!$B$14+0,ISNUMBER(G202),G202&gt;0),197,"")</f>
        <v>197</v>
      </c>
      <c r="B203" s="4">
        <f>IF(A203="","",IF('Loan Inputs'!$B$14=12,DATE(YEAR('Loan Inputs'!$B$8),MONTH('Loan Inputs'!$B$8)+A203,DAY('Loan Inputs'!$B$8)),'Loan Inputs'!$B$8+A203*IF('Loan Inputs'!$B$14=26,14,7)))</f>
        <v>52322</v>
      </c>
      <c r="C203" s="2">
        <f t="shared" si="11"/>
        <v>443496.64044223726</v>
      </c>
      <c r="D203" s="2">
        <f>IF(A203="","",MIN('Loan Inputs'!$B$17,C203+E203)+H203)</f>
        <v>4061.5333678073534</v>
      </c>
      <c r="E203" s="2">
        <f>IF(A203="","",C203*'Loan Inputs'!$B$15)</f>
        <v>2361.6196103549132</v>
      </c>
      <c r="F203" s="2">
        <f t="shared" si="9"/>
        <v>1699.9137574524402</v>
      </c>
      <c r="G203" s="2">
        <f t="shared" si="10"/>
        <v>441796.72668478481</v>
      </c>
      <c r="H203" s="2">
        <f>IF(A203="","",MIN(0,MAX(0,C203+E203-'Loan Inputs'!$B$17)))</f>
        <v>0</v>
      </c>
    </row>
    <row r="204" spans="1:8" ht="22" customHeight="1">
      <c r="A204" s="1">
        <f>IF(AND('Loan Inputs'!$B$12,198&lt;=IF('Loan Inputs'!$B$12,'Loan Inputs'!$B$7,0)*'Loan Inputs'!$B$14+0,ISNUMBER(G203),G203&gt;0),198,"")</f>
        <v>198</v>
      </c>
      <c r="B204" s="4">
        <f>IF(A204="","",IF('Loan Inputs'!$B$14=12,DATE(YEAR('Loan Inputs'!$B$8),MONTH('Loan Inputs'!$B$8)+A204,DAY('Loan Inputs'!$B$8)),'Loan Inputs'!$B$8+A204*IF('Loan Inputs'!$B$14=26,14,7)))</f>
        <v>52352</v>
      </c>
      <c r="C204" s="2">
        <f t="shared" si="11"/>
        <v>441796.72668478481</v>
      </c>
      <c r="D204" s="2">
        <f>IF(A204="","",MIN('Loan Inputs'!$B$17,C204+E204)+H204)</f>
        <v>4061.5333678073534</v>
      </c>
      <c r="E204" s="2">
        <f>IF(A204="","",C204*'Loan Inputs'!$B$15)</f>
        <v>2352.5675695964792</v>
      </c>
      <c r="F204" s="2">
        <f t="shared" si="9"/>
        <v>1708.9657982108743</v>
      </c>
      <c r="G204" s="2">
        <f t="shared" si="10"/>
        <v>440087.76088657393</v>
      </c>
      <c r="H204" s="2">
        <f>IF(A204="","",MIN(0,MAX(0,C204+E204-'Loan Inputs'!$B$17)))</f>
        <v>0</v>
      </c>
    </row>
    <row r="205" spans="1:8" ht="22" customHeight="1">
      <c r="A205" s="1">
        <f>IF(AND('Loan Inputs'!$B$12,199&lt;=IF('Loan Inputs'!$B$12,'Loan Inputs'!$B$7,0)*'Loan Inputs'!$B$14+0,ISNUMBER(G204),G204&gt;0),199,"")</f>
        <v>199</v>
      </c>
      <c r="B205" s="4">
        <f>IF(A205="","",IF('Loan Inputs'!$B$14=12,DATE(YEAR('Loan Inputs'!$B$8),MONTH('Loan Inputs'!$B$8)+A205,DAY('Loan Inputs'!$B$8)),'Loan Inputs'!$B$8+A205*IF('Loan Inputs'!$B$14=26,14,7)))</f>
        <v>52383</v>
      </c>
      <c r="C205" s="2">
        <f t="shared" si="11"/>
        <v>440087.76088657393</v>
      </c>
      <c r="D205" s="2">
        <f>IF(A205="","",MIN('Loan Inputs'!$B$17,C205+E205)+H205)</f>
        <v>4061.5333678073534</v>
      </c>
      <c r="E205" s="2">
        <f>IF(A205="","",C205*'Loan Inputs'!$B$15)</f>
        <v>2343.467326721006</v>
      </c>
      <c r="F205" s="2">
        <f t="shared" si="9"/>
        <v>1718.0660410863475</v>
      </c>
      <c r="G205" s="2">
        <f t="shared" si="10"/>
        <v>438369.6948454876</v>
      </c>
      <c r="H205" s="2">
        <f>IF(A205="","",MIN(0,MAX(0,C205+E205-'Loan Inputs'!$B$17)))</f>
        <v>0</v>
      </c>
    </row>
    <row r="206" spans="1:8" ht="22" customHeight="1">
      <c r="A206" s="1">
        <f>IF(AND('Loan Inputs'!$B$12,200&lt;=IF('Loan Inputs'!$B$12,'Loan Inputs'!$B$7,0)*'Loan Inputs'!$B$14+0,ISNUMBER(G205),G205&gt;0),200,"")</f>
        <v>200</v>
      </c>
      <c r="B206" s="4">
        <f>IF(A206="","",IF('Loan Inputs'!$B$14=12,DATE(YEAR('Loan Inputs'!$B$8),MONTH('Loan Inputs'!$B$8)+A206,DAY('Loan Inputs'!$B$8)),'Loan Inputs'!$B$8+A206*IF('Loan Inputs'!$B$14=26,14,7)))</f>
        <v>52413</v>
      </c>
      <c r="C206" s="2">
        <f t="shared" si="11"/>
        <v>438369.6948454876</v>
      </c>
      <c r="D206" s="2">
        <f>IF(A206="","",MIN('Loan Inputs'!$B$17,C206+E206)+H206)</f>
        <v>4061.5333678073534</v>
      </c>
      <c r="E206" s="2">
        <f>IF(A206="","",C206*'Loan Inputs'!$B$15)</f>
        <v>2334.3186250522213</v>
      </c>
      <c r="F206" s="2">
        <f t="shared" si="9"/>
        <v>1727.2147427551322</v>
      </c>
      <c r="G206" s="2">
        <f t="shared" si="10"/>
        <v>436642.48010273249</v>
      </c>
      <c r="H206" s="2">
        <f>IF(A206="","",MIN(0,MAX(0,C206+E206-'Loan Inputs'!$B$17)))</f>
        <v>0</v>
      </c>
    </row>
    <row r="207" spans="1:8" ht="22" customHeight="1">
      <c r="A207" s="1">
        <f>IF(AND('Loan Inputs'!$B$12,201&lt;=IF('Loan Inputs'!$B$12,'Loan Inputs'!$B$7,0)*'Loan Inputs'!$B$14+0,ISNUMBER(G206),G206&gt;0),201,"")</f>
        <v>201</v>
      </c>
      <c r="B207" s="4">
        <f>IF(A207="","",IF('Loan Inputs'!$B$14=12,DATE(YEAR('Loan Inputs'!$B$8),MONTH('Loan Inputs'!$B$8)+A207,DAY('Loan Inputs'!$B$8)),'Loan Inputs'!$B$8+A207*IF('Loan Inputs'!$B$14=26,14,7)))</f>
        <v>52444</v>
      </c>
      <c r="C207" s="2">
        <f t="shared" si="11"/>
        <v>436642.48010273249</v>
      </c>
      <c r="D207" s="2">
        <f>IF(A207="","",MIN('Loan Inputs'!$B$17,C207+E207)+H207)</f>
        <v>4061.5333678073534</v>
      </c>
      <c r="E207" s="2">
        <f>IF(A207="","",C207*'Loan Inputs'!$B$15)</f>
        <v>2325.1212065470504</v>
      </c>
      <c r="F207" s="2">
        <f t="shared" si="9"/>
        <v>1736.412161260303</v>
      </c>
      <c r="G207" s="2">
        <f t="shared" si="10"/>
        <v>434906.06794147217</v>
      </c>
      <c r="H207" s="2">
        <f>IF(A207="","",MIN(0,MAX(0,C207+E207-'Loan Inputs'!$B$17)))</f>
        <v>0</v>
      </c>
    </row>
    <row r="208" spans="1:8" ht="22" customHeight="1">
      <c r="A208" s="1">
        <f>IF(AND('Loan Inputs'!$B$12,202&lt;=IF('Loan Inputs'!$B$12,'Loan Inputs'!$B$7,0)*'Loan Inputs'!$B$14+0,ISNUMBER(G207),G207&gt;0),202,"")</f>
        <v>202</v>
      </c>
      <c r="B208" s="4">
        <f>IF(A208="","",IF('Loan Inputs'!$B$14=12,DATE(YEAR('Loan Inputs'!$B$8),MONTH('Loan Inputs'!$B$8)+A208,DAY('Loan Inputs'!$B$8)),'Loan Inputs'!$B$8+A208*IF('Loan Inputs'!$B$14=26,14,7)))</f>
        <v>52475</v>
      </c>
      <c r="C208" s="2">
        <f t="shared" si="11"/>
        <v>434906.06794147217</v>
      </c>
      <c r="D208" s="2">
        <f>IF(A208="","",MIN('Loan Inputs'!$B$17,C208+E208)+H208)</f>
        <v>4061.5333678073534</v>
      </c>
      <c r="E208" s="2">
        <f>IF(A208="","",C208*'Loan Inputs'!$B$15)</f>
        <v>2315.8748117883392</v>
      </c>
      <c r="F208" s="2">
        <f t="shared" si="9"/>
        <v>1745.6585560190142</v>
      </c>
      <c r="G208" s="2">
        <f t="shared" si="10"/>
        <v>433160.40938545315</v>
      </c>
      <c r="H208" s="2">
        <f>IF(A208="","",MIN(0,MAX(0,C208+E208-'Loan Inputs'!$B$17)))</f>
        <v>0</v>
      </c>
    </row>
    <row r="209" spans="1:8" ht="22" customHeight="1">
      <c r="A209" s="1">
        <f>IF(AND('Loan Inputs'!$B$12,203&lt;=IF('Loan Inputs'!$B$12,'Loan Inputs'!$B$7,0)*'Loan Inputs'!$B$14+0,ISNUMBER(G208),G208&gt;0),203,"")</f>
        <v>203</v>
      </c>
      <c r="B209" s="4">
        <f>IF(A209="","",IF('Loan Inputs'!$B$14=12,DATE(YEAR('Loan Inputs'!$B$8),MONTH('Loan Inputs'!$B$8)+A209,DAY('Loan Inputs'!$B$8)),'Loan Inputs'!$B$8+A209*IF('Loan Inputs'!$B$14=26,14,7)))</f>
        <v>52505</v>
      </c>
      <c r="C209" s="2">
        <f t="shared" si="11"/>
        <v>433160.40938545315</v>
      </c>
      <c r="D209" s="2">
        <f>IF(A209="","",MIN('Loan Inputs'!$B$17,C209+E209)+H209)</f>
        <v>4061.5333678073534</v>
      </c>
      <c r="E209" s="2">
        <f>IF(A209="","",C209*'Loan Inputs'!$B$15)</f>
        <v>2306.5791799775379</v>
      </c>
      <c r="F209" s="2">
        <f t="shared" si="9"/>
        <v>1754.9541878298155</v>
      </c>
      <c r="G209" s="2">
        <f t="shared" si="10"/>
        <v>431405.45519762335</v>
      </c>
      <c r="H209" s="2">
        <f>IF(A209="","",MIN(0,MAX(0,C209+E209-'Loan Inputs'!$B$17)))</f>
        <v>0</v>
      </c>
    </row>
    <row r="210" spans="1:8" ht="22" customHeight="1">
      <c r="A210" s="1">
        <f>IF(AND('Loan Inputs'!$B$12,204&lt;=IF('Loan Inputs'!$B$12,'Loan Inputs'!$B$7,0)*'Loan Inputs'!$B$14+0,ISNUMBER(G209),G209&gt;0),204,"")</f>
        <v>204</v>
      </c>
      <c r="B210" s="4">
        <f>IF(A210="","",IF('Loan Inputs'!$B$14=12,DATE(YEAR('Loan Inputs'!$B$8),MONTH('Loan Inputs'!$B$8)+A210,DAY('Loan Inputs'!$B$8)),'Loan Inputs'!$B$8+A210*IF('Loan Inputs'!$B$14=26,14,7)))</f>
        <v>52536</v>
      </c>
      <c r="C210" s="2">
        <f t="shared" si="11"/>
        <v>431405.45519762335</v>
      </c>
      <c r="D210" s="2">
        <f>IF(A210="","",MIN('Loan Inputs'!$B$17,C210+E210)+H210)</f>
        <v>4061.5333678073534</v>
      </c>
      <c r="E210" s="2">
        <f>IF(A210="","",C210*'Loan Inputs'!$B$15)</f>
        <v>2297.2340489273442</v>
      </c>
      <c r="F210" s="2">
        <f t="shared" si="9"/>
        <v>1764.2993188800092</v>
      </c>
      <c r="G210" s="2">
        <f t="shared" si="10"/>
        <v>429641.15587874333</v>
      </c>
      <c r="H210" s="2">
        <f>IF(A210="","",MIN(0,MAX(0,C210+E210-'Loan Inputs'!$B$17)))</f>
        <v>0</v>
      </c>
    </row>
    <row r="211" spans="1:8" ht="22" customHeight="1">
      <c r="A211" s="1">
        <f>IF(AND('Loan Inputs'!$B$12,205&lt;=IF('Loan Inputs'!$B$12,'Loan Inputs'!$B$7,0)*'Loan Inputs'!$B$14+0,ISNUMBER(G210),G210&gt;0),205,"")</f>
        <v>205</v>
      </c>
      <c r="B211" s="4">
        <f>IF(A211="","",IF('Loan Inputs'!$B$14=12,DATE(YEAR('Loan Inputs'!$B$8),MONTH('Loan Inputs'!$B$8)+A211,DAY('Loan Inputs'!$B$8)),'Loan Inputs'!$B$8+A211*IF('Loan Inputs'!$B$14=26,14,7)))</f>
        <v>52566</v>
      </c>
      <c r="C211" s="2">
        <f t="shared" si="11"/>
        <v>429641.15587874333</v>
      </c>
      <c r="D211" s="2">
        <f>IF(A211="","",MIN('Loan Inputs'!$B$17,C211+E211)+H211)</f>
        <v>4061.5333678073534</v>
      </c>
      <c r="E211" s="2">
        <f>IF(A211="","",C211*'Loan Inputs'!$B$15)</f>
        <v>2287.8391550543083</v>
      </c>
      <c r="F211" s="2">
        <f t="shared" si="9"/>
        <v>1773.6942127530451</v>
      </c>
      <c r="G211" s="2">
        <f t="shared" si="10"/>
        <v>427867.4616659903</v>
      </c>
      <c r="H211" s="2">
        <f>IF(A211="","",MIN(0,MAX(0,C211+E211-'Loan Inputs'!$B$17)))</f>
        <v>0</v>
      </c>
    </row>
    <row r="212" spans="1:8" ht="22" customHeight="1">
      <c r="A212" s="1">
        <f>IF(AND('Loan Inputs'!$B$12,206&lt;=IF('Loan Inputs'!$B$12,'Loan Inputs'!$B$7,0)*'Loan Inputs'!$B$14+0,ISNUMBER(G211),G211&gt;0),206,"")</f>
        <v>206</v>
      </c>
      <c r="B212" s="4">
        <f>IF(A212="","",IF('Loan Inputs'!$B$14=12,DATE(YEAR('Loan Inputs'!$B$8),MONTH('Loan Inputs'!$B$8)+A212,DAY('Loan Inputs'!$B$8)),'Loan Inputs'!$B$8+A212*IF('Loan Inputs'!$B$14=26,14,7)))</f>
        <v>52597</v>
      </c>
      <c r="C212" s="2">
        <f t="shared" si="11"/>
        <v>427867.4616659903</v>
      </c>
      <c r="D212" s="2">
        <f>IF(A212="","",MIN('Loan Inputs'!$B$17,C212+E212)+H212)</f>
        <v>4061.5333678073534</v>
      </c>
      <c r="E212" s="2">
        <f>IF(A212="","",C212*'Loan Inputs'!$B$15)</f>
        <v>2278.3942333713981</v>
      </c>
      <c r="F212" s="2">
        <f t="shared" si="9"/>
        <v>1783.1391344359554</v>
      </c>
      <c r="G212" s="2">
        <f t="shared" si="10"/>
        <v>426084.32253155432</v>
      </c>
      <c r="H212" s="2">
        <f>IF(A212="","",MIN(0,MAX(0,C212+E212-'Loan Inputs'!$B$17)))</f>
        <v>0</v>
      </c>
    </row>
    <row r="213" spans="1:8" ht="22" customHeight="1">
      <c r="A213" s="1">
        <f>IF(AND('Loan Inputs'!$B$12,207&lt;=IF('Loan Inputs'!$B$12,'Loan Inputs'!$B$7,0)*'Loan Inputs'!$B$14+0,ISNUMBER(G212),G212&gt;0),207,"")</f>
        <v>207</v>
      </c>
      <c r="B213" s="4">
        <f>IF(A213="","",IF('Loan Inputs'!$B$14=12,DATE(YEAR('Loan Inputs'!$B$8),MONTH('Loan Inputs'!$B$8)+A213,DAY('Loan Inputs'!$B$8)),'Loan Inputs'!$B$8+A213*IF('Loan Inputs'!$B$14=26,14,7)))</f>
        <v>52628</v>
      </c>
      <c r="C213" s="2">
        <f t="shared" si="11"/>
        <v>426084.32253155432</v>
      </c>
      <c r="D213" s="2">
        <f>IF(A213="","",MIN('Loan Inputs'!$B$17,C213+E213)+H213)</f>
        <v>4061.5333678073534</v>
      </c>
      <c r="E213" s="2">
        <f>IF(A213="","",C213*'Loan Inputs'!$B$15)</f>
        <v>2268.8990174805267</v>
      </c>
      <c r="F213" s="2">
        <f t="shared" si="9"/>
        <v>1792.6343503268267</v>
      </c>
      <c r="G213" s="2">
        <f t="shared" si="10"/>
        <v>424291.68818122748</v>
      </c>
      <c r="H213" s="2">
        <f>IF(A213="","",MIN(0,MAX(0,C213+E213-'Loan Inputs'!$B$17)))</f>
        <v>0</v>
      </c>
    </row>
    <row r="214" spans="1:8" ht="22" customHeight="1">
      <c r="A214" s="1">
        <f>IF(AND('Loan Inputs'!$B$12,208&lt;=IF('Loan Inputs'!$B$12,'Loan Inputs'!$B$7,0)*'Loan Inputs'!$B$14+0,ISNUMBER(G213),G213&gt;0),208,"")</f>
        <v>208</v>
      </c>
      <c r="B214" s="4">
        <f>IF(A214="","",IF('Loan Inputs'!$B$14=12,DATE(YEAR('Loan Inputs'!$B$8),MONTH('Loan Inputs'!$B$8)+A214,DAY('Loan Inputs'!$B$8)),'Loan Inputs'!$B$8+A214*IF('Loan Inputs'!$B$14=26,14,7)))</f>
        <v>52657</v>
      </c>
      <c r="C214" s="2">
        <f t="shared" si="11"/>
        <v>424291.68818122748</v>
      </c>
      <c r="D214" s="2">
        <f>IF(A214="","",MIN('Loan Inputs'!$B$17,C214+E214)+H214)</f>
        <v>4061.5333678073534</v>
      </c>
      <c r="E214" s="2">
        <f>IF(A214="","",C214*'Loan Inputs'!$B$15)</f>
        <v>2259.3532395650363</v>
      </c>
      <c r="F214" s="2">
        <f t="shared" si="9"/>
        <v>1802.1801282423171</v>
      </c>
      <c r="G214" s="2">
        <f t="shared" si="10"/>
        <v>422489.50805298518</v>
      </c>
      <c r="H214" s="2">
        <f>IF(A214="","",MIN(0,MAX(0,C214+E214-'Loan Inputs'!$B$17)))</f>
        <v>0</v>
      </c>
    </row>
    <row r="215" spans="1:8" ht="22" customHeight="1">
      <c r="A215" s="1">
        <f>IF(AND('Loan Inputs'!$B$12,209&lt;=IF('Loan Inputs'!$B$12,'Loan Inputs'!$B$7,0)*'Loan Inputs'!$B$14+0,ISNUMBER(G214),G214&gt;0),209,"")</f>
        <v>209</v>
      </c>
      <c r="B215" s="4">
        <f>IF(A215="","",IF('Loan Inputs'!$B$14=12,DATE(YEAR('Loan Inputs'!$B$8),MONTH('Loan Inputs'!$B$8)+A215,DAY('Loan Inputs'!$B$8)),'Loan Inputs'!$B$8+A215*IF('Loan Inputs'!$B$14=26,14,7)))</f>
        <v>52688</v>
      </c>
      <c r="C215" s="2">
        <f t="shared" si="11"/>
        <v>422489.50805298518</v>
      </c>
      <c r="D215" s="2">
        <f>IF(A215="","",MIN('Loan Inputs'!$B$17,C215+E215)+H215)</f>
        <v>4061.5333678073534</v>
      </c>
      <c r="E215" s="2">
        <f>IF(A215="","",C215*'Loan Inputs'!$B$15)</f>
        <v>2249.7566303821459</v>
      </c>
      <c r="F215" s="2">
        <f t="shared" si="9"/>
        <v>1811.7767374252076</v>
      </c>
      <c r="G215" s="2">
        <f t="shared" si="10"/>
        <v>420677.73131556</v>
      </c>
      <c r="H215" s="2">
        <f>IF(A215="","",MIN(0,MAX(0,C215+E215-'Loan Inputs'!$B$17)))</f>
        <v>0</v>
      </c>
    </row>
    <row r="216" spans="1:8" ht="22" customHeight="1">
      <c r="A216" s="1">
        <f>IF(AND('Loan Inputs'!$B$12,210&lt;=IF('Loan Inputs'!$B$12,'Loan Inputs'!$B$7,0)*'Loan Inputs'!$B$14+0,ISNUMBER(G215),G215&gt;0),210,"")</f>
        <v>210</v>
      </c>
      <c r="B216" s="4">
        <f>IF(A216="","",IF('Loan Inputs'!$B$14=12,DATE(YEAR('Loan Inputs'!$B$8),MONTH('Loan Inputs'!$B$8)+A216,DAY('Loan Inputs'!$B$8)),'Loan Inputs'!$B$8+A216*IF('Loan Inputs'!$B$14=26,14,7)))</f>
        <v>52718</v>
      </c>
      <c r="C216" s="2">
        <f t="shared" si="11"/>
        <v>420677.73131556</v>
      </c>
      <c r="D216" s="2">
        <f>IF(A216="","",MIN('Loan Inputs'!$B$17,C216+E216)+H216)</f>
        <v>4061.5333678073534</v>
      </c>
      <c r="E216" s="2">
        <f>IF(A216="","",C216*'Loan Inputs'!$B$15)</f>
        <v>2240.1089192553568</v>
      </c>
      <c r="F216" s="2">
        <f t="shared" si="9"/>
        <v>1821.4244485519966</v>
      </c>
      <c r="G216" s="2">
        <f t="shared" si="10"/>
        <v>418856.30686700798</v>
      </c>
      <c r="H216" s="2">
        <f>IF(A216="","",MIN(0,MAX(0,C216+E216-'Loan Inputs'!$B$17)))</f>
        <v>0</v>
      </c>
    </row>
    <row r="217" spans="1:8" ht="22" customHeight="1">
      <c r="A217" s="1">
        <f>IF(AND('Loan Inputs'!$B$12,211&lt;=IF('Loan Inputs'!$B$12,'Loan Inputs'!$B$7,0)*'Loan Inputs'!$B$14+0,ISNUMBER(G216),G216&gt;0),211,"")</f>
        <v>211</v>
      </c>
      <c r="B217" s="4">
        <f>IF(A217="","",IF('Loan Inputs'!$B$14=12,DATE(YEAR('Loan Inputs'!$B$8),MONTH('Loan Inputs'!$B$8)+A217,DAY('Loan Inputs'!$B$8)),'Loan Inputs'!$B$8+A217*IF('Loan Inputs'!$B$14=26,14,7)))</f>
        <v>52749</v>
      </c>
      <c r="C217" s="2">
        <f t="shared" si="11"/>
        <v>418856.30686700798</v>
      </c>
      <c r="D217" s="2">
        <f>IF(A217="","",MIN('Loan Inputs'!$B$17,C217+E217)+H217)</f>
        <v>4061.5333678073534</v>
      </c>
      <c r="E217" s="2">
        <f>IF(A217="","",C217*'Loan Inputs'!$B$15)</f>
        <v>2230.4098340668174</v>
      </c>
      <c r="F217" s="2">
        <f t="shared" si="9"/>
        <v>1831.123533740536</v>
      </c>
      <c r="G217" s="2">
        <f t="shared" si="10"/>
        <v>417025.18333326746</v>
      </c>
      <c r="H217" s="2">
        <f>IF(A217="","",MIN(0,MAX(0,C217+E217-'Loan Inputs'!$B$17)))</f>
        <v>0</v>
      </c>
    </row>
    <row r="218" spans="1:8" ht="22" customHeight="1">
      <c r="A218" s="1">
        <f>IF(AND('Loan Inputs'!$B$12,212&lt;=IF('Loan Inputs'!$B$12,'Loan Inputs'!$B$7,0)*'Loan Inputs'!$B$14+0,ISNUMBER(G217),G217&gt;0),212,"")</f>
        <v>212</v>
      </c>
      <c r="B218" s="4">
        <f>IF(A218="","",IF('Loan Inputs'!$B$14=12,DATE(YEAR('Loan Inputs'!$B$8),MONTH('Loan Inputs'!$B$8)+A218,DAY('Loan Inputs'!$B$8)),'Loan Inputs'!$B$8+A218*IF('Loan Inputs'!$B$14=26,14,7)))</f>
        <v>52779</v>
      </c>
      <c r="C218" s="2">
        <f t="shared" si="11"/>
        <v>417025.18333326746</v>
      </c>
      <c r="D218" s="2">
        <f>IF(A218="","",MIN('Loan Inputs'!$B$17,C218+E218)+H218)</f>
        <v>4061.5333678073534</v>
      </c>
      <c r="E218" s="2">
        <f>IF(A218="","",C218*'Loan Inputs'!$B$15)</f>
        <v>2220.6591012496492</v>
      </c>
      <c r="F218" s="2">
        <f t="shared" si="9"/>
        <v>1840.8742665577042</v>
      </c>
      <c r="G218" s="2">
        <f t="shared" si="10"/>
        <v>415184.30906670977</v>
      </c>
      <c r="H218" s="2">
        <f>IF(A218="","",MIN(0,MAX(0,C218+E218-'Loan Inputs'!$B$17)))</f>
        <v>0</v>
      </c>
    </row>
    <row r="219" spans="1:8" ht="22" customHeight="1">
      <c r="A219" s="1">
        <f>IF(AND('Loan Inputs'!$B$12,213&lt;=IF('Loan Inputs'!$B$12,'Loan Inputs'!$B$7,0)*'Loan Inputs'!$B$14+0,ISNUMBER(G218),G218&gt;0),213,"")</f>
        <v>213</v>
      </c>
      <c r="B219" s="4">
        <f>IF(A219="","",IF('Loan Inputs'!$B$14=12,DATE(YEAR('Loan Inputs'!$B$8),MONTH('Loan Inputs'!$B$8)+A219,DAY('Loan Inputs'!$B$8)),'Loan Inputs'!$B$8+A219*IF('Loan Inputs'!$B$14=26,14,7)))</f>
        <v>52810</v>
      </c>
      <c r="C219" s="2">
        <f t="shared" si="11"/>
        <v>415184.30906670977</v>
      </c>
      <c r="D219" s="2">
        <f>IF(A219="","",MIN('Loan Inputs'!$B$17,C219+E219)+H219)</f>
        <v>4061.5333678073534</v>
      </c>
      <c r="E219" s="2">
        <f>IF(A219="","",C219*'Loan Inputs'!$B$15)</f>
        <v>2210.8564457802295</v>
      </c>
      <c r="F219" s="2">
        <f t="shared" si="9"/>
        <v>1850.676922027124</v>
      </c>
      <c r="G219" s="2">
        <f t="shared" si="10"/>
        <v>413333.63214468263</v>
      </c>
      <c r="H219" s="2">
        <f>IF(A219="","",MIN(0,MAX(0,C219+E219-'Loan Inputs'!$B$17)))</f>
        <v>0</v>
      </c>
    </row>
    <row r="220" spans="1:8" ht="22" customHeight="1">
      <c r="A220" s="1">
        <f>IF(AND('Loan Inputs'!$B$12,214&lt;=IF('Loan Inputs'!$B$12,'Loan Inputs'!$B$7,0)*'Loan Inputs'!$B$14+0,ISNUMBER(G219),G219&gt;0),214,"")</f>
        <v>214</v>
      </c>
      <c r="B220" s="4">
        <f>IF(A220="","",IF('Loan Inputs'!$B$14=12,DATE(YEAR('Loan Inputs'!$B$8),MONTH('Loan Inputs'!$B$8)+A220,DAY('Loan Inputs'!$B$8)),'Loan Inputs'!$B$8+A220*IF('Loan Inputs'!$B$14=26,14,7)))</f>
        <v>52841</v>
      </c>
      <c r="C220" s="2">
        <f t="shared" si="11"/>
        <v>413333.63214468263</v>
      </c>
      <c r="D220" s="2">
        <f>IF(A220="","",MIN('Loan Inputs'!$B$17,C220+E220)+H220)</f>
        <v>4061.5333678073534</v>
      </c>
      <c r="E220" s="2">
        <f>IF(A220="","",C220*'Loan Inputs'!$B$15)</f>
        <v>2201.0015911704349</v>
      </c>
      <c r="F220" s="2">
        <f t="shared" si="9"/>
        <v>1860.5317766369185</v>
      </c>
      <c r="G220" s="2">
        <f t="shared" si="10"/>
        <v>411473.10036804574</v>
      </c>
      <c r="H220" s="2">
        <f>IF(A220="","",MIN(0,MAX(0,C220+E220-'Loan Inputs'!$B$17)))</f>
        <v>0</v>
      </c>
    </row>
    <row r="221" spans="1:8" ht="22" customHeight="1">
      <c r="A221" s="1">
        <f>IF(AND('Loan Inputs'!$B$12,215&lt;=IF('Loan Inputs'!$B$12,'Loan Inputs'!$B$7,0)*'Loan Inputs'!$B$14+0,ISNUMBER(G220),G220&gt;0),215,"")</f>
        <v>215</v>
      </c>
      <c r="B221" s="4">
        <f>IF(A221="","",IF('Loan Inputs'!$B$14=12,DATE(YEAR('Loan Inputs'!$B$8),MONTH('Loan Inputs'!$B$8)+A221,DAY('Loan Inputs'!$B$8)),'Loan Inputs'!$B$8+A221*IF('Loan Inputs'!$B$14=26,14,7)))</f>
        <v>52871</v>
      </c>
      <c r="C221" s="2">
        <f t="shared" si="11"/>
        <v>411473.10036804574</v>
      </c>
      <c r="D221" s="2">
        <f>IF(A221="","",MIN('Loan Inputs'!$B$17,C221+E221)+H221)</f>
        <v>4061.5333678073534</v>
      </c>
      <c r="E221" s="2">
        <f>IF(A221="","",C221*'Loan Inputs'!$B$15)</f>
        <v>2191.0942594598437</v>
      </c>
      <c r="F221" s="2">
        <f t="shared" si="9"/>
        <v>1870.4391083475098</v>
      </c>
      <c r="G221" s="2">
        <f t="shared" si="10"/>
        <v>409602.66125969822</v>
      </c>
      <c r="H221" s="2">
        <f>IF(A221="","",MIN(0,MAX(0,C221+E221-'Loan Inputs'!$B$17)))</f>
        <v>0</v>
      </c>
    </row>
    <row r="222" spans="1:8" ht="22" customHeight="1">
      <c r="A222" s="1">
        <f>IF(AND('Loan Inputs'!$B$12,216&lt;=IF('Loan Inputs'!$B$12,'Loan Inputs'!$B$7,0)*'Loan Inputs'!$B$14+0,ISNUMBER(G221),G221&gt;0),216,"")</f>
        <v>216</v>
      </c>
      <c r="B222" s="4">
        <f>IF(A222="","",IF('Loan Inputs'!$B$14=12,DATE(YEAR('Loan Inputs'!$B$8),MONTH('Loan Inputs'!$B$8)+A222,DAY('Loan Inputs'!$B$8)),'Loan Inputs'!$B$8+A222*IF('Loan Inputs'!$B$14=26,14,7)))</f>
        <v>52902</v>
      </c>
      <c r="C222" s="2">
        <f t="shared" si="11"/>
        <v>409602.66125969822</v>
      </c>
      <c r="D222" s="2">
        <f>IF(A222="","",MIN('Loan Inputs'!$B$17,C222+E222)+H222)</f>
        <v>4061.5333678073534</v>
      </c>
      <c r="E222" s="2">
        <f>IF(A222="","",C222*'Loan Inputs'!$B$15)</f>
        <v>2181.1341712078929</v>
      </c>
      <c r="F222" s="2">
        <f t="shared" si="9"/>
        <v>1880.3991965994605</v>
      </c>
      <c r="G222" s="2">
        <f t="shared" si="10"/>
        <v>407722.26206309878</v>
      </c>
      <c r="H222" s="2">
        <f>IF(A222="","",MIN(0,MAX(0,C222+E222-'Loan Inputs'!$B$17)))</f>
        <v>0</v>
      </c>
    </row>
    <row r="223" spans="1:8" ht="22" customHeight="1">
      <c r="A223" s="1">
        <f>IF(AND('Loan Inputs'!$B$12,217&lt;=IF('Loan Inputs'!$B$12,'Loan Inputs'!$B$7,0)*'Loan Inputs'!$B$14+0,ISNUMBER(G222),G222&gt;0),217,"")</f>
        <v>217</v>
      </c>
      <c r="B223" s="4">
        <f>IF(A223="","",IF('Loan Inputs'!$B$14=12,DATE(YEAR('Loan Inputs'!$B$8),MONTH('Loan Inputs'!$B$8)+A223,DAY('Loan Inputs'!$B$8)),'Loan Inputs'!$B$8+A223*IF('Loan Inputs'!$B$14=26,14,7)))</f>
        <v>52932</v>
      </c>
      <c r="C223" s="2">
        <f t="shared" si="11"/>
        <v>407722.26206309878</v>
      </c>
      <c r="D223" s="2">
        <f>IF(A223="","",MIN('Loan Inputs'!$B$17,C223+E223)+H223)</f>
        <v>4061.5333678073534</v>
      </c>
      <c r="E223" s="2">
        <f>IF(A223="","",C223*'Loan Inputs'!$B$15)</f>
        <v>2171.1210454860011</v>
      </c>
      <c r="F223" s="2">
        <f t="shared" si="9"/>
        <v>1890.4123223213523</v>
      </c>
      <c r="G223" s="2">
        <f t="shared" si="10"/>
        <v>405831.84974077746</v>
      </c>
      <c r="H223" s="2">
        <f>IF(A223="","",MIN(0,MAX(0,C223+E223-'Loan Inputs'!$B$17)))</f>
        <v>0</v>
      </c>
    </row>
    <row r="224" spans="1:8" ht="22" customHeight="1">
      <c r="A224" s="1">
        <f>IF(AND('Loan Inputs'!$B$12,218&lt;=IF('Loan Inputs'!$B$12,'Loan Inputs'!$B$7,0)*'Loan Inputs'!$B$14+0,ISNUMBER(G223),G223&gt;0),218,"")</f>
        <v>218</v>
      </c>
      <c r="B224" s="4">
        <f>IF(A224="","",IF('Loan Inputs'!$B$14=12,DATE(YEAR('Loan Inputs'!$B$8),MONTH('Loan Inputs'!$B$8)+A224,DAY('Loan Inputs'!$B$8)),'Loan Inputs'!$B$8+A224*IF('Loan Inputs'!$B$14=26,14,7)))</f>
        <v>52963</v>
      </c>
      <c r="C224" s="2">
        <f t="shared" si="11"/>
        <v>405831.84974077746</v>
      </c>
      <c r="D224" s="2">
        <f>IF(A224="","",MIN('Loan Inputs'!$B$17,C224+E224)+H224)</f>
        <v>4061.5333678073534</v>
      </c>
      <c r="E224" s="2">
        <f>IF(A224="","",C224*'Loan Inputs'!$B$15)</f>
        <v>2161.0545998696398</v>
      </c>
      <c r="F224" s="2">
        <f t="shared" si="9"/>
        <v>1900.4787679377137</v>
      </c>
      <c r="G224" s="2">
        <f t="shared" si="10"/>
        <v>403931.37097283977</v>
      </c>
      <c r="H224" s="2">
        <f>IF(A224="","",MIN(0,MAX(0,C224+E224-'Loan Inputs'!$B$17)))</f>
        <v>0</v>
      </c>
    </row>
    <row r="225" spans="1:8" ht="22" customHeight="1">
      <c r="A225" s="1">
        <f>IF(AND('Loan Inputs'!$B$12,219&lt;=IF('Loan Inputs'!$B$12,'Loan Inputs'!$B$7,0)*'Loan Inputs'!$B$14+0,ISNUMBER(G224),G224&gt;0),219,"")</f>
        <v>219</v>
      </c>
      <c r="B225" s="4">
        <f>IF(A225="","",IF('Loan Inputs'!$B$14=12,DATE(YEAR('Loan Inputs'!$B$8),MONTH('Loan Inputs'!$B$8)+A225,DAY('Loan Inputs'!$B$8)),'Loan Inputs'!$B$8+A225*IF('Loan Inputs'!$B$14=26,14,7)))</f>
        <v>52994</v>
      </c>
      <c r="C225" s="2">
        <f t="shared" si="11"/>
        <v>403931.37097283977</v>
      </c>
      <c r="D225" s="2">
        <f>IF(A225="","",MIN('Loan Inputs'!$B$17,C225+E225)+H225)</f>
        <v>4061.5333678073534</v>
      </c>
      <c r="E225" s="2">
        <f>IF(A225="","",C225*'Loan Inputs'!$B$15)</f>
        <v>2150.9345504303719</v>
      </c>
      <c r="F225" s="2">
        <f t="shared" si="9"/>
        <v>1910.5988173769815</v>
      </c>
      <c r="G225" s="2">
        <f t="shared" si="10"/>
        <v>402020.77215546276</v>
      </c>
      <c r="H225" s="2">
        <f>IF(A225="","",MIN(0,MAX(0,C225+E225-'Loan Inputs'!$B$17)))</f>
        <v>0</v>
      </c>
    </row>
    <row r="226" spans="1:8" ht="22" customHeight="1">
      <c r="A226" s="1">
        <f>IF(AND('Loan Inputs'!$B$12,220&lt;=IF('Loan Inputs'!$B$12,'Loan Inputs'!$B$7,0)*'Loan Inputs'!$B$14+0,ISNUMBER(G225),G225&gt;0),220,"")</f>
        <v>220</v>
      </c>
      <c r="B226" s="4">
        <f>IF(A226="","",IF('Loan Inputs'!$B$14=12,DATE(YEAR('Loan Inputs'!$B$8),MONTH('Loan Inputs'!$B$8)+A226,DAY('Loan Inputs'!$B$8)),'Loan Inputs'!$B$8+A226*IF('Loan Inputs'!$B$14=26,14,7)))</f>
        <v>53022</v>
      </c>
      <c r="C226" s="2">
        <f t="shared" si="11"/>
        <v>402020.77215546276</v>
      </c>
      <c r="D226" s="2">
        <f>IF(A226="","",MIN('Loan Inputs'!$B$17,C226+E226)+H226)</f>
        <v>4061.5333678073534</v>
      </c>
      <c r="E226" s="2">
        <f>IF(A226="","",C226*'Loan Inputs'!$B$15)</f>
        <v>2140.7606117278392</v>
      </c>
      <c r="F226" s="2">
        <f t="shared" si="9"/>
        <v>1920.7727560795142</v>
      </c>
      <c r="G226" s="2">
        <f t="shared" si="10"/>
        <v>400099.99939938326</v>
      </c>
      <c r="H226" s="2">
        <f>IF(A226="","",MIN(0,MAX(0,C226+E226-'Loan Inputs'!$B$17)))</f>
        <v>0</v>
      </c>
    </row>
    <row r="227" spans="1:8" ht="22" customHeight="1">
      <c r="A227" s="1">
        <f>IF(AND('Loan Inputs'!$B$12,221&lt;=IF('Loan Inputs'!$B$12,'Loan Inputs'!$B$7,0)*'Loan Inputs'!$B$14+0,ISNUMBER(G226),G226&gt;0),221,"")</f>
        <v>221</v>
      </c>
      <c r="B227" s="4">
        <f>IF(A227="","",IF('Loan Inputs'!$B$14=12,DATE(YEAR('Loan Inputs'!$B$8),MONTH('Loan Inputs'!$B$8)+A227,DAY('Loan Inputs'!$B$8)),'Loan Inputs'!$B$8+A227*IF('Loan Inputs'!$B$14=26,14,7)))</f>
        <v>53053</v>
      </c>
      <c r="C227" s="2">
        <f t="shared" si="11"/>
        <v>400099.99939938326</v>
      </c>
      <c r="D227" s="2">
        <f>IF(A227="","",MIN('Loan Inputs'!$B$17,C227+E227)+H227)</f>
        <v>4061.5333678073534</v>
      </c>
      <c r="E227" s="2">
        <f>IF(A227="","",C227*'Loan Inputs'!$B$15)</f>
        <v>2130.5324968017158</v>
      </c>
      <c r="F227" s="2">
        <f t="shared" si="9"/>
        <v>1931.0008710056377</v>
      </c>
      <c r="G227" s="2">
        <f t="shared" si="10"/>
        <v>398168.99852837762</v>
      </c>
      <c r="H227" s="2">
        <f>IF(A227="","",MIN(0,MAX(0,C227+E227-'Loan Inputs'!$B$17)))</f>
        <v>0</v>
      </c>
    </row>
    <row r="228" spans="1:8" ht="22" customHeight="1">
      <c r="A228" s="1">
        <f>IF(AND('Loan Inputs'!$B$12,222&lt;=IF('Loan Inputs'!$B$12,'Loan Inputs'!$B$7,0)*'Loan Inputs'!$B$14+0,ISNUMBER(G227),G227&gt;0),222,"")</f>
        <v>222</v>
      </c>
      <c r="B228" s="4">
        <f>IF(A228="","",IF('Loan Inputs'!$B$14=12,DATE(YEAR('Loan Inputs'!$B$8),MONTH('Loan Inputs'!$B$8)+A228,DAY('Loan Inputs'!$B$8)),'Loan Inputs'!$B$8+A228*IF('Loan Inputs'!$B$14=26,14,7)))</f>
        <v>53083</v>
      </c>
      <c r="C228" s="2">
        <f t="shared" si="11"/>
        <v>398168.99852837762</v>
      </c>
      <c r="D228" s="2">
        <f>IF(A228="","",MIN('Loan Inputs'!$B$17,C228+E228)+H228)</f>
        <v>4061.5333678073534</v>
      </c>
      <c r="E228" s="2">
        <f>IF(A228="","",C228*'Loan Inputs'!$B$15)</f>
        <v>2120.2499171636109</v>
      </c>
      <c r="F228" s="2">
        <f t="shared" si="9"/>
        <v>1941.2834506437425</v>
      </c>
      <c r="G228" s="2">
        <f t="shared" si="10"/>
        <v>396227.71507773385</v>
      </c>
      <c r="H228" s="2">
        <f>IF(A228="","",MIN(0,MAX(0,C228+E228-'Loan Inputs'!$B$17)))</f>
        <v>0</v>
      </c>
    </row>
    <row r="229" spans="1:8" ht="22" customHeight="1">
      <c r="A229" s="1">
        <f>IF(AND('Loan Inputs'!$B$12,223&lt;=IF('Loan Inputs'!$B$12,'Loan Inputs'!$B$7,0)*'Loan Inputs'!$B$14+0,ISNUMBER(G228),G228&gt;0),223,"")</f>
        <v>223</v>
      </c>
      <c r="B229" s="4">
        <f>IF(A229="","",IF('Loan Inputs'!$B$14=12,DATE(YEAR('Loan Inputs'!$B$8),MONTH('Loan Inputs'!$B$8)+A229,DAY('Loan Inputs'!$B$8)),'Loan Inputs'!$B$8+A229*IF('Loan Inputs'!$B$14=26,14,7)))</f>
        <v>53114</v>
      </c>
      <c r="C229" s="2">
        <f t="shared" si="11"/>
        <v>396227.71507773385</v>
      </c>
      <c r="D229" s="2">
        <f>IF(A229="","",MIN('Loan Inputs'!$B$17,C229+E229)+H229)</f>
        <v>4061.5333678073534</v>
      </c>
      <c r="E229" s="2">
        <f>IF(A229="","",C229*'Loan Inputs'!$B$15)</f>
        <v>2109.9125827889329</v>
      </c>
      <c r="F229" s="2">
        <f t="shared" si="9"/>
        <v>1951.6207850184205</v>
      </c>
      <c r="G229" s="2">
        <f t="shared" si="10"/>
        <v>394276.09429271542</v>
      </c>
      <c r="H229" s="2">
        <f>IF(A229="","",MIN(0,MAX(0,C229+E229-'Loan Inputs'!$B$17)))</f>
        <v>0</v>
      </c>
    </row>
    <row r="230" spans="1:8" ht="22" customHeight="1">
      <c r="A230" s="1">
        <f>IF(AND('Loan Inputs'!$B$12,224&lt;=IF('Loan Inputs'!$B$12,'Loan Inputs'!$B$7,0)*'Loan Inputs'!$B$14+0,ISNUMBER(G229),G229&gt;0),224,"")</f>
        <v>224</v>
      </c>
      <c r="B230" s="4">
        <f>IF(A230="","",IF('Loan Inputs'!$B$14=12,DATE(YEAR('Loan Inputs'!$B$8),MONTH('Loan Inputs'!$B$8)+A230,DAY('Loan Inputs'!$B$8)),'Loan Inputs'!$B$8+A230*IF('Loan Inputs'!$B$14=26,14,7)))</f>
        <v>53144</v>
      </c>
      <c r="C230" s="2">
        <f t="shared" si="11"/>
        <v>394276.09429271542</v>
      </c>
      <c r="D230" s="2">
        <f>IF(A230="","",MIN('Loan Inputs'!$B$17,C230+E230)+H230)</f>
        <v>4061.5333678073534</v>
      </c>
      <c r="E230" s="2">
        <f>IF(A230="","",C230*'Loan Inputs'!$B$15)</f>
        <v>2099.5202021087098</v>
      </c>
      <c r="F230" s="2">
        <f t="shared" si="9"/>
        <v>1962.0131656986437</v>
      </c>
      <c r="G230" s="2">
        <f t="shared" si="10"/>
        <v>392314.08112701681</v>
      </c>
      <c r="H230" s="2">
        <f>IF(A230="","",MIN(0,MAX(0,C230+E230-'Loan Inputs'!$B$17)))</f>
        <v>0</v>
      </c>
    </row>
    <row r="231" spans="1:8" ht="22" customHeight="1">
      <c r="A231" s="1">
        <f>IF(AND('Loan Inputs'!$B$12,225&lt;=IF('Loan Inputs'!$B$12,'Loan Inputs'!$B$7,0)*'Loan Inputs'!$B$14+0,ISNUMBER(G230),G230&gt;0),225,"")</f>
        <v>225</v>
      </c>
      <c r="B231" s="4">
        <f>IF(A231="","",IF('Loan Inputs'!$B$14=12,DATE(YEAR('Loan Inputs'!$B$8),MONTH('Loan Inputs'!$B$8)+A231,DAY('Loan Inputs'!$B$8)),'Loan Inputs'!$B$8+A231*IF('Loan Inputs'!$B$14=26,14,7)))</f>
        <v>53175</v>
      </c>
      <c r="C231" s="2">
        <f t="shared" si="11"/>
        <v>392314.08112701681</v>
      </c>
      <c r="D231" s="2">
        <f>IF(A231="","",MIN('Loan Inputs'!$B$17,C231+E231)+H231)</f>
        <v>4061.5333678073534</v>
      </c>
      <c r="E231" s="2">
        <f>IF(A231="","",C231*'Loan Inputs'!$B$15)</f>
        <v>2089.0724820013643</v>
      </c>
      <c r="F231" s="2">
        <f t="shared" si="9"/>
        <v>1972.4608858059892</v>
      </c>
      <c r="G231" s="2">
        <f t="shared" si="10"/>
        <v>390341.6202412108</v>
      </c>
      <c r="H231" s="2">
        <f>IF(A231="","",MIN(0,MAX(0,C231+E231-'Loan Inputs'!$B$17)))</f>
        <v>0</v>
      </c>
    </row>
    <row r="232" spans="1:8" ht="22" customHeight="1">
      <c r="A232" s="1">
        <f>IF(AND('Loan Inputs'!$B$12,226&lt;=IF('Loan Inputs'!$B$12,'Loan Inputs'!$B$7,0)*'Loan Inputs'!$B$14+0,ISNUMBER(G231),G231&gt;0),226,"")</f>
        <v>226</v>
      </c>
      <c r="B232" s="4">
        <f>IF(A232="","",IF('Loan Inputs'!$B$14=12,DATE(YEAR('Loan Inputs'!$B$8),MONTH('Loan Inputs'!$B$8)+A232,DAY('Loan Inputs'!$B$8)),'Loan Inputs'!$B$8+A232*IF('Loan Inputs'!$B$14=26,14,7)))</f>
        <v>53206</v>
      </c>
      <c r="C232" s="2">
        <f t="shared" si="11"/>
        <v>390341.6202412108</v>
      </c>
      <c r="D232" s="2">
        <f>IF(A232="","",MIN('Loan Inputs'!$B$17,C232+E232)+H232)</f>
        <v>4061.5333678073534</v>
      </c>
      <c r="E232" s="2">
        <f>IF(A232="","",C232*'Loan Inputs'!$B$15)</f>
        <v>2078.5691277844476</v>
      </c>
      <c r="F232" s="2">
        <f t="shared" si="9"/>
        <v>1982.9642400229059</v>
      </c>
      <c r="G232" s="2">
        <f t="shared" si="10"/>
        <v>388358.65600118786</v>
      </c>
      <c r="H232" s="2">
        <f>IF(A232="","",MIN(0,MAX(0,C232+E232-'Loan Inputs'!$B$17)))</f>
        <v>0</v>
      </c>
    </row>
    <row r="233" spans="1:8" ht="22" customHeight="1">
      <c r="A233" s="1">
        <f>IF(AND('Loan Inputs'!$B$12,227&lt;=IF('Loan Inputs'!$B$12,'Loan Inputs'!$B$7,0)*'Loan Inputs'!$B$14+0,ISNUMBER(G232),G232&gt;0),227,"")</f>
        <v>227</v>
      </c>
      <c r="B233" s="4">
        <f>IF(A233="","",IF('Loan Inputs'!$B$14=12,DATE(YEAR('Loan Inputs'!$B$8),MONTH('Loan Inputs'!$B$8)+A233,DAY('Loan Inputs'!$B$8)),'Loan Inputs'!$B$8+A233*IF('Loan Inputs'!$B$14=26,14,7)))</f>
        <v>53236</v>
      </c>
      <c r="C233" s="2">
        <f t="shared" si="11"/>
        <v>388358.65600118786</v>
      </c>
      <c r="D233" s="2">
        <f>IF(A233="","",MIN('Loan Inputs'!$B$17,C233+E233)+H233)</f>
        <v>4061.5333678073534</v>
      </c>
      <c r="E233" s="2">
        <f>IF(A233="","",C233*'Loan Inputs'!$B$15)</f>
        <v>2068.0098432063255</v>
      </c>
      <c r="F233" s="2">
        <f t="shared" si="9"/>
        <v>1993.5235246010279</v>
      </c>
      <c r="G233" s="2">
        <f t="shared" si="10"/>
        <v>386365.13247658685</v>
      </c>
      <c r="H233" s="2">
        <f>IF(A233="","",MIN(0,MAX(0,C233+E233-'Loan Inputs'!$B$17)))</f>
        <v>0</v>
      </c>
    </row>
    <row r="234" spans="1:8" ht="22" customHeight="1">
      <c r="A234" s="1">
        <f>IF(AND('Loan Inputs'!$B$12,228&lt;=IF('Loan Inputs'!$B$12,'Loan Inputs'!$B$7,0)*'Loan Inputs'!$B$14+0,ISNUMBER(G233),G233&gt;0),228,"")</f>
        <v>228</v>
      </c>
      <c r="B234" s="4">
        <f>IF(A234="","",IF('Loan Inputs'!$B$14=12,DATE(YEAR('Loan Inputs'!$B$8),MONTH('Loan Inputs'!$B$8)+A234,DAY('Loan Inputs'!$B$8)),'Loan Inputs'!$B$8+A234*IF('Loan Inputs'!$B$14=26,14,7)))</f>
        <v>53267</v>
      </c>
      <c r="C234" s="2">
        <f t="shared" si="11"/>
        <v>386365.13247658685</v>
      </c>
      <c r="D234" s="2">
        <f>IF(A234="","",MIN('Loan Inputs'!$B$17,C234+E234)+H234)</f>
        <v>4061.5333678073534</v>
      </c>
      <c r="E234" s="2">
        <f>IF(A234="","",C234*'Loan Inputs'!$B$15)</f>
        <v>2057.3943304378249</v>
      </c>
      <c r="F234" s="2">
        <f t="shared" si="9"/>
        <v>2004.1390373695285</v>
      </c>
      <c r="G234" s="2">
        <f t="shared" si="10"/>
        <v>384360.99343921733</v>
      </c>
      <c r="H234" s="2">
        <f>IF(A234="","",MIN(0,MAX(0,C234+E234-'Loan Inputs'!$B$17)))</f>
        <v>0</v>
      </c>
    </row>
    <row r="235" spans="1:8" ht="22" customHeight="1">
      <c r="A235" s="1">
        <f>IF(AND('Loan Inputs'!$B$12,229&lt;=IF('Loan Inputs'!$B$12,'Loan Inputs'!$B$7,0)*'Loan Inputs'!$B$14+0,ISNUMBER(G234),G234&gt;0),229,"")</f>
        <v>229</v>
      </c>
      <c r="B235" s="4">
        <f>IF(A235="","",IF('Loan Inputs'!$B$14=12,DATE(YEAR('Loan Inputs'!$B$8),MONTH('Loan Inputs'!$B$8)+A235,DAY('Loan Inputs'!$B$8)),'Loan Inputs'!$B$8+A235*IF('Loan Inputs'!$B$14=26,14,7)))</f>
        <v>53297</v>
      </c>
      <c r="C235" s="2">
        <f t="shared" si="11"/>
        <v>384360.99343921733</v>
      </c>
      <c r="D235" s="2">
        <f>IF(A235="","",MIN('Loan Inputs'!$B$17,C235+E235)+H235)</f>
        <v>4061.5333678073534</v>
      </c>
      <c r="E235" s="2">
        <f>IF(A235="","",C235*'Loan Inputs'!$B$15)</f>
        <v>2046.7222900638321</v>
      </c>
      <c r="F235" s="2">
        <f t="shared" si="9"/>
        <v>2014.8110777435213</v>
      </c>
      <c r="G235" s="2">
        <f t="shared" si="10"/>
        <v>382346.1823614738</v>
      </c>
      <c r="H235" s="2">
        <f>IF(A235="","",MIN(0,MAX(0,C235+E235-'Loan Inputs'!$B$17)))</f>
        <v>0</v>
      </c>
    </row>
    <row r="236" spans="1:8" ht="22" customHeight="1">
      <c r="A236" s="1">
        <f>IF(AND('Loan Inputs'!$B$12,230&lt;=IF('Loan Inputs'!$B$12,'Loan Inputs'!$B$7,0)*'Loan Inputs'!$B$14+0,ISNUMBER(G235),G235&gt;0),230,"")</f>
        <v>230</v>
      </c>
      <c r="B236" s="4">
        <f>IF(A236="","",IF('Loan Inputs'!$B$14=12,DATE(YEAR('Loan Inputs'!$B$8),MONTH('Loan Inputs'!$B$8)+A236,DAY('Loan Inputs'!$B$8)),'Loan Inputs'!$B$8+A236*IF('Loan Inputs'!$B$14=26,14,7)))</f>
        <v>53328</v>
      </c>
      <c r="C236" s="2">
        <f t="shared" si="11"/>
        <v>382346.1823614738</v>
      </c>
      <c r="D236" s="2">
        <f>IF(A236="","",MIN('Loan Inputs'!$B$17,C236+E236)+H236)</f>
        <v>4061.5333678073534</v>
      </c>
      <c r="E236" s="2">
        <f>IF(A236="","",C236*'Loan Inputs'!$B$15)</f>
        <v>2035.9934210748479</v>
      </c>
      <c r="F236" s="2">
        <f t="shared" si="9"/>
        <v>2025.5399467325055</v>
      </c>
      <c r="G236" s="2">
        <f t="shared" si="10"/>
        <v>380320.64241474128</v>
      </c>
      <c r="H236" s="2">
        <f>IF(A236="","",MIN(0,MAX(0,C236+E236-'Loan Inputs'!$B$17)))</f>
        <v>0</v>
      </c>
    </row>
    <row r="237" spans="1:8" ht="22" customHeight="1">
      <c r="A237" s="1">
        <f>IF(AND('Loan Inputs'!$B$12,231&lt;=IF('Loan Inputs'!$B$12,'Loan Inputs'!$B$7,0)*'Loan Inputs'!$B$14+0,ISNUMBER(G236),G236&gt;0),231,"")</f>
        <v>231</v>
      </c>
      <c r="B237" s="4">
        <f>IF(A237="","",IF('Loan Inputs'!$B$14=12,DATE(YEAR('Loan Inputs'!$B$8),MONTH('Loan Inputs'!$B$8)+A237,DAY('Loan Inputs'!$B$8)),'Loan Inputs'!$B$8+A237*IF('Loan Inputs'!$B$14=26,14,7)))</f>
        <v>53359</v>
      </c>
      <c r="C237" s="2">
        <f t="shared" si="11"/>
        <v>380320.64241474128</v>
      </c>
      <c r="D237" s="2">
        <f>IF(A237="","",MIN('Loan Inputs'!$B$17,C237+E237)+H237)</f>
        <v>4061.5333678073534</v>
      </c>
      <c r="E237" s="2">
        <f>IF(A237="","",C237*'Loan Inputs'!$B$15)</f>
        <v>2025.2074208584972</v>
      </c>
      <c r="F237" s="2">
        <f t="shared" si="9"/>
        <v>2036.3259469488562</v>
      </c>
      <c r="G237" s="2">
        <f t="shared" si="10"/>
        <v>378284.31646779244</v>
      </c>
      <c r="H237" s="2">
        <f>IF(A237="","",MIN(0,MAX(0,C237+E237-'Loan Inputs'!$B$17)))</f>
        <v>0</v>
      </c>
    </row>
    <row r="238" spans="1:8" ht="22" customHeight="1">
      <c r="A238" s="1">
        <f>IF(AND('Loan Inputs'!$B$12,232&lt;=IF('Loan Inputs'!$B$12,'Loan Inputs'!$B$7,0)*'Loan Inputs'!$B$14+0,ISNUMBER(G237),G237&gt;0),232,"")</f>
        <v>232</v>
      </c>
      <c r="B238" s="4">
        <f>IF(A238="","",IF('Loan Inputs'!$B$14=12,DATE(YEAR('Loan Inputs'!$B$8),MONTH('Loan Inputs'!$B$8)+A238,DAY('Loan Inputs'!$B$8)),'Loan Inputs'!$B$8+A238*IF('Loan Inputs'!$B$14=26,14,7)))</f>
        <v>53387</v>
      </c>
      <c r="C238" s="2">
        <f t="shared" si="11"/>
        <v>378284.31646779244</v>
      </c>
      <c r="D238" s="2">
        <f>IF(A238="","",MIN('Loan Inputs'!$B$17,C238+E238)+H238)</f>
        <v>4061.5333678073534</v>
      </c>
      <c r="E238" s="2">
        <f>IF(A238="","",C238*'Loan Inputs'!$B$15)</f>
        <v>2014.3639851909948</v>
      </c>
      <c r="F238" s="2">
        <f t="shared" si="9"/>
        <v>2047.1693826163587</v>
      </c>
      <c r="G238" s="2">
        <f t="shared" si="10"/>
        <v>376237.14708517608</v>
      </c>
      <c r="H238" s="2">
        <f>IF(A238="","",MIN(0,MAX(0,C238+E238-'Loan Inputs'!$B$17)))</f>
        <v>0</v>
      </c>
    </row>
    <row r="239" spans="1:8" ht="22" customHeight="1">
      <c r="A239" s="1">
        <f>IF(AND('Loan Inputs'!$B$12,233&lt;=IF('Loan Inputs'!$B$12,'Loan Inputs'!$B$7,0)*'Loan Inputs'!$B$14+0,ISNUMBER(G238),G238&gt;0),233,"")</f>
        <v>233</v>
      </c>
      <c r="B239" s="4">
        <f>IF(A239="","",IF('Loan Inputs'!$B$14=12,DATE(YEAR('Loan Inputs'!$B$8),MONTH('Loan Inputs'!$B$8)+A239,DAY('Loan Inputs'!$B$8)),'Loan Inputs'!$B$8+A239*IF('Loan Inputs'!$B$14=26,14,7)))</f>
        <v>53418</v>
      </c>
      <c r="C239" s="2">
        <f t="shared" si="11"/>
        <v>376237.14708517608</v>
      </c>
      <c r="D239" s="2">
        <f>IF(A239="","",MIN('Loan Inputs'!$B$17,C239+E239)+H239)</f>
        <v>4061.5333678073534</v>
      </c>
      <c r="E239" s="2">
        <f>IF(A239="","",C239*'Loan Inputs'!$B$15)</f>
        <v>2003.4628082285626</v>
      </c>
      <c r="F239" s="2">
        <f t="shared" si="9"/>
        <v>2058.0705595787908</v>
      </c>
      <c r="G239" s="2">
        <f t="shared" si="10"/>
        <v>374179.07652559731</v>
      </c>
      <c r="H239" s="2">
        <f>IF(A239="","",MIN(0,MAX(0,C239+E239-'Loan Inputs'!$B$17)))</f>
        <v>0</v>
      </c>
    </row>
    <row r="240" spans="1:8" ht="22" customHeight="1">
      <c r="A240" s="1">
        <f>IF(AND('Loan Inputs'!$B$12,234&lt;=IF('Loan Inputs'!$B$12,'Loan Inputs'!$B$7,0)*'Loan Inputs'!$B$14+0,ISNUMBER(G239),G239&gt;0),234,"")</f>
        <v>234</v>
      </c>
      <c r="B240" s="4">
        <f>IF(A240="","",IF('Loan Inputs'!$B$14=12,DATE(YEAR('Loan Inputs'!$B$8),MONTH('Loan Inputs'!$B$8)+A240,DAY('Loan Inputs'!$B$8)),'Loan Inputs'!$B$8+A240*IF('Loan Inputs'!$B$14=26,14,7)))</f>
        <v>53448</v>
      </c>
      <c r="C240" s="2">
        <f t="shared" si="11"/>
        <v>374179.07652559731</v>
      </c>
      <c r="D240" s="2">
        <f>IF(A240="","",MIN('Loan Inputs'!$B$17,C240+E240)+H240)</f>
        <v>4061.5333678073534</v>
      </c>
      <c r="E240" s="2">
        <f>IF(A240="","",C240*'Loan Inputs'!$B$15)</f>
        <v>1992.5035824988056</v>
      </c>
      <c r="F240" s="2">
        <f t="shared" si="9"/>
        <v>2069.0297853085476</v>
      </c>
      <c r="G240" s="2">
        <f t="shared" si="10"/>
        <v>372110.04674028879</v>
      </c>
      <c r="H240" s="2">
        <f>IF(A240="","",MIN(0,MAX(0,C240+E240-'Loan Inputs'!$B$17)))</f>
        <v>0</v>
      </c>
    </row>
    <row r="241" spans="1:8" ht="22" customHeight="1">
      <c r="A241" s="1">
        <f>IF(AND('Loan Inputs'!$B$12,235&lt;=IF('Loan Inputs'!$B$12,'Loan Inputs'!$B$7,0)*'Loan Inputs'!$B$14+0,ISNUMBER(G240),G240&gt;0),235,"")</f>
        <v>235</v>
      </c>
      <c r="B241" s="4">
        <f>IF(A241="","",IF('Loan Inputs'!$B$14=12,DATE(YEAR('Loan Inputs'!$B$8),MONTH('Loan Inputs'!$B$8)+A241,DAY('Loan Inputs'!$B$8)),'Loan Inputs'!$B$8+A241*IF('Loan Inputs'!$B$14=26,14,7)))</f>
        <v>53479</v>
      </c>
      <c r="C241" s="2">
        <f t="shared" si="11"/>
        <v>372110.04674028879</v>
      </c>
      <c r="D241" s="2">
        <f>IF(A241="","",MIN('Loan Inputs'!$B$17,C241+E241)+H241)</f>
        <v>4061.5333678073534</v>
      </c>
      <c r="E241" s="2">
        <f>IF(A241="","",C241*'Loan Inputs'!$B$15)</f>
        <v>1981.4859988920377</v>
      </c>
      <c r="F241" s="2">
        <f t="shared" si="9"/>
        <v>2080.0473689153159</v>
      </c>
      <c r="G241" s="2">
        <f t="shared" si="10"/>
        <v>370029.99937137344</v>
      </c>
      <c r="H241" s="2">
        <f>IF(A241="","",MIN(0,MAX(0,C241+E241-'Loan Inputs'!$B$17)))</f>
        <v>0</v>
      </c>
    </row>
    <row r="242" spans="1:8" ht="22" customHeight="1">
      <c r="A242" s="1">
        <f>IF(AND('Loan Inputs'!$B$12,236&lt;=IF('Loan Inputs'!$B$12,'Loan Inputs'!$B$7,0)*'Loan Inputs'!$B$14+0,ISNUMBER(G241),G241&gt;0),236,"")</f>
        <v>236</v>
      </c>
      <c r="B242" s="4">
        <f>IF(A242="","",IF('Loan Inputs'!$B$14=12,DATE(YEAR('Loan Inputs'!$B$8),MONTH('Loan Inputs'!$B$8)+A242,DAY('Loan Inputs'!$B$8)),'Loan Inputs'!$B$8+A242*IF('Loan Inputs'!$B$14=26,14,7)))</f>
        <v>53509</v>
      </c>
      <c r="C242" s="2">
        <f t="shared" si="11"/>
        <v>370029.99937137344</v>
      </c>
      <c r="D242" s="2">
        <f>IF(A242="","",MIN('Loan Inputs'!$B$17,C242+E242)+H242)</f>
        <v>4061.5333678073534</v>
      </c>
      <c r="E242" s="2">
        <f>IF(A242="","",C242*'Loan Inputs'!$B$15)</f>
        <v>1970.4097466525636</v>
      </c>
      <c r="F242" s="2">
        <f t="shared" si="9"/>
        <v>2091.1236211547898</v>
      </c>
      <c r="G242" s="2">
        <f t="shared" si="10"/>
        <v>367938.87575021863</v>
      </c>
      <c r="H242" s="2">
        <f>IF(A242="","",MIN(0,MAX(0,C242+E242-'Loan Inputs'!$B$17)))</f>
        <v>0</v>
      </c>
    </row>
    <row r="243" spans="1:8" ht="22" customHeight="1">
      <c r="A243" s="1">
        <f>IF(AND('Loan Inputs'!$B$12,237&lt;=IF('Loan Inputs'!$B$12,'Loan Inputs'!$B$7,0)*'Loan Inputs'!$B$14+0,ISNUMBER(G242),G242&gt;0),237,"")</f>
        <v>237</v>
      </c>
      <c r="B243" s="4">
        <f>IF(A243="","",IF('Loan Inputs'!$B$14=12,DATE(YEAR('Loan Inputs'!$B$8),MONTH('Loan Inputs'!$B$8)+A243,DAY('Loan Inputs'!$B$8)),'Loan Inputs'!$B$8+A243*IF('Loan Inputs'!$B$14=26,14,7)))</f>
        <v>53540</v>
      </c>
      <c r="C243" s="2">
        <f t="shared" si="11"/>
        <v>367938.87575021863</v>
      </c>
      <c r="D243" s="2">
        <f>IF(A243="","",MIN('Loan Inputs'!$B$17,C243+E243)+H243)</f>
        <v>4061.5333678073534</v>
      </c>
      <c r="E243" s="2">
        <f>IF(A243="","",C243*'Loan Inputs'!$B$15)</f>
        <v>1959.2745133699141</v>
      </c>
      <c r="F243" s="2">
        <f t="shared" si="9"/>
        <v>2102.2588544374394</v>
      </c>
      <c r="G243" s="2">
        <f t="shared" si="10"/>
        <v>365836.61689578119</v>
      </c>
      <c r="H243" s="2">
        <f>IF(A243="","",MIN(0,MAX(0,C243+E243-'Loan Inputs'!$B$17)))</f>
        <v>0</v>
      </c>
    </row>
    <row r="244" spans="1:8" ht="22" customHeight="1">
      <c r="A244" s="1">
        <f>IF(AND('Loan Inputs'!$B$12,238&lt;=IF('Loan Inputs'!$B$12,'Loan Inputs'!$B$7,0)*'Loan Inputs'!$B$14+0,ISNUMBER(G243),G243&gt;0),238,"")</f>
        <v>238</v>
      </c>
      <c r="B244" s="4">
        <f>IF(A244="","",IF('Loan Inputs'!$B$14=12,DATE(YEAR('Loan Inputs'!$B$8),MONTH('Loan Inputs'!$B$8)+A244,DAY('Loan Inputs'!$B$8)),'Loan Inputs'!$B$8+A244*IF('Loan Inputs'!$B$14=26,14,7)))</f>
        <v>53571</v>
      </c>
      <c r="C244" s="2">
        <f t="shared" si="11"/>
        <v>365836.61689578119</v>
      </c>
      <c r="D244" s="2">
        <f>IF(A244="","",MIN('Loan Inputs'!$B$17,C244+E244)+H244)</f>
        <v>4061.5333678073534</v>
      </c>
      <c r="E244" s="2">
        <f>IF(A244="","",C244*'Loan Inputs'!$B$15)</f>
        <v>1948.0799849700347</v>
      </c>
      <c r="F244" s="2">
        <f t="shared" si="9"/>
        <v>2113.4533828373187</v>
      </c>
      <c r="G244" s="2">
        <f t="shared" si="10"/>
        <v>363723.16351294389</v>
      </c>
      <c r="H244" s="2">
        <f>IF(A244="","",MIN(0,MAX(0,C244+E244-'Loan Inputs'!$B$17)))</f>
        <v>0</v>
      </c>
    </row>
    <row r="245" spans="1:8" ht="22" customHeight="1">
      <c r="A245" s="1">
        <f>IF(AND('Loan Inputs'!$B$12,239&lt;=IF('Loan Inputs'!$B$12,'Loan Inputs'!$B$7,0)*'Loan Inputs'!$B$14+0,ISNUMBER(G244),G244&gt;0),239,"")</f>
        <v>239</v>
      </c>
      <c r="B245" s="4">
        <f>IF(A245="","",IF('Loan Inputs'!$B$14=12,DATE(YEAR('Loan Inputs'!$B$8),MONTH('Loan Inputs'!$B$8)+A245,DAY('Loan Inputs'!$B$8)),'Loan Inputs'!$B$8+A245*IF('Loan Inputs'!$B$14=26,14,7)))</f>
        <v>53601</v>
      </c>
      <c r="C245" s="2">
        <f t="shared" si="11"/>
        <v>363723.16351294389</v>
      </c>
      <c r="D245" s="2">
        <f>IF(A245="","",MIN('Loan Inputs'!$B$17,C245+E245)+H245)</f>
        <v>4061.5333678073534</v>
      </c>
      <c r="E245" s="2">
        <f>IF(A245="","",C245*'Loan Inputs'!$B$15)</f>
        <v>1936.8258457064262</v>
      </c>
      <c r="F245" s="2">
        <f t="shared" si="9"/>
        <v>2124.7075221009272</v>
      </c>
      <c r="G245" s="2">
        <f t="shared" si="10"/>
        <v>361598.45599084295</v>
      </c>
      <c r="H245" s="2">
        <f>IF(A245="","",MIN(0,MAX(0,C245+E245-'Loan Inputs'!$B$17)))</f>
        <v>0</v>
      </c>
    </row>
    <row r="246" spans="1:8" ht="22" customHeight="1">
      <c r="A246" s="1">
        <f>IF(AND('Loan Inputs'!$B$12,240&lt;=IF('Loan Inputs'!$B$12,'Loan Inputs'!$B$7,0)*'Loan Inputs'!$B$14+0,ISNUMBER(G245),G245&gt;0),240,"")</f>
        <v>240</v>
      </c>
      <c r="B246" s="4">
        <f>IF(A246="","",IF('Loan Inputs'!$B$14=12,DATE(YEAR('Loan Inputs'!$B$8),MONTH('Loan Inputs'!$B$8)+A246,DAY('Loan Inputs'!$B$8)),'Loan Inputs'!$B$8+A246*IF('Loan Inputs'!$B$14=26,14,7)))</f>
        <v>53632</v>
      </c>
      <c r="C246" s="2">
        <f t="shared" si="11"/>
        <v>361598.45599084295</v>
      </c>
      <c r="D246" s="2">
        <f>IF(A246="","",MIN('Loan Inputs'!$B$17,C246+E246)+H246)</f>
        <v>4061.5333678073534</v>
      </c>
      <c r="E246" s="2">
        <f>IF(A246="","",C246*'Loan Inputs'!$B$15)</f>
        <v>1925.5117781512386</v>
      </c>
      <c r="F246" s="2">
        <f t="shared" si="9"/>
        <v>2136.0215896561149</v>
      </c>
      <c r="G246" s="2">
        <f t="shared" si="10"/>
        <v>359462.43440118682</v>
      </c>
      <c r="H246" s="2">
        <f>IF(A246="","",MIN(0,MAX(0,C246+E246-'Loan Inputs'!$B$17)))</f>
        <v>0</v>
      </c>
    </row>
    <row r="247" spans="1:8" ht="22" customHeight="1">
      <c r="A247" s="1">
        <f>IF(AND('Loan Inputs'!$B$12,241&lt;=IF('Loan Inputs'!$B$12,'Loan Inputs'!$B$7,0)*'Loan Inputs'!$B$14+0,ISNUMBER(G246),G246&gt;0),241,"")</f>
        <v>241</v>
      </c>
      <c r="B247" s="4">
        <f>IF(A247="","",IF('Loan Inputs'!$B$14=12,DATE(YEAR('Loan Inputs'!$B$8),MONTH('Loan Inputs'!$B$8)+A247,DAY('Loan Inputs'!$B$8)),'Loan Inputs'!$B$8+A247*IF('Loan Inputs'!$B$14=26,14,7)))</f>
        <v>53662</v>
      </c>
      <c r="C247" s="2">
        <f t="shared" si="11"/>
        <v>359462.43440118682</v>
      </c>
      <c r="D247" s="2">
        <f>IF(A247="","",MIN('Loan Inputs'!$B$17,C247+E247)+H247)</f>
        <v>4061.5333678073534</v>
      </c>
      <c r="E247" s="2">
        <f>IF(A247="","",C247*'Loan Inputs'!$B$15)</f>
        <v>1914.1374631863198</v>
      </c>
      <c r="F247" s="2">
        <f t="shared" si="9"/>
        <v>2147.3959046210339</v>
      </c>
      <c r="G247" s="2">
        <f t="shared" si="10"/>
        <v>357315.03849656577</v>
      </c>
      <c r="H247" s="2">
        <f>IF(A247="","",MIN(0,MAX(0,C247+E247-'Loan Inputs'!$B$17)))</f>
        <v>0</v>
      </c>
    </row>
    <row r="248" spans="1:8" ht="22" customHeight="1">
      <c r="A248" s="1">
        <f>IF(AND('Loan Inputs'!$B$12,242&lt;=IF('Loan Inputs'!$B$12,'Loan Inputs'!$B$7,0)*'Loan Inputs'!$B$14+0,ISNUMBER(G247),G247&gt;0),242,"")</f>
        <v>242</v>
      </c>
      <c r="B248" s="4">
        <f>IF(A248="","",IF('Loan Inputs'!$B$14=12,DATE(YEAR('Loan Inputs'!$B$8),MONTH('Loan Inputs'!$B$8)+A248,DAY('Loan Inputs'!$B$8)),'Loan Inputs'!$B$8+A248*IF('Loan Inputs'!$B$14=26,14,7)))</f>
        <v>53693</v>
      </c>
      <c r="C248" s="2">
        <f t="shared" si="11"/>
        <v>357315.03849656577</v>
      </c>
      <c r="D248" s="2">
        <f>IF(A248="","",MIN('Loan Inputs'!$B$17,C248+E248)+H248)</f>
        <v>4061.5333678073534</v>
      </c>
      <c r="E248" s="2">
        <f>IF(A248="","",C248*'Loan Inputs'!$B$15)</f>
        <v>1902.7025799942128</v>
      </c>
      <c r="F248" s="2">
        <f t="shared" si="9"/>
        <v>2158.8307878131409</v>
      </c>
      <c r="G248" s="2">
        <f t="shared" si="10"/>
        <v>355156.20770875266</v>
      </c>
      <c r="H248" s="2">
        <f>IF(A248="","",MIN(0,MAX(0,C248+E248-'Loan Inputs'!$B$17)))</f>
        <v>0</v>
      </c>
    </row>
    <row r="249" spans="1:8" ht="22" customHeight="1">
      <c r="A249" s="1">
        <f>IF(AND('Loan Inputs'!$B$12,243&lt;=IF('Loan Inputs'!$B$12,'Loan Inputs'!$B$7,0)*'Loan Inputs'!$B$14+0,ISNUMBER(G248),G248&gt;0),243,"")</f>
        <v>243</v>
      </c>
      <c r="B249" s="4">
        <f>IF(A249="","",IF('Loan Inputs'!$B$14=12,DATE(YEAR('Loan Inputs'!$B$8),MONTH('Loan Inputs'!$B$8)+A249,DAY('Loan Inputs'!$B$8)),'Loan Inputs'!$B$8+A249*IF('Loan Inputs'!$B$14=26,14,7)))</f>
        <v>53724</v>
      </c>
      <c r="C249" s="2">
        <f t="shared" si="11"/>
        <v>355156.20770875266</v>
      </c>
      <c r="D249" s="2">
        <f>IF(A249="","",MIN('Loan Inputs'!$B$17,C249+E249)+H249)</f>
        <v>4061.5333678073534</v>
      </c>
      <c r="E249" s="2">
        <f>IF(A249="","",C249*'Loan Inputs'!$B$15)</f>
        <v>1891.2068060491079</v>
      </c>
      <c r="F249" s="2">
        <f t="shared" si="9"/>
        <v>2170.3265617582456</v>
      </c>
      <c r="G249" s="2">
        <f t="shared" si="10"/>
        <v>352985.88114699442</v>
      </c>
      <c r="H249" s="2">
        <f>IF(A249="","",MIN(0,MAX(0,C249+E249-'Loan Inputs'!$B$17)))</f>
        <v>0</v>
      </c>
    </row>
    <row r="250" spans="1:8" ht="22" customHeight="1">
      <c r="A250" s="1">
        <f>IF(AND('Loan Inputs'!$B$12,244&lt;=IF('Loan Inputs'!$B$12,'Loan Inputs'!$B$7,0)*'Loan Inputs'!$B$14+0,ISNUMBER(G249),G249&gt;0),244,"")</f>
        <v>244</v>
      </c>
      <c r="B250" s="4">
        <f>IF(A250="","",IF('Loan Inputs'!$B$14=12,DATE(YEAR('Loan Inputs'!$B$8),MONTH('Loan Inputs'!$B$8)+A250,DAY('Loan Inputs'!$B$8)),'Loan Inputs'!$B$8+A250*IF('Loan Inputs'!$B$14=26,14,7)))</f>
        <v>53752</v>
      </c>
      <c r="C250" s="2">
        <f t="shared" si="11"/>
        <v>352985.88114699442</v>
      </c>
      <c r="D250" s="2">
        <f>IF(A250="","",MIN('Loan Inputs'!$B$17,C250+E250)+H250)</f>
        <v>4061.5333678073534</v>
      </c>
      <c r="E250" s="2">
        <f>IF(A250="","",C250*'Loan Inputs'!$B$15)</f>
        <v>1879.6498171077453</v>
      </c>
      <c r="F250" s="2">
        <f t="shared" si="9"/>
        <v>2181.8835506996083</v>
      </c>
      <c r="G250" s="2">
        <f t="shared" si="10"/>
        <v>350803.99759629479</v>
      </c>
      <c r="H250" s="2">
        <f>IF(A250="","",MIN(0,MAX(0,C250+E250-'Loan Inputs'!$B$17)))</f>
        <v>0</v>
      </c>
    </row>
    <row r="251" spans="1:8" ht="22" customHeight="1">
      <c r="A251" s="1">
        <f>IF(AND('Loan Inputs'!$B$12,245&lt;=IF('Loan Inputs'!$B$12,'Loan Inputs'!$B$7,0)*'Loan Inputs'!$B$14+0,ISNUMBER(G250),G250&gt;0),245,"")</f>
        <v>245</v>
      </c>
      <c r="B251" s="4">
        <f>IF(A251="","",IF('Loan Inputs'!$B$14=12,DATE(YEAR('Loan Inputs'!$B$8),MONTH('Loan Inputs'!$B$8)+A251,DAY('Loan Inputs'!$B$8)),'Loan Inputs'!$B$8+A251*IF('Loan Inputs'!$B$14=26,14,7)))</f>
        <v>53783</v>
      </c>
      <c r="C251" s="2">
        <f t="shared" si="11"/>
        <v>350803.99759629479</v>
      </c>
      <c r="D251" s="2">
        <f>IF(A251="","",MIN('Loan Inputs'!$B$17,C251+E251)+H251)</f>
        <v>4061.5333678073534</v>
      </c>
      <c r="E251" s="2">
        <f>IF(A251="","",C251*'Loan Inputs'!$B$15)</f>
        <v>1868.0312872002698</v>
      </c>
      <c r="F251" s="2">
        <f t="shared" si="9"/>
        <v>2193.5020806070834</v>
      </c>
      <c r="G251" s="2">
        <f t="shared" si="10"/>
        <v>348610.49551568768</v>
      </c>
      <c r="H251" s="2">
        <f>IF(A251="","",MIN(0,MAX(0,C251+E251-'Loan Inputs'!$B$17)))</f>
        <v>0</v>
      </c>
    </row>
    <row r="252" spans="1:8" ht="22" customHeight="1">
      <c r="A252" s="1">
        <f>IF(AND('Loan Inputs'!$B$12,246&lt;=IF('Loan Inputs'!$B$12,'Loan Inputs'!$B$7,0)*'Loan Inputs'!$B$14+0,ISNUMBER(G251),G251&gt;0),246,"")</f>
        <v>246</v>
      </c>
      <c r="B252" s="4">
        <f>IF(A252="","",IF('Loan Inputs'!$B$14=12,DATE(YEAR('Loan Inputs'!$B$8),MONTH('Loan Inputs'!$B$8)+A252,DAY('Loan Inputs'!$B$8)),'Loan Inputs'!$B$8+A252*IF('Loan Inputs'!$B$14=26,14,7)))</f>
        <v>53813</v>
      </c>
      <c r="C252" s="2">
        <f t="shared" si="11"/>
        <v>348610.49551568768</v>
      </c>
      <c r="D252" s="2">
        <f>IF(A252="","",MIN('Loan Inputs'!$B$17,C252+E252)+H252)</f>
        <v>4061.5333678073534</v>
      </c>
      <c r="E252" s="2">
        <f>IF(A252="","",C252*'Loan Inputs'!$B$15)</f>
        <v>1856.3508886210368</v>
      </c>
      <c r="F252" s="2">
        <f t="shared" si="9"/>
        <v>2205.1824791863164</v>
      </c>
      <c r="G252" s="2">
        <f t="shared" si="10"/>
        <v>346405.31303650135</v>
      </c>
      <c r="H252" s="2">
        <f>IF(A252="","",MIN(0,MAX(0,C252+E252-'Loan Inputs'!$B$17)))</f>
        <v>0</v>
      </c>
    </row>
    <row r="253" spans="1:8" ht="22" customHeight="1">
      <c r="A253" s="1">
        <f>IF(AND('Loan Inputs'!$B$12,247&lt;=IF('Loan Inputs'!$B$12,'Loan Inputs'!$B$7,0)*'Loan Inputs'!$B$14+0,ISNUMBER(G252),G252&gt;0),247,"")</f>
        <v>247</v>
      </c>
      <c r="B253" s="4">
        <f>IF(A253="","",IF('Loan Inputs'!$B$14=12,DATE(YEAR('Loan Inputs'!$B$8),MONTH('Loan Inputs'!$B$8)+A253,DAY('Loan Inputs'!$B$8)),'Loan Inputs'!$B$8+A253*IF('Loan Inputs'!$B$14=26,14,7)))</f>
        <v>53844</v>
      </c>
      <c r="C253" s="2">
        <f t="shared" si="11"/>
        <v>346405.31303650135</v>
      </c>
      <c r="D253" s="2">
        <f>IF(A253="","",MIN('Loan Inputs'!$B$17,C253+E253)+H253)</f>
        <v>4061.5333678073534</v>
      </c>
      <c r="E253" s="2">
        <f>IF(A253="","",C253*'Loan Inputs'!$B$15)</f>
        <v>1844.6082919193695</v>
      </c>
      <c r="F253" s="2">
        <f t="shared" si="9"/>
        <v>2216.9250758879839</v>
      </c>
      <c r="G253" s="2">
        <f t="shared" si="10"/>
        <v>344188.38796061336</v>
      </c>
      <c r="H253" s="2">
        <f>IF(A253="","",MIN(0,MAX(0,C253+E253-'Loan Inputs'!$B$17)))</f>
        <v>0</v>
      </c>
    </row>
    <row r="254" spans="1:8" ht="22" customHeight="1">
      <c r="A254" s="1">
        <f>IF(AND('Loan Inputs'!$B$12,248&lt;=IF('Loan Inputs'!$B$12,'Loan Inputs'!$B$7,0)*'Loan Inputs'!$B$14+0,ISNUMBER(G253),G253&gt;0),248,"")</f>
        <v>248</v>
      </c>
      <c r="B254" s="4">
        <f>IF(A254="","",IF('Loan Inputs'!$B$14=12,DATE(YEAR('Loan Inputs'!$B$8),MONTH('Loan Inputs'!$B$8)+A254,DAY('Loan Inputs'!$B$8)),'Loan Inputs'!$B$8+A254*IF('Loan Inputs'!$B$14=26,14,7)))</f>
        <v>53874</v>
      </c>
      <c r="C254" s="2">
        <f t="shared" si="11"/>
        <v>344188.38796061336</v>
      </c>
      <c r="D254" s="2">
        <f>IF(A254="","",MIN('Loan Inputs'!$B$17,C254+E254)+H254)</f>
        <v>4061.5333678073534</v>
      </c>
      <c r="E254" s="2">
        <f>IF(A254="","",C254*'Loan Inputs'!$B$15)</f>
        <v>1832.803165890266</v>
      </c>
      <c r="F254" s="2">
        <f t="shared" si="9"/>
        <v>2228.7302019170875</v>
      </c>
      <c r="G254" s="2">
        <f t="shared" si="10"/>
        <v>341959.6577586963</v>
      </c>
      <c r="H254" s="2">
        <f>IF(A254="","",MIN(0,MAX(0,C254+E254-'Loan Inputs'!$B$17)))</f>
        <v>0</v>
      </c>
    </row>
    <row r="255" spans="1:8" ht="22" customHeight="1">
      <c r="A255" s="1">
        <f>IF(AND('Loan Inputs'!$B$12,249&lt;=IF('Loan Inputs'!$B$12,'Loan Inputs'!$B$7,0)*'Loan Inputs'!$B$14+0,ISNUMBER(G254),G254&gt;0),249,"")</f>
        <v>249</v>
      </c>
      <c r="B255" s="4">
        <f>IF(A255="","",IF('Loan Inputs'!$B$14=12,DATE(YEAR('Loan Inputs'!$B$8),MONTH('Loan Inputs'!$B$8)+A255,DAY('Loan Inputs'!$B$8)),'Loan Inputs'!$B$8+A255*IF('Loan Inputs'!$B$14=26,14,7)))</f>
        <v>53905</v>
      </c>
      <c r="C255" s="2">
        <f t="shared" si="11"/>
        <v>341959.6577586963</v>
      </c>
      <c r="D255" s="2">
        <f>IF(A255="","",MIN('Loan Inputs'!$B$17,C255+E255)+H255)</f>
        <v>4061.5333678073534</v>
      </c>
      <c r="E255" s="2">
        <f>IF(A255="","",C255*'Loan Inputs'!$B$15)</f>
        <v>1820.9351775650578</v>
      </c>
      <c r="F255" s="2">
        <f t="shared" si="9"/>
        <v>2240.5981902422955</v>
      </c>
      <c r="G255" s="2">
        <f t="shared" si="10"/>
        <v>339719.05956845399</v>
      </c>
      <c r="H255" s="2">
        <f>IF(A255="","",MIN(0,MAX(0,C255+E255-'Loan Inputs'!$B$17)))</f>
        <v>0</v>
      </c>
    </row>
    <row r="256" spans="1:8" ht="22" customHeight="1">
      <c r="A256" s="1">
        <f>IF(AND('Loan Inputs'!$B$12,250&lt;=IF('Loan Inputs'!$B$12,'Loan Inputs'!$B$7,0)*'Loan Inputs'!$B$14+0,ISNUMBER(G255),G255&gt;0),250,"")</f>
        <v>250</v>
      </c>
      <c r="B256" s="4">
        <f>IF(A256="","",IF('Loan Inputs'!$B$14=12,DATE(YEAR('Loan Inputs'!$B$8),MONTH('Loan Inputs'!$B$8)+A256,DAY('Loan Inputs'!$B$8)),'Loan Inputs'!$B$8+A256*IF('Loan Inputs'!$B$14=26,14,7)))</f>
        <v>53936</v>
      </c>
      <c r="C256" s="2">
        <f t="shared" si="11"/>
        <v>339719.05956845399</v>
      </c>
      <c r="D256" s="2">
        <f>IF(A256="","",MIN('Loan Inputs'!$B$17,C256+E256)+H256)</f>
        <v>4061.5333678073534</v>
      </c>
      <c r="E256" s="2">
        <f>IF(A256="","",C256*'Loan Inputs'!$B$15)</f>
        <v>1809.0039922020173</v>
      </c>
      <c r="F256" s="2">
        <f t="shared" si="9"/>
        <v>2252.5293756053361</v>
      </c>
      <c r="G256" s="2">
        <f t="shared" si="10"/>
        <v>337466.53019284864</v>
      </c>
      <c r="H256" s="2">
        <f>IF(A256="","",MIN(0,MAX(0,C256+E256-'Loan Inputs'!$B$17)))</f>
        <v>0</v>
      </c>
    </row>
    <row r="257" spans="1:8" ht="22" customHeight="1">
      <c r="A257" s="1">
        <f>IF(AND('Loan Inputs'!$B$12,251&lt;=IF('Loan Inputs'!$B$12,'Loan Inputs'!$B$7,0)*'Loan Inputs'!$B$14+0,ISNUMBER(G256),G256&gt;0),251,"")</f>
        <v>251</v>
      </c>
      <c r="B257" s="4">
        <f>IF(A257="","",IF('Loan Inputs'!$B$14=12,DATE(YEAR('Loan Inputs'!$B$8),MONTH('Loan Inputs'!$B$8)+A257,DAY('Loan Inputs'!$B$8)),'Loan Inputs'!$B$8+A257*IF('Loan Inputs'!$B$14=26,14,7)))</f>
        <v>53966</v>
      </c>
      <c r="C257" s="2">
        <f t="shared" si="11"/>
        <v>337466.53019284864</v>
      </c>
      <c r="D257" s="2">
        <f>IF(A257="","",MIN('Loan Inputs'!$B$17,C257+E257)+H257)</f>
        <v>4061.5333678073534</v>
      </c>
      <c r="E257" s="2">
        <f>IF(A257="","",C257*'Loan Inputs'!$B$15)</f>
        <v>1797.009273276919</v>
      </c>
      <c r="F257" s="2">
        <f t="shared" si="9"/>
        <v>2264.5240945304345</v>
      </c>
      <c r="G257" s="2">
        <f t="shared" si="10"/>
        <v>335202.0060983182</v>
      </c>
      <c r="H257" s="2">
        <f>IF(A257="","",MIN(0,MAX(0,C257+E257-'Loan Inputs'!$B$17)))</f>
        <v>0</v>
      </c>
    </row>
    <row r="258" spans="1:8" ht="22" customHeight="1">
      <c r="A258" s="1">
        <f>IF(AND('Loan Inputs'!$B$12,252&lt;=IF('Loan Inputs'!$B$12,'Loan Inputs'!$B$7,0)*'Loan Inputs'!$B$14+0,ISNUMBER(G257),G257&gt;0),252,"")</f>
        <v>252</v>
      </c>
      <c r="B258" s="4">
        <f>IF(A258="","",IF('Loan Inputs'!$B$14=12,DATE(YEAR('Loan Inputs'!$B$8),MONTH('Loan Inputs'!$B$8)+A258,DAY('Loan Inputs'!$B$8)),'Loan Inputs'!$B$8+A258*IF('Loan Inputs'!$B$14=26,14,7)))</f>
        <v>53997</v>
      </c>
      <c r="C258" s="2">
        <f t="shared" si="11"/>
        <v>335202.0060983182</v>
      </c>
      <c r="D258" s="2">
        <f>IF(A258="","",MIN('Loan Inputs'!$B$17,C258+E258)+H258)</f>
        <v>4061.5333678073534</v>
      </c>
      <c r="E258" s="2">
        <f>IF(A258="","",C258*'Loan Inputs'!$B$15)</f>
        <v>1784.9506824735445</v>
      </c>
      <c r="F258" s="2">
        <f t="shared" si="9"/>
        <v>2276.582685333809</v>
      </c>
      <c r="G258" s="2">
        <f t="shared" si="10"/>
        <v>332925.42341298441</v>
      </c>
      <c r="H258" s="2">
        <f>IF(A258="","",MIN(0,MAX(0,C258+E258-'Loan Inputs'!$B$17)))</f>
        <v>0</v>
      </c>
    </row>
    <row r="259" spans="1:8" ht="22" customHeight="1">
      <c r="A259" s="1">
        <f>IF(AND('Loan Inputs'!$B$12,253&lt;=IF('Loan Inputs'!$B$12,'Loan Inputs'!$B$7,0)*'Loan Inputs'!$B$14+0,ISNUMBER(G258),G258&gt;0),253,"")</f>
        <v>253</v>
      </c>
      <c r="B259" s="4">
        <f>IF(A259="","",IF('Loan Inputs'!$B$14=12,DATE(YEAR('Loan Inputs'!$B$8),MONTH('Loan Inputs'!$B$8)+A259,DAY('Loan Inputs'!$B$8)),'Loan Inputs'!$B$8+A259*IF('Loan Inputs'!$B$14=26,14,7)))</f>
        <v>54027</v>
      </c>
      <c r="C259" s="2">
        <f t="shared" si="11"/>
        <v>332925.42341298441</v>
      </c>
      <c r="D259" s="2">
        <f>IF(A259="","",MIN('Loan Inputs'!$B$17,C259+E259)+H259)</f>
        <v>4061.5333678073534</v>
      </c>
      <c r="E259" s="2">
        <f>IF(A259="","",C259*'Loan Inputs'!$B$15)</f>
        <v>1772.827879674142</v>
      </c>
      <c r="F259" s="2">
        <f t="shared" si="9"/>
        <v>2288.7054881332115</v>
      </c>
      <c r="G259" s="2">
        <f t="shared" si="10"/>
        <v>330636.71792485123</v>
      </c>
      <c r="H259" s="2">
        <f>IF(A259="","",MIN(0,MAX(0,C259+E259-'Loan Inputs'!$B$17)))</f>
        <v>0</v>
      </c>
    </row>
    <row r="260" spans="1:8" ht="22" customHeight="1">
      <c r="A260" s="1">
        <f>IF(AND('Loan Inputs'!$B$12,254&lt;=IF('Loan Inputs'!$B$12,'Loan Inputs'!$B$7,0)*'Loan Inputs'!$B$14+0,ISNUMBER(G259),G259&gt;0),254,"")</f>
        <v>254</v>
      </c>
      <c r="B260" s="4">
        <f>IF(A260="","",IF('Loan Inputs'!$B$14=12,DATE(YEAR('Loan Inputs'!$B$8),MONTH('Loan Inputs'!$B$8)+A260,DAY('Loan Inputs'!$B$8)),'Loan Inputs'!$B$8+A260*IF('Loan Inputs'!$B$14=26,14,7)))</f>
        <v>54058</v>
      </c>
      <c r="C260" s="2">
        <f t="shared" si="11"/>
        <v>330636.71792485123</v>
      </c>
      <c r="D260" s="2">
        <f>IF(A260="","",MIN('Loan Inputs'!$B$17,C260+E260)+H260)</f>
        <v>4061.5333678073534</v>
      </c>
      <c r="E260" s="2">
        <f>IF(A260="","",C260*'Loan Inputs'!$B$15)</f>
        <v>1760.6405229498328</v>
      </c>
      <c r="F260" s="2">
        <f t="shared" si="9"/>
        <v>2300.8928448575207</v>
      </c>
      <c r="G260" s="2">
        <f t="shared" si="10"/>
        <v>328335.82507999369</v>
      </c>
      <c r="H260" s="2">
        <f>IF(A260="","",MIN(0,MAX(0,C260+E260-'Loan Inputs'!$B$17)))</f>
        <v>0</v>
      </c>
    </row>
    <row r="261" spans="1:8" ht="22" customHeight="1">
      <c r="A261" s="1">
        <f>IF(AND('Loan Inputs'!$B$12,255&lt;=IF('Loan Inputs'!$B$12,'Loan Inputs'!$B$7,0)*'Loan Inputs'!$B$14+0,ISNUMBER(G260),G260&gt;0),255,"")</f>
        <v>255</v>
      </c>
      <c r="B261" s="4">
        <f>IF(A261="","",IF('Loan Inputs'!$B$14=12,DATE(YEAR('Loan Inputs'!$B$8),MONTH('Loan Inputs'!$B$8)+A261,DAY('Loan Inputs'!$B$8)),'Loan Inputs'!$B$8+A261*IF('Loan Inputs'!$B$14=26,14,7)))</f>
        <v>54089</v>
      </c>
      <c r="C261" s="2">
        <f t="shared" si="11"/>
        <v>328335.82507999369</v>
      </c>
      <c r="D261" s="2">
        <f>IF(A261="","",MIN('Loan Inputs'!$B$17,C261+E261)+H261)</f>
        <v>4061.5333678073534</v>
      </c>
      <c r="E261" s="2">
        <f>IF(A261="","",C261*'Loan Inputs'!$B$15)</f>
        <v>1748.3882685509664</v>
      </c>
      <c r="F261" s="2">
        <f t="shared" si="9"/>
        <v>2313.1450992563869</v>
      </c>
      <c r="G261" s="2">
        <f t="shared" si="10"/>
        <v>326022.67998073733</v>
      </c>
      <c r="H261" s="2">
        <f>IF(A261="","",MIN(0,MAX(0,C261+E261-'Loan Inputs'!$B$17)))</f>
        <v>0</v>
      </c>
    </row>
    <row r="262" spans="1:8" ht="22" customHeight="1">
      <c r="A262" s="1">
        <f>IF(AND('Loan Inputs'!$B$12,256&lt;=IF('Loan Inputs'!$B$12,'Loan Inputs'!$B$7,0)*'Loan Inputs'!$B$14+0,ISNUMBER(G261),G261&gt;0),256,"")</f>
        <v>256</v>
      </c>
      <c r="B262" s="4">
        <f>IF(A262="","",IF('Loan Inputs'!$B$14=12,DATE(YEAR('Loan Inputs'!$B$8),MONTH('Loan Inputs'!$B$8)+A262,DAY('Loan Inputs'!$B$8)),'Loan Inputs'!$B$8+A262*IF('Loan Inputs'!$B$14=26,14,7)))</f>
        <v>54118</v>
      </c>
      <c r="C262" s="2">
        <f t="shared" si="11"/>
        <v>326022.67998073733</v>
      </c>
      <c r="D262" s="2">
        <f>IF(A262="","",MIN('Loan Inputs'!$B$17,C262+E262)+H262)</f>
        <v>4061.5333678073534</v>
      </c>
      <c r="E262" s="2">
        <f>IF(A262="","",C262*'Loan Inputs'!$B$15)</f>
        <v>1736.0707708974262</v>
      </c>
      <c r="F262" s="2">
        <f t="shared" si="9"/>
        <v>2325.462596909927</v>
      </c>
      <c r="G262" s="2">
        <f t="shared" si="10"/>
        <v>323697.21738382743</v>
      </c>
      <c r="H262" s="2">
        <f>IF(A262="","",MIN(0,MAX(0,C262+E262-'Loan Inputs'!$B$17)))</f>
        <v>0</v>
      </c>
    </row>
    <row r="263" spans="1:8" ht="22" customHeight="1">
      <c r="A263" s="1">
        <f>IF(AND('Loan Inputs'!$B$12,257&lt;=IF('Loan Inputs'!$B$12,'Loan Inputs'!$B$7,0)*'Loan Inputs'!$B$14+0,ISNUMBER(G262),G262&gt;0),257,"")</f>
        <v>257</v>
      </c>
      <c r="B263" s="4">
        <f>IF(A263="","",IF('Loan Inputs'!$B$14=12,DATE(YEAR('Loan Inputs'!$B$8),MONTH('Loan Inputs'!$B$8)+A263,DAY('Loan Inputs'!$B$8)),'Loan Inputs'!$B$8+A263*IF('Loan Inputs'!$B$14=26,14,7)))</f>
        <v>54149</v>
      </c>
      <c r="C263" s="2">
        <f t="shared" si="11"/>
        <v>323697.21738382743</v>
      </c>
      <c r="D263" s="2">
        <f>IF(A263="","",MIN('Loan Inputs'!$B$17,C263+E263)+H263)</f>
        <v>4061.5333678073534</v>
      </c>
      <c r="E263" s="2">
        <f>IF(A263="","",C263*'Loan Inputs'!$B$15)</f>
        <v>1723.687682568881</v>
      </c>
      <c r="F263" s="2">
        <f t="shared" ref="F263:F326" si="12">IF(A263="","",MIN(C263,D263-E263))</f>
        <v>2337.8456852384725</v>
      </c>
      <c r="G263" s="2">
        <f t="shared" ref="G263:G326" si="13">IF(A263="","",IF(C263-F263&lt;0.01,0,MAX(0,C263-F263)))</f>
        <v>321359.37169858895</v>
      </c>
      <c r="H263" s="2">
        <f>IF(A263="","",MIN(0,MAX(0,C263+E263-'Loan Inputs'!$B$17)))</f>
        <v>0</v>
      </c>
    </row>
    <row r="264" spans="1:8" ht="22" customHeight="1">
      <c r="A264" s="1">
        <f>IF(AND('Loan Inputs'!$B$12,258&lt;=IF('Loan Inputs'!$B$12,'Loan Inputs'!$B$7,0)*'Loan Inputs'!$B$14+0,ISNUMBER(G263),G263&gt;0),258,"")</f>
        <v>258</v>
      </c>
      <c r="B264" s="4">
        <f>IF(A264="","",IF('Loan Inputs'!$B$14=12,DATE(YEAR('Loan Inputs'!$B$8),MONTH('Loan Inputs'!$B$8)+A264,DAY('Loan Inputs'!$B$8)),'Loan Inputs'!$B$8+A264*IF('Loan Inputs'!$B$14=26,14,7)))</f>
        <v>54179</v>
      </c>
      <c r="C264" s="2">
        <f t="shared" ref="C264:C327" si="14">IF(A264="","",G263)</f>
        <v>321359.37169858895</v>
      </c>
      <c r="D264" s="2">
        <f>IF(A264="","",MIN('Loan Inputs'!$B$17,C264+E264)+H264)</f>
        <v>4061.5333678073534</v>
      </c>
      <c r="E264" s="2">
        <f>IF(A264="","",C264*'Loan Inputs'!$B$15)</f>
        <v>1711.2386542949862</v>
      </c>
      <c r="F264" s="2">
        <f t="shared" si="12"/>
        <v>2350.2947135123673</v>
      </c>
      <c r="G264" s="2">
        <f t="shared" si="13"/>
        <v>319009.07698507659</v>
      </c>
      <c r="H264" s="2">
        <f>IF(A264="","",MIN(0,MAX(0,C264+E264-'Loan Inputs'!$B$17)))</f>
        <v>0</v>
      </c>
    </row>
    <row r="265" spans="1:8" ht="22" customHeight="1">
      <c r="A265" s="1">
        <f>IF(AND('Loan Inputs'!$B$12,259&lt;=IF('Loan Inputs'!$B$12,'Loan Inputs'!$B$7,0)*'Loan Inputs'!$B$14+0,ISNUMBER(G264),G264&gt;0),259,"")</f>
        <v>259</v>
      </c>
      <c r="B265" s="4">
        <f>IF(A265="","",IF('Loan Inputs'!$B$14=12,DATE(YEAR('Loan Inputs'!$B$8),MONTH('Loan Inputs'!$B$8)+A265,DAY('Loan Inputs'!$B$8)),'Loan Inputs'!$B$8+A265*IF('Loan Inputs'!$B$14=26,14,7)))</f>
        <v>54210</v>
      </c>
      <c r="C265" s="2">
        <f t="shared" si="14"/>
        <v>319009.07698507659</v>
      </c>
      <c r="D265" s="2">
        <f>IF(A265="","",MIN('Loan Inputs'!$B$17,C265+E265)+H265)</f>
        <v>4061.5333678073534</v>
      </c>
      <c r="E265" s="2">
        <f>IF(A265="","",C265*'Loan Inputs'!$B$15)</f>
        <v>1698.7233349455328</v>
      </c>
      <c r="F265" s="2">
        <f t="shared" si="12"/>
        <v>2362.8100328618207</v>
      </c>
      <c r="G265" s="2">
        <f t="shared" si="13"/>
        <v>316646.26695221476</v>
      </c>
      <c r="H265" s="2">
        <f>IF(A265="","",MIN(0,MAX(0,C265+E265-'Loan Inputs'!$B$17)))</f>
        <v>0</v>
      </c>
    </row>
    <row r="266" spans="1:8" ht="22" customHeight="1">
      <c r="A266" s="1">
        <f>IF(AND('Loan Inputs'!$B$12,260&lt;=IF('Loan Inputs'!$B$12,'Loan Inputs'!$B$7,0)*'Loan Inputs'!$B$14+0,ISNUMBER(G265),G265&gt;0),260,"")</f>
        <v>260</v>
      </c>
      <c r="B266" s="4">
        <f>IF(A266="","",IF('Loan Inputs'!$B$14=12,DATE(YEAR('Loan Inputs'!$B$8),MONTH('Loan Inputs'!$B$8)+A266,DAY('Loan Inputs'!$B$8)),'Loan Inputs'!$B$8+A266*IF('Loan Inputs'!$B$14=26,14,7)))</f>
        <v>54240</v>
      </c>
      <c r="C266" s="2">
        <f t="shared" si="14"/>
        <v>316646.26695221476</v>
      </c>
      <c r="D266" s="2">
        <f>IF(A266="","",MIN('Loan Inputs'!$B$17,C266+E266)+H266)</f>
        <v>4061.5333678073534</v>
      </c>
      <c r="E266" s="2">
        <f>IF(A266="","",C266*'Loan Inputs'!$B$15)</f>
        <v>1686.1413715205435</v>
      </c>
      <c r="F266" s="2">
        <f t="shared" si="12"/>
        <v>2375.3919962868099</v>
      </c>
      <c r="G266" s="2">
        <f t="shared" si="13"/>
        <v>314270.87495592795</v>
      </c>
      <c r="H266" s="2">
        <f>IF(A266="","",MIN(0,MAX(0,C266+E266-'Loan Inputs'!$B$17)))</f>
        <v>0</v>
      </c>
    </row>
    <row r="267" spans="1:8" ht="22" customHeight="1">
      <c r="A267" s="1">
        <f>IF(AND('Loan Inputs'!$B$12,261&lt;=IF('Loan Inputs'!$B$12,'Loan Inputs'!$B$7,0)*'Loan Inputs'!$B$14+0,ISNUMBER(G266),G266&gt;0),261,"")</f>
        <v>261</v>
      </c>
      <c r="B267" s="4">
        <f>IF(A267="","",IF('Loan Inputs'!$B$14=12,DATE(YEAR('Loan Inputs'!$B$8),MONTH('Loan Inputs'!$B$8)+A267,DAY('Loan Inputs'!$B$8)),'Loan Inputs'!$B$8+A267*IF('Loan Inputs'!$B$14=26,14,7)))</f>
        <v>54271</v>
      </c>
      <c r="C267" s="2">
        <f t="shared" si="14"/>
        <v>314270.87495592795</v>
      </c>
      <c r="D267" s="2">
        <f>IF(A267="","",MIN('Loan Inputs'!$B$17,C267+E267)+H267)</f>
        <v>4061.5333678073534</v>
      </c>
      <c r="E267" s="2">
        <f>IF(A267="","",C267*'Loan Inputs'!$B$15)</f>
        <v>1673.4924091403163</v>
      </c>
      <c r="F267" s="2">
        <f t="shared" si="12"/>
        <v>2388.0409586670371</v>
      </c>
      <c r="G267" s="2">
        <f t="shared" si="13"/>
        <v>311882.8339972609</v>
      </c>
      <c r="H267" s="2">
        <f>IF(A267="","",MIN(0,MAX(0,C267+E267-'Loan Inputs'!$B$17)))</f>
        <v>0</v>
      </c>
    </row>
    <row r="268" spans="1:8" ht="22" customHeight="1">
      <c r="A268" s="1">
        <f>IF(AND('Loan Inputs'!$B$12,262&lt;=IF('Loan Inputs'!$B$12,'Loan Inputs'!$B$7,0)*'Loan Inputs'!$B$14+0,ISNUMBER(G267),G267&gt;0),262,"")</f>
        <v>262</v>
      </c>
      <c r="B268" s="4">
        <f>IF(A268="","",IF('Loan Inputs'!$B$14=12,DATE(YEAR('Loan Inputs'!$B$8),MONTH('Loan Inputs'!$B$8)+A268,DAY('Loan Inputs'!$B$8)),'Loan Inputs'!$B$8+A268*IF('Loan Inputs'!$B$14=26,14,7)))</f>
        <v>54302</v>
      </c>
      <c r="C268" s="2">
        <f t="shared" si="14"/>
        <v>311882.8339972609</v>
      </c>
      <c r="D268" s="2">
        <f>IF(A268="","",MIN('Loan Inputs'!$B$17,C268+E268)+H268)</f>
        <v>4061.5333678073534</v>
      </c>
      <c r="E268" s="2">
        <f>IF(A268="","",C268*'Loan Inputs'!$B$15)</f>
        <v>1660.7760910354143</v>
      </c>
      <c r="F268" s="2">
        <f t="shared" si="12"/>
        <v>2400.7572767719394</v>
      </c>
      <c r="G268" s="2">
        <f t="shared" si="13"/>
        <v>309482.07672048896</v>
      </c>
      <c r="H268" s="2">
        <f>IF(A268="","",MIN(0,MAX(0,C268+E268-'Loan Inputs'!$B$17)))</f>
        <v>0</v>
      </c>
    </row>
    <row r="269" spans="1:8" ht="22" customHeight="1">
      <c r="A269" s="1">
        <f>IF(AND('Loan Inputs'!$B$12,263&lt;=IF('Loan Inputs'!$B$12,'Loan Inputs'!$B$7,0)*'Loan Inputs'!$B$14+0,ISNUMBER(G268),G268&gt;0),263,"")</f>
        <v>263</v>
      </c>
      <c r="B269" s="4">
        <f>IF(A269="","",IF('Loan Inputs'!$B$14=12,DATE(YEAR('Loan Inputs'!$B$8),MONTH('Loan Inputs'!$B$8)+A269,DAY('Loan Inputs'!$B$8)),'Loan Inputs'!$B$8+A269*IF('Loan Inputs'!$B$14=26,14,7)))</f>
        <v>54332</v>
      </c>
      <c r="C269" s="2">
        <f t="shared" si="14"/>
        <v>309482.07672048896</v>
      </c>
      <c r="D269" s="2">
        <f>IF(A269="","",MIN('Loan Inputs'!$B$17,C269+E269)+H269)</f>
        <v>4061.5333678073534</v>
      </c>
      <c r="E269" s="2">
        <f>IF(A269="","",C269*'Loan Inputs'!$B$15)</f>
        <v>1647.9920585366037</v>
      </c>
      <c r="F269" s="2">
        <f t="shared" si="12"/>
        <v>2413.5413092707495</v>
      </c>
      <c r="G269" s="2">
        <f t="shared" si="13"/>
        <v>307068.53541121818</v>
      </c>
      <c r="H269" s="2">
        <f>IF(A269="","",MIN(0,MAX(0,C269+E269-'Loan Inputs'!$B$17)))</f>
        <v>0</v>
      </c>
    </row>
    <row r="270" spans="1:8" ht="22" customHeight="1">
      <c r="A270" s="1">
        <f>IF(AND('Loan Inputs'!$B$12,264&lt;=IF('Loan Inputs'!$B$12,'Loan Inputs'!$B$7,0)*'Loan Inputs'!$B$14+0,ISNUMBER(G269),G269&gt;0),264,"")</f>
        <v>264</v>
      </c>
      <c r="B270" s="4">
        <f>IF(A270="","",IF('Loan Inputs'!$B$14=12,DATE(YEAR('Loan Inputs'!$B$8),MONTH('Loan Inputs'!$B$8)+A270,DAY('Loan Inputs'!$B$8)),'Loan Inputs'!$B$8+A270*IF('Loan Inputs'!$B$14=26,14,7)))</f>
        <v>54363</v>
      </c>
      <c r="C270" s="2">
        <f t="shared" si="14"/>
        <v>307068.53541121818</v>
      </c>
      <c r="D270" s="2">
        <f>IF(A270="","",MIN('Loan Inputs'!$B$17,C270+E270)+H270)</f>
        <v>4061.5333678073534</v>
      </c>
      <c r="E270" s="2">
        <f>IF(A270="","",C270*'Loan Inputs'!$B$15)</f>
        <v>1635.1399510647368</v>
      </c>
      <c r="F270" s="2">
        <f t="shared" si="12"/>
        <v>2426.3934167426169</v>
      </c>
      <c r="G270" s="2">
        <f t="shared" si="13"/>
        <v>304642.14199447556</v>
      </c>
      <c r="H270" s="2">
        <f>IF(A270="","",MIN(0,MAX(0,C270+E270-'Loan Inputs'!$B$17)))</f>
        <v>0</v>
      </c>
    </row>
    <row r="271" spans="1:8" ht="22" customHeight="1">
      <c r="A271" s="1">
        <f>IF(AND('Loan Inputs'!$B$12,265&lt;=IF('Loan Inputs'!$B$12,'Loan Inputs'!$B$7,0)*'Loan Inputs'!$B$14+0,ISNUMBER(G270),G270&gt;0),265,"")</f>
        <v>265</v>
      </c>
      <c r="B271" s="4">
        <f>IF(A271="","",IF('Loan Inputs'!$B$14=12,DATE(YEAR('Loan Inputs'!$B$8),MONTH('Loan Inputs'!$B$8)+A271,DAY('Loan Inputs'!$B$8)),'Loan Inputs'!$B$8+A271*IF('Loan Inputs'!$B$14=26,14,7)))</f>
        <v>54393</v>
      </c>
      <c r="C271" s="2">
        <f t="shared" si="14"/>
        <v>304642.14199447556</v>
      </c>
      <c r="D271" s="2">
        <f>IF(A271="","",MIN('Loan Inputs'!$B$17,C271+E271)+H271)</f>
        <v>4061.5333678073534</v>
      </c>
      <c r="E271" s="2">
        <f>IF(A271="","",C271*'Loan Inputs'!$B$15)</f>
        <v>1622.2194061205823</v>
      </c>
      <c r="F271" s="2">
        <f t="shared" si="12"/>
        <v>2439.3139616867711</v>
      </c>
      <c r="G271" s="2">
        <f t="shared" si="13"/>
        <v>302202.82803278876</v>
      </c>
      <c r="H271" s="2">
        <f>IF(A271="","",MIN(0,MAX(0,C271+E271-'Loan Inputs'!$B$17)))</f>
        <v>0</v>
      </c>
    </row>
    <row r="272" spans="1:8" ht="22" customHeight="1">
      <c r="A272" s="1">
        <f>IF(AND('Loan Inputs'!$B$12,266&lt;=IF('Loan Inputs'!$B$12,'Loan Inputs'!$B$7,0)*'Loan Inputs'!$B$14+0,ISNUMBER(G271),G271&gt;0),266,"")</f>
        <v>266</v>
      </c>
      <c r="B272" s="4">
        <f>IF(A272="","",IF('Loan Inputs'!$B$14=12,DATE(YEAR('Loan Inputs'!$B$8),MONTH('Loan Inputs'!$B$8)+A272,DAY('Loan Inputs'!$B$8)),'Loan Inputs'!$B$8+A272*IF('Loan Inputs'!$B$14=26,14,7)))</f>
        <v>54424</v>
      </c>
      <c r="C272" s="2">
        <f t="shared" si="14"/>
        <v>302202.82803278876</v>
      </c>
      <c r="D272" s="2">
        <f>IF(A272="","",MIN('Loan Inputs'!$B$17,C272+E272)+H272)</f>
        <v>4061.5333678073534</v>
      </c>
      <c r="E272" s="2">
        <f>IF(A272="","",C272*'Loan Inputs'!$B$15)</f>
        <v>1609.2300592746001</v>
      </c>
      <c r="F272" s="2">
        <f t="shared" si="12"/>
        <v>2452.3033085327534</v>
      </c>
      <c r="G272" s="2">
        <f t="shared" si="13"/>
        <v>299750.52472425601</v>
      </c>
      <c r="H272" s="2">
        <f>IF(A272="","",MIN(0,MAX(0,C272+E272-'Loan Inputs'!$B$17)))</f>
        <v>0</v>
      </c>
    </row>
    <row r="273" spans="1:8" ht="22" customHeight="1">
      <c r="A273" s="1">
        <f>IF(AND('Loan Inputs'!$B$12,267&lt;=IF('Loan Inputs'!$B$12,'Loan Inputs'!$B$7,0)*'Loan Inputs'!$B$14+0,ISNUMBER(G272),G272&gt;0),267,"")</f>
        <v>267</v>
      </c>
      <c r="B273" s="4">
        <f>IF(A273="","",IF('Loan Inputs'!$B$14=12,DATE(YEAR('Loan Inputs'!$B$8),MONTH('Loan Inputs'!$B$8)+A273,DAY('Loan Inputs'!$B$8)),'Loan Inputs'!$B$8+A273*IF('Loan Inputs'!$B$14=26,14,7)))</f>
        <v>54455</v>
      </c>
      <c r="C273" s="2">
        <f t="shared" si="14"/>
        <v>299750.52472425601</v>
      </c>
      <c r="D273" s="2">
        <f>IF(A273="","",MIN('Loan Inputs'!$B$17,C273+E273)+H273)</f>
        <v>4061.5333678073534</v>
      </c>
      <c r="E273" s="2">
        <f>IF(A273="","",C273*'Loan Inputs'!$B$15)</f>
        <v>1596.1715441566632</v>
      </c>
      <c r="F273" s="2">
        <f t="shared" si="12"/>
        <v>2465.36182365069</v>
      </c>
      <c r="G273" s="2">
        <f t="shared" si="13"/>
        <v>297285.1629006053</v>
      </c>
      <c r="H273" s="2">
        <f>IF(A273="","",MIN(0,MAX(0,C273+E273-'Loan Inputs'!$B$17)))</f>
        <v>0</v>
      </c>
    </row>
    <row r="274" spans="1:8" ht="22" customHeight="1">
      <c r="A274" s="1">
        <f>IF(AND('Loan Inputs'!$B$12,268&lt;=IF('Loan Inputs'!$B$12,'Loan Inputs'!$B$7,0)*'Loan Inputs'!$B$14+0,ISNUMBER(G273),G273&gt;0),268,"")</f>
        <v>268</v>
      </c>
      <c r="B274" s="4">
        <f>IF(A274="","",IF('Loan Inputs'!$B$14=12,DATE(YEAR('Loan Inputs'!$B$8),MONTH('Loan Inputs'!$B$8)+A274,DAY('Loan Inputs'!$B$8)),'Loan Inputs'!$B$8+A274*IF('Loan Inputs'!$B$14=26,14,7)))</f>
        <v>54483</v>
      </c>
      <c r="C274" s="2">
        <f t="shared" si="14"/>
        <v>297285.1629006053</v>
      </c>
      <c r="D274" s="2">
        <f>IF(A274="","",MIN('Loan Inputs'!$B$17,C274+E274)+H274)</f>
        <v>4061.5333678073534</v>
      </c>
      <c r="E274" s="2">
        <f>IF(A274="","",C274*'Loan Inputs'!$B$15)</f>
        <v>1583.0434924457231</v>
      </c>
      <c r="F274" s="2">
        <f t="shared" si="12"/>
        <v>2478.4898753616303</v>
      </c>
      <c r="G274" s="2">
        <f t="shared" si="13"/>
        <v>294806.67302524368</v>
      </c>
      <c r="H274" s="2">
        <f>IF(A274="","",MIN(0,MAX(0,C274+E274-'Loan Inputs'!$B$17)))</f>
        <v>0</v>
      </c>
    </row>
    <row r="275" spans="1:8" ht="22" customHeight="1">
      <c r="A275" s="1">
        <f>IF(AND('Loan Inputs'!$B$12,269&lt;=IF('Loan Inputs'!$B$12,'Loan Inputs'!$B$7,0)*'Loan Inputs'!$B$14+0,ISNUMBER(G274),G274&gt;0),269,"")</f>
        <v>269</v>
      </c>
      <c r="B275" s="4">
        <f>IF(A275="","",IF('Loan Inputs'!$B$14=12,DATE(YEAR('Loan Inputs'!$B$8),MONTH('Loan Inputs'!$B$8)+A275,DAY('Loan Inputs'!$B$8)),'Loan Inputs'!$B$8+A275*IF('Loan Inputs'!$B$14=26,14,7)))</f>
        <v>54514</v>
      </c>
      <c r="C275" s="2">
        <f t="shared" si="14"/>
        <v>294806.67302524368</v>
      </c>
      <c r="D275" s="2">
        <f>IF(A275="","",MIN('Loan Inputs'!$B$17,C275+E275)+H275)</f>
        <v>4061.5333678073534</v>
      </c>
      <c r="E275" s="2">
        <f>IF(A275="","",C275*'Loan Inputs'!$B$15)</f>
        <v>1569.8455338594226</v>
      </c>
      <c r="F275" s="2">
        <f t="shared" si="12"/>
        <v>2491.6878339479308</v>
      </c>
      <c r="G275" s="2">
        <f t="shared" si="13"/>
        <v>292314.98519129574</v>
      </c>
      <c r="H275" s="2">
        <f>IF(A275="","",MIN(0,MAX(0,C275+E275-'Loan Inputs'!$B$17)))</f>
        <v>0</v>
      </c>
    </row>
    <row r="276" spans="1:8" ht="22" customHeight="1">
      <c r="A276" s="1">
        <f>IF(AND('Loan Inputs'!$B$12,270&lt;=IF('Loan Inputs'!$B$12,'Loan Inputs'!$B$7,0)*'Loan Inputs'!$B$14+0,ISNUMBER(G275),G275&gt;0),270,"")</f>
        <v>270</v>
      </c>
      <c r="B276" s="4">
        <f>IF(A276="","",IF('Loan Inputs'!$B$14=12,DATE(YEAR('Loan Inputs'!$B$8),MONTH('Loan Inputs'!$B$8)+A276,DAY('Loan Inputs'!$B$8)),'Loan Inputs'!$B$8+A276*IF('Loan Inputs'!$B$14=26,14,7)))</f>
        <v>54544</v>
      </c>
      <c r="C276" s="2">
        <f t="shared" si="14"/>
        <v>292314.98519129574</v>
      </c>
      <c r="D276" s="2">
        <f>IF(A276="","",MIN('Loan Inputs'!$B$17,C276+E276)+H276)</f>
        <v>4061.5333678073534</v>
      </c>
      <c r="E276" s="2">
        <f>IF(A276="","",C276*'Loan Inputs'!$B$15)</f>
        <v>1556.5772961436498</v>
      </c>
      <c r="F276" s="2">
        <f t="shared" si="12"/>
        <v>2504.9560716637034</v>
      </c>
      <c r="G276" s="2">
        <f t="shared" si="13"/>
        <v>289810.02911963203</v>
      </c>
      <c r="H276" s="2">
        <f>IF(A276="","",MIN(0,MAX(0,C276+E276-'Loan Inputs'!$B$17)))</f>
        <v>0</v>
      </c>
    </row>
    <row r="277" spans="1:8" ht="22" customHeight="1">
      <c r="A277" s="1">
        <f>IF(AND('Loan Inputs'!$B$12,271&lt;=IF('Loan Inputs'!$B$12,'Loan Inputs'!$B$7,0)*'Loan Inputs'!$B$14+0,ISNUMBER(G276),G276&gt;0),271,"")</f>
        <v>271</v>
      </c>
      <c r="B277" s="4">
        <f>IF(A277="","",IF('Loan Inputs'!$B$14=12,DATE(YEAR('Loan Inputs'!$B$8),MONTH('Loan Inputs'!$B$8)+A277,DAY('Loan Inputs'!$B$8)),'Loan Inputs'!$B$8+A277*IF('Loan Inputs'!$B$14=26,14,7)))</f>
        <v>54575</v>
      </c>
      <c r="C277" s="2">
        <f t="shared" si="14"/>
        <v>289810.02911963203</v>
      </c>
      <c r="D277" s="2">
        <f>IF(A277="","",MIN('Loan Inputs'!$B$17,C277+E277)+H277)</f>
        <v>4061.5333678073534</v>
      </c>
      <c r="E277" s="2">
        <f>IF(A277="","",C277*'Loan Inputs'!$B$15)</f>
        <v>1543.2384050620406</v>
      </c>
      <c r="F277" s="2">
        <f t="shared" si="12"/>
        <v>2518.2949627453127</v>
      </c>
      <c r="G277" s="2">
        <f t="shared" si="13"/>
        <v>287291.7341568867</v>
      </c>
      <c r="H277" s="2">
        <f>IF(A277="","",MIN(0,MAX(0,C277+E277-'Loan Inputs'!$B$17)))</f>
        <v>0</v>
      </c>
    </row>
    <row r="278" spans="1:8" ht="22" customHeight="1">
      <c r="A278" s="1">
        <f>IF(AND('Loan Inputs'!$B$12,272&lt;=IF('Loan Inputs'!$B$12,'Loan Inputs'!$B$7,0)*'Loan Inputs'!$B$14+0,ISNUMBER(G277),G277&gt;0),272,"")</f>
        <v>272</v>
      </c>
      <c r="B278" s="4">
        <f>IF(A278="","",IF('Loan Inputs'!$B$14=12,DATE(YEAR('Loan Inputs'!$B$8),MONTH('Loan Inputs'!$B$8)+A278,DAY('Loan Inputs'!$B$8)),'Loan Inputs'!$B$8+A278*IF('Loan Inputs'!$B$14=26,14,7)))</f>
        <v>54605</v>
      </c>
      <c r="C278" s="2">
        <f t="shared" si="14"/>
        <v>287291.7341568867</v>
      </c>
      <c r="D278" s="2">
        <f>IF(A278="","",MIN('Loan Inputs'!$B$17,C278+E278)+H278)</f>
        <v>4061.5333678073534</v>
      </c>
      <c r="E278" s="2">
        <f>IF(A278="","",C278*'Loan Inputs'!$B$15)</f>
        <v>1529.8284843854217</v>
      </c>
      <c r="F278" s="2">
        <f t="shared" si="12"/>
        <v>2531.7048834219318</v>
      </c>
      <c r="G278" s="2">
        <f t="shared" si="13"/>
        <v>284760.02927346475</v>
      </c>
      <c r="H278" s="2">
        <f>IF(A278="","",MIN(0,MAX(0,C278+E278-'Loan Inputs'!$B$17)))</f>
        <v>0</v>
      </c>
    </row>
    <row r="279" spans="1:8" ht="22" customHeight="1">
      <c r="A279" s="1">
        <f>IF(AND('Loan Inputs'!$B$12,273&lt;=IF('Loan Inputs'!$B$12,'Loan Inputs'!$B$7,0)*'Loan Inputs'!$B$14+0,ISNUMBER(G278),G278&gt;0),273,"")</f>
        <v>273</v>
      </c>
      <c r="B279" s="4">
        <f>IF(A279="","",IF('Loan Inputs'!$B$14=12,DATE(YEAR('Loan Inputs'!$B$8),MONTH('Loan Inputs'!$B$8)+A279,DAY('Loan Inputs'!$B$8)),'Loan Inputs'!$B$8+A279*IF('Loan Inputs'!$B$14=26,14,7)))</f>
        <v>54636</v>
      </c>
      <c r="C279" s="2">
        <f t="shared" si="14"/>
        <v>284760.02927346475</v>
      </c>
      <c r="D279" s="2">
        <f>IF(A279="","",MIN('Loan Inputs'!$B$17,C279+E279)+H279)</f>
        <v>4061.5333678073534</v>
      </c>
      <c r="E279" s="2">
        <f>IF(A279="","",C279*'Loan Inputs'!$B$15)</f>
        <v>1516.3471558811998</v>
      </c>
      <c r="F279" s="2">
        <f t="shared" si="12"/>
        <v>2545.1862119261536</v>
      </c>
      <c r="G279" s="2">
        <f t="shared" si="13"/>
        <v>282214.84306153859</v>
      </c>
      <c r="H279" s="2">
        <f>IF(A279="","",MIN(0,MAX(0,C279+E279-'Loan Inputs'!$B$17)))</f>
        <v>0</v>
      </c>
    </row>
    <row r="280" spans="1:8" ht="22" customHeight="1">
      <c r="A280" s="1">
        <f>IF(AND('Loan Inputs'!$B$12,274&lt;=IF('Loan Inputs'!$B$12,'Loan Inputs'!$B$7,0)*'Loan Inputs'!$B$14+0,ISNUMBER(G279),G279&gt;0),274,"")</f>
        <v>274</v>
      </c>
      <c r="B280" s="4">
        <f>IF(A280="","",IF('Loan Inputs'!$B$14=12,DATE(YEAR('Loan Inputs'!$B$8),MONTH('Loan Inputs'!$B$8)+A280,DAY('Loan Inputs'!$B$8)),'Loan Inputs'!$B$8+A280*IF('Loan Inputs'!$B$14=26,14,7)))</f>
        <v>54667</v>
      </c>
      <c r="C280" s="2">
        <f t="shared" si="14"/>
        <v>282214.84306153859</v>
      </c>
      <c r="D280" s="2">
        <f>IF(A280="","",MIN('Loan Inputs'!$B$17,C280+E280)+H280)</f>
        <v>4061.5333678073534</v>
      </c>
      <c r="E280" s="2">
        <f>IF(A280="","",C280*'Loan Inputs'!$B$15)</f>
        <v>1502.7940393026929</v>
      </c>
      <c r="F280" s="2">
        <f t="shared" si="12"/>
        <v>2558.7393285046605</v>
      </c>
      <c r="G280" s="2">
        <f t="shared" si="13"/>
        <v>279656.10373303393</v>
      </c>
      <c r="H280" s="2">
        <f>IF(A280="","",MIN(0,MAX(0,C280+E280-'Loan Inputs'!$B$17)))</f>
        <v>0</v>
      </c>
    </row>
    <row r="281" spans="1:8" ht="22" customHeight="1">
      <c r="A281" s="1">
        <f>IF(AND('Loan Inputs'!$B$12,275&lt;=IF('Loan Inputs'!$B$12,'Loan Inputs'!$B$7,0)*'Loan Inputs'!$B$14+0,ISNUMBER(G280),G280&gt;0),275,"")</f>
        <v>275</v>
      </c>
      <c r="B281" s="4">
        <f>IF(A281="","",IF('Loan Inputs'!$B$14=12,DATE(YEAR('Loan Inputs'!$B$8),MONTH('Loan Inputs'!$B$8)+A281,DAY('Loan Inputs'!$B$8)),'Loan Inputs'!$B$8+A281*IF('Loan Inputs'!$B$14=26,14,7)))</f>
        <v>54697</v>
      </c>
      <c r="C281" s="2">
        <f t="shared" si="14"/>
        <v>279656.10373303393</v>
      </c>
      <c r="D281" s="2">
        <f>IF(A281="","",MIN('Loan Inputs'!$B$17,C281+E281)+H281)</f>
        <v>4061.5333678073534</v>
      </c>
      <c r="E281" s="2">
        <f>IF(A281="","",C281*'Loan Inputs'!$B$15)</f>
        <v>1489.1687523784055</v>
      </c>
      <c r="F281" s="2">
        <f t="shared" si="12"/>
        <v>2572.3646154289481</v>
      </c>
      <c r="G281" s="2">
        <f t="shared" si="13"/>
        <v>277083.73911760497</v>
      </c>
      <c r="H281" s="2">
        <f>IF(A281="","",MIN(0,MAX(0,C281+E281-'Loan Inputs'!$B$17)))</f>
        <v>0</v>
      </c>
    </row>
    <row r="282" spans="1:8" ht="22" customHeight="1">
      <c r="A282" s="1">
        <f>IF(AND('Loan Inputs'!$B$12,276&lt;=IF('Loan Inputs'!$B$12,'Loan Inputs'!$B$7,0)*'Loan Inputs'!$B$14+0,ISNUMBER(G281),G281&gt;0),276,"")</f>
        <v>276</v>
      </c>
      <c r="B282" s="4">
        <f>IF(A282="","",IF('Loan Inputs'!$B$14=12,DATE(YEAR('Loan Inputs'!$B$8),MONTH('Loan Inputs'!$B$8)+A282,DAY('Loan Inputs'!$B$8)),'Loan Inputs'!$B$8+A282*IF('Loan Inputs'!$B$14=26,14,7)))</f>
        <v>54728</v>
      </c>
      <c r="C282" s="2">
        <f t="shared" si="14"/>
        <v>277083.73911760497</v>
      </c>
      <c r="D282" s="2">
        <f>IF(A282="","",MIN('Loan Inputs'!$B$17,C282+E282)+H282)</f>
        <v>4061.5333678073534</v>
      </c>
      <c r="E282" s="2">
        <f>IF(A282="","",C282*'Loan Inputs'!$B$15)</f>
        <v>1475.4709108012464</v>
      </c>
      <c r="F282" s="2">
        <f t="shared" si="12"/>
        <v>2586.0624570061073</v>
      </c>
      <c r="G282" s="2">
        <f t="shared" si="13"/>
        <v>274497.67666059884</v>
      </c>
      <c r="H282" s="2">
        <f>IF(A282="","",MIN(0,MAX(0,C282+E282-'Loan Inputs'!$B$17)))</f>
        <v>0</v>
      </c>
    </row>
    <row r="283" spans="1:8" ht="22" customHeight="1">
      <c r="A283" s="1">
        <f>IF(AND('Loan Inputs'!$B$12,277&lt;=IF('Loan Inputs'!$B$12,'Loan Inputs'!$B$7,0)*'Loan Inputs'!$B$14+0,ISNUMBER(G282),G282&gt;0),277,"")</f>
        <v>277</v>
      </c>
      <c r="B283" s="4">
        <f>IF(A283="","",IF('Loan Inputs'!$B$14=12,DATE(YEAR('Loan Inputs'!$B$8),MONTH('Loan Inputs'!$B$8)+A283,DAY('Loan Inputs'!$B$8)),'Loan Inputs'!$B$8+A283*IF('Loan Inputs'!$B$14=26,14,7)))</f>
        <v>54758</v>
      </c>
      <c r="C283" s="2">
        <f t="shared" si="14"/>
        <v>274497.67666059884</v>
      </c>
      <c r="D283" s="2">
        <f>IF(A283="","",MIN('Loan Inputs'!$B$17,C283+E283)+H283)</f>
        <v>4061.5333678073534</v>
      </c>
      <c r="E283" s="2">
        <f>IF(A283="","",C283*'Loan Inputs'!$B$15)</f>
        <v>1461.7001282176889</v>
      </c>
      <c r="F283" s="2">
        <f t="shared" si="12"/>
        <v>2599.8332395896646</v>
      </c>
      <c r="G283" s="2">
        <f t="shared" si="13"/>
        <v>271897.84342100919</v>
      </c>
      <c r="H283" s="2">
        <f>IF(A283="","",MIN(0,MAX(0,C283+E283-'Loan Inputs'!$B$17)))</f>
        <v>0</v>
      </c>
    </row>
    <row r="284" spans="1:8" ht="22" customHeight="1">
      <c r="A284" s="1">
        <f>IF(AND('Loan Inputs'!$B$12,278&lt;=IF('Loan Inputs'!$B$12,'Loan Inputs'!$B$7,0)*'Loan Inputs'!$B$14+0,ISNUMBER(G283),G283&gt;0),278,"")</f>
        <v>278</v>
      </c>
      <c r="B284" s="4">
        <f>IF(A284="","",IF('Loan Inputs'!$B$14=12,DATE(YEAR('Loan Inputs'!$B$8),MONTH('Loan Inputs'!$B$8)+A284,DAY('Loan Inputs'!$B$8)),'Loan Inputs'!$B$8+A284*IF('Loan Inputs'!$B$14=26,14,7)))</f>
        <v>54789</v>
      </c>
      <c r="C284" s="2">
        <f t="shared" si="14"/>
        <v>271897.84342100919</v>
      </c>
      <c r="D284" s="2">
        <f>IF(A284="","",MIN('Loan Inputs'!$B$17,C284+E284)+H284)</f>
        <v>4061.5333678073534</v>
      </c>
      <c r="E284" s="2">
        <f>IF(A284="","",C284*'Loan Inputs'!$B$15)</f>
        <v>1447.856016216874</v>
      </c>
      <c r="F284" s="2">
        <f t="shared" si="12"/>
        <v>2613.6773515904797</v>
      </c>
      <c r="G284" s="2">
        <f t="shared" si="13"/>
        <v>269284.16606941872</v>
      </c>
      <c r="H284" s="2">
        <f>IF(A284="","",MIN(0,MAX(0,C284+E284-'Loan Inputs'!$B$17)))</f>
        <v>0</v>
      </c>
    </row>
    <row r="285" spans="1:8" ht="22" customHeight="1">
      <c r="A285" s="1">
        <f>IF(AND('Loan Inputs'!$B$12,279&lt;=IF('Loan Inputs'!$B$12,'Loan Inputs'!$B$7,0)*'Loan Inputs'!$B$14+0,ISNUMBER(G284),G284&gt;0),279,"")</f>
        <v>279</v>
      </c>
      <c r="B285" s="4">
        <f>IF(A285="","",IF('Loan Inputs'!$B$14=12,DATE(YEAR('Loan Inputs'!$B$8),MONTH('Loan Inputs'!$B$8)+A285,DAY('Loan Inputs'!$B$8)),'Loan Inputs'!$B$8+A285*IF('Loan Inputs'!$B$14=26,14,7)))</f>
        <v>54820</v>
      </c>
      <c r="C285" s="2">
        <f t="shared" si="14"/>
        <v>269284.16606941872</v>
      </c>
      <c r="D285" s="2">
        <f>IF(A285="","",MIN('Loan Inputs'!$B$17,C285+E285)+H285)</f>
        <v>4061.5333678073534</v>
      </c>
      <c r="E285" s="2">
        <f>IF(A285="","",C285*'Loan Inputs'!$B$15)</f>
        <v>1433.9381843196547</v>
      </c>
      <c r="F285" s="2">
        <f t="shared" si="12"/>
        <v>2627.5951834876987</v>
      </c>
      <c r="G285" s="2">
        <f t="shared" si="13"/>
        <v>266656.57088593103</v>
      </c>
      <c r="H285" s="2">
        <f>IF(A285="","",MIN(0,MAX(0,C285+E285-'Loan Inputs'!$B$17)))</f>
        <v>0</v>
      </c>
    </row>
    <row r="286" spans="1:8" ht="22" customHeight="1">
      <c r="A286" s="1">
        <f>IF(AND('Loan Inputs'!$B$12,280&lt;=IF('Loan Inputs'!$B$12,'Loan Inputs'!$B$7,0)*'Loan Inputs'!$B$14+0,ISNUMBER(G285),G285&gt;0),280,"")</f>
        <v>280</v>
      </c>
      <c r="B286" s="4">
        <f>IF(A286="","",IF('Loan Inputs'!$B$14=12,DATE(YEAR('Loan Inputs'!$B$8),MONTH('Loan Inputs'!$B$8)+A286,DAY('Loan Inputs'!$B$8)),'Loan Inputs'!$B$8+A286*IF('Loan Inputs'!$B$14=26,14,7)))</f>
        <v>54848</v>
      </c>
      <c r="C286" s="2">
        <f t="shared" si="14"/>
        <v>266656.57088593103</v>
      </c>
      <c r="D286" s="2">
        <f>IF(A286="","",MIN('Loan Inputs'!$B$17,C286+E286)+H286)</f>
        <v>4061.5333678073534</v>
      </c>
      <c r="E286" s="2">
        <f>IF(A286="","",C286*'Loan Inputs'!$B$15)</f>
        <v>1419.9462399675826</v>
      </c>
      <c r="F286" s="2">
        <f t="shared" si="12"/>
        <v>2641.5871278397708</v>
      </c>
      <c r="G286" s="2">
        <f t="shared" si="13"/>
        <v>264014.98375809123</v>
      </c>
      <c r="H286" s="2">
        <f>IF(A286="","",MIN(0,MAX(0,C286+E286-'Loan Inputs'!$B$17)))</f>
        <v>0</v>
      </c>
    </row>
    <row r="287" spans="1:8" ht="22" customHeight="1">
      <c r="A287" s="1">
        <f>IF(AND('Loan Inputs'!$B$12,281&lt;=IF('Loan Inputs'!$B$12,'Loan Inputs'!$B$7,0)*'Loan Inputs'!$B$14+0,ISNUMBER(G286),G286&gt;0),281,"")</f>
        <v>281</v>
      </c>
      <c r="B287" s="4">
        <f>IF(A287="","",IF('Loan Inputs'!$B$14=12,DATE(YEAR('Loan Inputs'!$B$8),MONTH('Loan Inputs'!$B$8)+A287,DAY('Loan Inputs'!$B$8)),'Loan Inputs'!$B$8+A287*IF('Loan Inputs'!$B$14=26,14,7)))</f>
        <v>54879</v>
      </c>
      <c r="C287" s="2">
        <f t="shared" si="14"/>
        <v>264014.98375809123</v>
      </c>
      <c r="D287" s="2">
        <f>IF(A287="","",MIN('Loan Inputs'!$B$17,C287+E287)+H287)</f>
        <v>4061.5333678073534</v>
      </c>
      <c r="E287" s="2">
        <f>IF(A287="","",C287*'Loan Inputs'!$B$15)</f>
        <v>1405.8797885118358</v>
      </c>
      <c r="F287" s="2">
        <f t="shared" si="12"/>
        <v>2655.6535792955174</v>
      </c>
      <c r="G287" s="2">
        <f t="shared" si="13"/>
        <v>261359.3301787957</v>
      </c>
      <c r="H287" s="2">
        <f>IF(A287="","",MIN(0,MAX(0,C287+E287-'Loan Inputs'!$B$17)))</f>
        <v>0</v>
      </c>
    </row>
    <row r="288" spans="1:8" ht="22" customHeight="1">
      <c r="A288" s="1">
        <f>IF(AND('Loan Inputs'!$B$12,282&lt;=IF('Loan Inputs'!$B$12,'Loan Inputs'!$B$7,0)*'Loan Inputs'!$B$14+0,ISNUMBER(G287),G287&gt;0),282,"")</f>
        <v>282</v>
      </c>
      <c r="B288" s="4">
        <f>IF(A288="","",IF('Loan Inputs'!$B$14=12,DATE(YEAR('Loan Inputs'!$B$8),MONTH('Loan Inputs'!$B$8)+A288,DAY('Loan Inputs'!$B$8)),'Loan Inputs'!$B$8+A288*IF('Loan Inputs'!$B$14=26,14,7)))</f>
        <v>54909</v>
      </c>
      <c r="C288" s="2">
        <f t="shared" si="14"/>
        <v>261359.3301787957</v>
      </c>
      <c r="D288" s="2">
        <f>IF(A288="","",MIN('Loan Inputs'!$B$17,C288+E288)+H288)</f>
        <v>4061.5333678073534</v>
      </c>
      <c r="E288" s="2">
        <f>IF(A288="","",C288*'Loan Inputs'!$B$15)</f>
        <v>1391.738433202087</v>
      </c>
      <c r="F288" s="2">
        <f t="shared" si="12"/>
        <v>2669.7949346052665</v>
      </c>
      <c r="G288" s="2">
        <f t="shared" si="13"/>
        <v>258689.53524419043</v>
      </c>
      <c r="H288" s="2">
        <f>IF(A288="","",MIN(0,MAX(0,C288+E288-'Loan Inputs'!$B$17)))</f>
        <v>0</v>
      </c>
    </row>
    <row r="289" spans="1:8" ht="22" customHeight="1">
      <c r="A289" s="1">
        <f>IF(AND('Loan Inputs'!$B$12,283&lt;=IF('Loan Inputs'!$B$12,'Loan Inputs'!$B$7,0)*'Loan Inputs'!$B$14+0,ISNUMBER(G288),G288&gt;0),283,"")</f>
        <v>283</v>
      </c>
      <c r="B289" s="4">
        <f>IF(A289="","",IF('Loan Inputs'!$B$14=12,DATE(YEAR('Loan Inputs'!$B$8),MONTH('Loan Inputs'!$B$8)+A289,DAY('Loan Inputs'!$B$8)),'Loan Inputs'!$B$8+A289*IF('Loan Inputs'!$B$14=26,14,7)))</f>
        <v>54940</v>
      </c>
      <c r="C289" s="2">
        <f t="shared" si="14"/>
        <v>258689.53524419043</v>
      </c>
      <c r="D289" s="2">
        <f>IF(A289="","",MIN('Loan Inputs'!$B$17,C289+E289)+H289)</f>
        <v>4061.5333678073534</v>
      </c>
      <c r="E289" s="2">
        <f>IF(A289="","",C289*'Loan Inputs'!$B$15)</f>
        <v>1377.5217751753139</v>
      </c>
      <c r="F289" s="2">
        <f t="shared" si="12"/>
        <v>2684.0115926320395</v>
      </c>
      <c r="G289" s="2">
        <f t="shared" si="13"/>
        <v>256005.52365155838</v>
      </c>
      <c r="H289" s="2">
        <f>IF(A289="","",MIN(0,MAX(0,C289+E289-'Loan Inputs'!$B$17)))</f>
        <v>0</v>
      </c>
    </row>
    <row r="290" spans="1:8" ht="22" customHeight="1">
      <c r="A290" s="1">
        <f>IF(AND('Loan Inputs'!$B$12,284&lt;=IF('Loan Inputs'!$B$12,'Loan Inputs'!$B$7,0)*'Loan Inputs'!$B$14+0,ISNUMBER(G289),G289&gt;0),284,"")</f>
        <v>284</v>
      </c>
      <c r="B290" s="4">
        <f>IF(A290="","",IF('Loan Inputs'!$B$14=12,DATE(YEAR('Loan Inputs'!$B$8),MONTH('Loan Inputs'!$B$8)+A290,DAY('Loan Inputs'!$B$8)),'Loan Inputs'!$B$8+A290*IF('Loan Inputs'!$B$14=26,14,7)))</f>
        <v>54970</v>
      </c>
      <c r="C290" s="2">
        <f t="shared" si="14"/>
        <v>256005.52365155838</v>
      </c>
      <c r="D290" s="2">
        <f>IF(A290="","",MIN('Loan Inputs'!$B$17,C290+E290)+H290)</f>
        <v>4061.5333678073534</v>
      </c>
      <c r="E290" s="2">
        <f>IF(A290="","",C290*'Loan Inputs'!$B$15)</f>
        <v>1363.2294134445483</v>
      </c>
      <c r="F290" s="2">
        <f t="shared" si="12"/>
        <v>2698.3039543628051</v>
      </c>
      <c r="G290" s="2">
        <f t="shared" si="13"/>
        <v>253307.21969719557</v>
      </c>
      <c r="H290" s="2">
        <f>IF(A290="","",MIN(0,MAX(0,C290+E290-'Loan Inputs'!$B$17)))</f>
        <v>0</v>
      </c>
    </row>
    <row r="291" spans="1:8" ht="22" customHeight="1">
      <c r="A291" s="1">
        <f>IF(AND('Loan Inputs'!$B$12,285&lt;=IF('Loan Inputs'!$B$12,'Loan Inputs'!$B$7,0)*'Loan Inputs'!$B$14+0,ISNUMBER(G290),G290&gt;0),285,"")</f>
        <v>285</v>
      </c>
      <c r="B291" s="4">
        <f>IF(A291="","",IF('Loan Inputs'!$B$14=12,DATE(YEAR('Loan Inputs'!$B$8),MONTH('Loan Inputs'!$B$8)+A291,DAY('Loan Inputs'!$B$8)),'Loan Inputs'!$B$8+A291*IF('Loan Inputs'!$B$14=26,14,7)))</f>
        <v>55001</v>
      </c>
      <c r="C291" s="2">
        <f t="shared" si="14"/>
        <v>253307.21969719557</v>
      </c>
      <c r="D291" s="2">
        <f>IF(A291="","",MIN('Loan Inputs'!$B$17,C291+E291)+H291)</f>
        <v>4061.5333678073534</v>
      </c>
      <c r="E291" s="2">
        <f>IF(A291="","",C291*'Loan Inputs'!$B$15)</f>
        <v>1348.8609448875663</v>
      </c>
      <c r="F291" s="2">
        <f t="shared" si="12"/>
        <v>2712.6724229197871</v>
      </c>
      <c r="G291" s="2">
        <f t="shared" si="13"/>
        <v>250594.54727427577</v>
      </c>
      <c r="H291" s="2">
        <f>IF(A291="","",MIN(0,MAX(0,C291+E291-'Loan Inputs'!$B$17)))</f>
        <v>0</v>
      </c>
    </row>
    <row r="292" spans="1:8" ht="22" customHeight="1">
      <c r="A292" s="1">
        <f>IF(AND('Loan Inputs'!$B$12,286&lt;=IF('Loan Inputs'!$B$12,'Loan Inputs'!$B$7,0)*'Loan Inputs'!$B$14+0,ISNUMBER(G291),G291&gt;0),286,"")</f>
        <v>286</v>
      </c>
      <c r="B292" s="4">
        <f>IF(A292="","",IF('Loan Inputs'!$B$14=12,DATE(YEAR('Loan Inputs'!$B$8),MONTH('Loan Inputs'!$B$8)+A292,DAY('Loan Inputs'!$B$8)),'Loan Inputs'!$B$8+A292*IF('Loan Inputs'!$B$14=26,14,7)))</f>
        <v>55032</v>
      </c>
      <c r="C292" s="2">
        <f t="shared" si="14"/>
        <v>250594.54727427577</v>
      </c>
      <c r="D292" s="2">
        <f>IF(A292="","",MIN('Loan Inputs'!$B$17,C292+E292)+H292)</f>
        <v>4061.5333678073534</v>
      </c>
      <c r="E292" s="2">
        <f>IF(A292="","",C292*'Loan Inputs'!$B$15)</f>
        <v>1334.4159642355185</v>
      </c>
      <c r="F292" s="2">
        <f t="shared" si="12"/>
        <v>2727.117403571835</v>
      </c>
      <c r="G292" s="2">
        <f t="shared" si="13"/>
        <v>247867.42987070393</v>
      </c>
      <c r="H292" s="2">
        <f>IF(A292="","",MIN(0,MAX(0,C292+E292-'Loan Inputs'!$B$17)))</f>
        <v>0</v>
      </c>
    </row>
    <row r="293" spans="1:8" ht="22" customHeight="1">
      <c r="A293" s="1">
        <f>IF(AND('Loan Inputs'!$B$12,287&lt;=IF('Loan Inputs'!$B$12,'Loan Inputs'!$B$7,0)*'Loan Inputs'!$B$14+0,ISNUMBER(G292),G292&gt;0),287,"")</f>
        <v>287</v>
      </c>
      <c r="B293" s="4">
        <f>IF(A293="","",IF('Loan Inputs'!$B$14=12,DATE(YEAR('Loan Inputs'!$B$8),MONTH('Loan Inputs'!$B$8)+A293,DAY('Loan Inputs'!$B$8)),'Loan Inputs'!$B$8+A293*IF('Loan Inputs'!$B$14=26,14,7)))</f>
        <v>55062</v>
      </c>
      <c r="C293" s="2">
        <f t="shared" si="14"/>
        <v>247867.42987070393</v>
      </c>
      <c r="D293" s="2">
        <f>IF(A293="","",MIN('Loan Inputs'!$B$17,C293+E293)+H293)</f>
        <v>4061.5333678073534</v>
      </c>
      <c r="E293" s="2">
        <f>IF(A293="","",C293*'Loan Inputs'!$B$15)</f>
        <v>1319.8940640614983</v>
      </c>
      <c r="F293" s="2">
        <f t="shared" si="12"/>
        <v>2741.6393037458552</v>
      </c>
      <c r="G293" s="2">
        <f t="shared" si="13"/>
        <v>245125.79056695808</v>
      </c>
      <c r="H293" s="2">
        <f>IF(A293="","",MIN(0,MAX(0,C293+E293-'Loan Inputs'!$B$17)))</f>
        <v>0</v>
      </c>
    </row>
    <row r="294" spans="1:8" ht="22" customHeight="1">
      <c r="A294" s="1">
        <f>IF(AND('Loan Inputs'!$B$12,288&lt;=IF('Loan Inputs'!$B$12,'Loan Inputs'!$B$7,0)*'Loan Inputs'!$B$14+0,ISNUMBER(G293),G293&gt;0),288,"")</f>
        <v>288</v>
      </c>
      <c r="B294" s="4">
        <f>IF(A294="","",IF('Loan Inputs'!$B$14=12,DATE(YEAR('Loan Inputs'!$B$8),MONTH('Loan Inputs'!$B$8)+A294,DAY('Loan Inputs'!$B$8)),'Loan Inputs'!$B$8+A294*IF('Loan Inputs'!$B$14=26,14,7)))</f>
        <v>55093</v>
      </c>
      <c r="C294" s="2">
        <f t="shared" si="14"/>
        <v>245125.79056695808</v>
      </c>
      <c r="D294" s="2">
        <f>IF(A294="","",MIN('Loan Inputs'!$B$17,C294+E294)+H294)</f>
        <v>4061.5333678073534</v>
      </c>
      <c r="E294" s="2">
        <f>IF(A294="","",C294*'Loan Inputs'!$B$15)</f>
        <v>1305.2948347690517</v>
      </c>
      <c r="F294" s="2">
        <f t="shared" si="12"/>
        <v>2756.2385330383017</v>
      </c>
      <c r="G294" s="2">
        <f t="shared" si="13"/>
        <v>242369.55203391978</v>
      </c>
      <c r="H294" s="2">
        <f>IF(A294="","",MIN(0,MAX(0,C294+E294-'Loan Inputs'!$B$17)))</f>
        <v>0</v>
      </c>
    </row>
    <row r="295" spans="1:8" ht="22" customHeight="1">
      <c r="A295" s="1">
        <f>IF(AND('Loan Inputs'!$B$12,289&lt;=IF('Loan Inputs'!$B$12,'Loan Inputs'!$B$7,0)*'Loan Inputs'!$B$14+0,ISNUMBER(G294),G294&gt;0),289,"")</f>
        <v>289</v>
      </c>
      <c r="B295" s="4">
        <f>IF(A295="","",IF('Loan Inputs'!$B$14=12,DATE(YEAR('Loan Inputs'!$B$8),MONTH('Loan Inputs'!$B$8)+A295,DAY('Loan Inputs'!$B$8)),'Loan Inputs'!$B$8+A295*IF('Loan Inputs'!$B$14=26,14,7)))</f>
        <v>55123</v>
      </c>
      <c r="C295" s="2">
        <f t="shared" si="14"/>
        <v>242369.55203391978</v>
      </c>
      <c r="D295" s="2">
        <f>IF(A295="","",MIN('Loan Inputs'!$B$17,C295+E295)+H295)</f>
        <v>4061.5333678073534</v>
      </c>
      <c r="E295" s="2">
        <f>IF(A295="","",C295*'Loan Inputs'!$B$15)</f>
        <v>1290.6178645806228</v>
      </c>
      <c r="F295" s="2">
        <f t="shared" si="12"/>
        <v>2770.9155032267308</v>
      </c>
      <c r="G295" s="2">
        <f t="shared" si="13"/>
        <v>239598.63653069304</v>
      </c>
      <c r="H295" s="2">
        <f>IF(A295="","",MIN(0,MAX(0,C295+E295-'Loan Inputs'!$B$17)))</f>
        <v>0</v>
      </c>
    </row>
    <row r="296" spans="1:8" ht="22" customHeight="1">
      <c r="A296" s="1">
        <f>IF(AND('Loan Inputs'!$B$12,290&lt;=IF('Loan Inputs'!$B$12,'Loan Inputs'!$B$7,0)*'Loan Inputs'!$B$14+0,ISNUMBER(G295),G295&gt;0),290,"")</f>
        <v>290</v>
      </c>
      <c r="B296" s="4">
        <f>IF(A296="","",IF('Loan Inputs'!$B$14=12,DATE(YEAR('Loan Inputs'!$B$8),MONTH('Loan Inputs'!$B$8)+A296,DAY('Loan Inputs'!$B$8)),'Loan Inputs'!$B$8+A296*IF('Loan Inputs'!$B$14=26,14,7)))</f>
        <v>55154</v>
      </c>
      <c r="C296" s="2">
        <f t="shared" si="14"/>
        <v>239598.63653069304</v>
      </c>
      <c r="D296" s="2">
        <f>IF(A296="","",MIN('Loan Inputs'!$B$17,C296+E296)+H296)</f>
        <v>4061.5333678073534</v>
      </c>
      <c r="E296" s="2">
        <f>IF(A296="","",C296*'Loan Inputs'!$B$15)</f>
        <v>1275.8627395259405</v>
      </c>
      <c r="F296" s="2">
        <f t="shared" si="12"/>
        <v>2785.670628281413</v>
      </c>
      <c r="G296" s="2">
        <f t="shared" si="13"/>
        <v>236812.96590241161</v>
      </c>
      <c r="H296" s="2">
        <f>IF(A296="","",MIN(0,MAX(0,C296+E296-'Loan Inputs'!$B$17)))</f>
        <v>0</v>
      </c>
    </row>
    <row r="297" spans="1:8" ht="22" customHeight="1">
      <c r="A297" s="1">
        <f>IF(AND('Loan Inputs'!$B$12,291&lt;=IF('Loan Inputs'!$B$12,'Loan Inputs'!$B$7,0)*'Loan Inputs'!$B$14+0,ISNUMBER(G296),G296&gt;0),291,"")</f>
        <v>291</v>
      </c>
      <c r="B297" s="4">
        <f>IF(A297="","",IF('Loan Inputs'!$B$14=12,DATE(YEAR('Loan Inputs'!$B$8),MONTH('Loan Inputs'!$B$8)+A297,DAY('Loan Inputs'!$B$8)),'Loan Inputs'!$B$8+A297*IF('Loan Inputs'!$B$14=26,14,7)))</f>
        <v>55185</v>
      </c>
      <c r="C297" s="2">
        <f t="shared" si="14"/>
        <v>236812.96590241161</v>
      </c>
      <c r="D297" s="2">
        <f>IF(A297="","",MIN('Loan Inputs'!$B$17,C297+E297)+H297)</f>
        <v>4061.5333678073534</v>
      </c>
      <c r="E297" s="2">
        <f>IF(A297="","",C297*'Loan Inputs'!$B$15)</f>
        <v>1261.0290434303417</v>
      </c>
      <c r="F297" s="2">
        <f t="shared" si="12"/>
        <v>2800.5043243770115</v>
      </c>
      <c r="G297" s="2">
        <f t="shared" si="13"/>
        <v>234012.46157803459</v>
      </c>
      <c r="H297" s="2">
        <f>IF(A297="","",MIN(0,MAX(0,C297+E297-'Loan Inputs'!$B$17)))</f>
        <v>0</v>
      </c>
    </row>
    <row r="298" spans="1:8" ht="22" customHeight="1">
      <c r="A298" s="1">
        <f>IF(AND('Loan Inputs'!$B$12,292&lt;=IF('Loan Inputs'!$B$12,'Loan Inputs'!$B$7,0)*'Loan Inputs'!$B$14+0,ISNUMBER(G297),G297&gt;0),292,"")</f>
        <v>292</v>
      </c>
      <c r="B298" s="4">
        <f>IF(A298="","",IF('Loan Inputs'!$B$14=12,DATE(YEAR('Loan Inputs'!$B$8),MONTH('Loan Inputs'!$B$8)+A298,DAY('Loan Inputs'!$B$8)),'Loan Inputs'!$B$8+A298*IF('Loan Inputs'!$B$14=26,14,7)))</f>
        <v>55213</v>
      </c>
      <c r="C298" s="2">
        <f t="shared" si="14"/>
        <v>234012.46157803459</v>
      </c>
      <c r="D298" s="2">
        <f>IF(A298="","",MIN('Loan Inputs'!$B$17,C298+E298)+H298)</f>
        <v>4061.5333678073534</v>
      </c>
      <c r="E298" s="2">
        <f>IF(A298="","",C298*'Loan Inputs'!$B$15)</f>
        <v>1246.1163579030342</v>
      </c>
      <c r="F298" s="2">
        <f t="shared" si="12"/>
        <v>2815.4170099043195</v>
      </c>
      <c r="G298" s="2">
        <f t="shared" si="13"/>
        <v>231197.04456813028</v>
      </c>
      <c r="H298" s="2">
        <f>IF(A298="","",MIN(0,MAX(0,C298+E298-'Loan Inputs'!$B$17)))</f>
        <v>0</v>
      </c>
    </row>
    <row r="299" spans="1:8" ht="22" customHeight="1">
      <c r="A299" s="1">
        <f>IF(AND('Loan Inputs'!$B$12,293&lt;=IF('Loan Inputs'!$B$12,'Loan Inputs'!$B$7,0)*'Loan Inputs'!$B$14+0,ISNUMBER(G298),G298&gt;0),293,"")</f>
        <v>293</v>
      </c>
      <c r="B299" s="4">
        <f>IF(A299="","",IF('Loan Inputs'!$B$14=12,DATE(YEAR('Loan Inputs'!$B$8),MONTH('Loan Inputs'!$B$8)+A299,DAY('Loan Inputs'!$B$8)),'Loan Inputs'!$B$8+A299*IF('Loan Inputs'!$B$14=26,14,7)))</f>
        <v>55244</v>
      </c>
      <c r="C299" s="2">
        <f t="shared" si="14"/>
        <v>231197.04456813028</v>
      </c>
      <c r="D299" s="2">
        <f>IF(A299="","",MIN('Loan Inputs'!$B$17,C299+E299)+H299)</f>
        <v>4061.5333678073534</v>
      </c>
      <c r="E299" s="2">
        <f>IF(A299="","",C299*'Loan Inputs'!$B$15)</f>
        <v>1231.1242623252938</v>
      </c>
      <c r="F299" s="2">
        <f t="shared" si="12"/>
        <v>2830.4091054820597</v>
      </c>
      <c r="G299" s="2">
        <f t="shared" si="13"/>
        <v>228366.63546264824</v>
      </c>
      <c r="H299" s="2">
        <f>IF(A299="","",MIN(0,MAX(0,C299+E299-'Loan Inputs'!$B$17)))</f>
        <v>0</v>
      </c>
    </row>
    <row r="300" spans="1:8" ht="22" customHeight="1">
      <c r="A300" s="1">
        <f>IF(AND('Loan Inputs'!$B$12,294&lt;=IF('Loan Inputs'!$B$12,'Loan Inputs'!$B$7,0)*'Loan Inputs'!$B$14+0,ISNUMBER(G299),G299&gt;0),294,"")</f>
        <v>294</v>
      </c>
      <c r="B300" s="4">
        <f>IF(A300="","",IF('Loan Inputs'!$B$14=12,DATE(YEAR('Loan Inputs'!$B$8),MONTH('Loan Inputs'!$B$8)+A300,DAY('Loan Inputs'!$B$8)),'Loan Inputs'!$B$8+A300*IF('Loan Inputs'!$B$14=26,14,7)))</f>
        <v>55274</v>
      </c>
      <c r="C300" s="2">
        <f t="shared" si="14"/>
        <v>228366.63546264824</v>
      </c>
      <c r="D300" s="2">
        <f>IF(A300="","",MIN('Loan Inputs'!$B$17,C300+E300)+H300)</f>
        <v>4061.5333678073534</v>
      </c>
      <c r="E300" s="2">
        <f>IF(A300="","",C300*'Loan Inputs'!$B$15)</f>
        <v>1216.0523338386017</v>
      </c>
      <c r="F300" s="2">
        <f t="shared" si="12"/>
        <v>2845.4810339687519</v>
      </c>
      <c r="G300" s="2">
        <f t="shared" si="13"/>
        <v>225521.1544286795</v>
      </c>
      <c r="H300" s="2">
        <f>IF(A300="","",MIN(0,MAX(0,C300+E300-'Loan Inputs'!$B$17)))</f>
        <v>0</v>
      </c>
    </row>
    <row r="301" spans="1:8" ht="22" customHeight="1">
      <c r="A301" s="1">
        <f>IF(AND('Loan Inputs'!$B$12,295&lt;=IF('Loan Inputs'!$B$12,'Loan Inputs'!$B$7,0)*'Loan Inputs'!$B$14+0,ISNUMBER(G300),G300&gt;0),295,"")</f>
        <v>295</v>
      </c>
      <c r="B301" s="4">
        <f>IF(A301="","",IF('Loan Inputs'!$B$14=12,DATE(YEAR('Loan Inputs'!$B$8),MONTH('Loan Inputs'!$B$8)+A301,DAY('Loan Inputs'!$B$8)),'Loan Inputs'!$B$8+A301*IF('Loan Inputs'!$B$14=26,14,7)))</f>
        <v>55305</v>
      </c>
      <c r="C301" s="2">
        <f t="shared" si="14"/>
        <v>225521.1544286795</v>
      </c>
      <c r="D301" s="2">
        <f>IF(A301="","",MIN('Loan Inputs'!$B$17,C301+E301)+H301)</f>
        <v>4061.5333678073534</v>
      </c>
      <c r="E301" s="2">
        <f>IF(A301="","",C301*'Loan Inputs'!$B$15)</f>
        <v>1200.9001473327182</v>
      </c>
      <c r="F301" s="2">
        <f t="shared" si="12"/>
        <v>2860.633220474635</v>
      </c>
      <c r="G301" s="2">
        <f t="shared" si="13"/>
        <v>222660.52120820485</v>
      </c>
      <c r="H301" s="2">
        <f>IF(A301="","",MIN(0,MAX(0,C301+E301-'Loan Inputs'!$B$17)))</f>
        <v>0</v>
      </c>
    </row>
    <row r="302" spans="1:8" ht="22" customHeight="1">
      <c r="A302" s="1">
        <f>IF(AND('Loan Inputs'!$B$12,296&lt;=IF('Loan Inputs'!$B$12,'Loan Inputs'!$B$7,0)*'Loan Inputs'!$B$14+0,ISNUMBER(G301),G301&gt;0),296,"")</f>
        <v>296</v>
      </c>
      <c r="B302" s="4">
        <f>IF(A302="","",IF('Loan Inputs'!$B$14=12,DATE(YEAR('Loan Inputs'!$B$8),MONTH('Loan Inputs'!$B$8)+A302,DAY('Loan Inputs'!$B$8)),'Loan Inputs'!$B$8+A302*IF('Loan Inputs'!$B$14=26,14,7)))</f>
        <v>55335</v>
      </c>
      <c r="C302" s="2">
        <f t="shared" si="14"/>
        <v>222660.52120820485</v>
      </c>
      <c r="D302" s="2">
        <f>IF(A302="","",MIN('Loan Inputs'!$B$17,C302+E302)+H302)</f>
        <v>4061.5333678073534</v>
      </c>
      <c r="E302" s="2">
        <f>IF(A302="","",C302*'Loan Inputs'!$B$15)</f>
        <v>1185.6672754336907</v>
      </c>
      <c r="F302" s="2">
        <f t="shared" si="12"/>
        <v>2875.8660923736625</v>
      </c>
      <c r="G302" s="2">
        <f t="shared" si="13"/>
        <v>219784.65511583118</v>
      </c>
      <c r="H302" s="2">
        <f>IF(A302="","",MIN(0,MAX(0,C302+E302-'Loan Inputs'!$B$17)))</f>
        <v>0</v>
      </c>
    </row>
    <row r="303" spans="1:8" ht="22" customHeight="1">
      <c r="A303" s="1">
        <f>IF(AND('Loan Inputs'!$B$12,297&lt;=IF('Loan Inputs'!$B$12,'Loan Inputs'!$B$7,0)*'Loan Inputs'!$B$14+0,ISNUMBER(G302),G302&gt;0),297,"")</f>
        <v>297</v>
      </c>
      <c r="B303" s="4">
        <f>IF(A303="","",IF('Loan Inputs'!$B$14=12,DATE(YEAR('Loan Inputs'!$B$8),MONTH('Loan Inputs'!$B$8)+A303,DAY('Loan Inputs'!$B$8)),'Loan Inputs'!$B$8+A303*IF('Loan Inputs'!$B$14=26,14,7)))</f>
        <v>55366</v>
      </c>
      <c r="C303" s="2">
        <f t="shared" si="14"/>
        <v>219784.65511583118</v>
      </c>
      <c r="D303" s="2">
        <f>IF(A303="","",MIN('Loan Inputs'!$B$17,C303+E303)+H303)</f>
        <v>4061.5333678073534</v>
      </c>
      <c r="E303" s="2">
        <f>IF(A303="","",C303*'Loan Inputs'!$B$15)</f>
        <v>1170.3532884918011</v>
      </c>
      <c r="F303" s="2">
        <f t="shared" si="12"/>
        <v>2891.1800793155526</v>
      </c>
      <c r="G303" s="2">
        <f t="shared" si="13"/>
        <v>216893.47503651562</v>
      </c>
      <c r="H303" s="2">
        <f>IF(A303="","",MIN(0,MAX(0,C303+E303-'Loan Inputs'!$B$17)))</f>
        <v>0</v>
      </c>
    </row>
    <row r="304" spans="1:8" ht="22" customHeight="1">
      <c r="A304" s="1">
        <f>IF(AND('Loan Inputs'!$B$12,298&lt;=IF('Loan Inputs'!$B$12,'Loan Inputs'!$B$7,0)*'Loan Inputs'!$B$14+0,ISNUMBER(G303),G303&gt;0),298,"")</f>
        <v>298</v>
      </c>
      <c r="B304" s="4">
        <f>IF(A304="","",IF('Loan Inputs'!$B$14=12,DATE(YEAR('Loan Inputs'!$B$8),MONTH('Loan Inputs'!$B$8)+A304,DAY('Loan Inputs'!$B$8)),'Loan Inputs'!$B$8+A304*IF('Loan Inputs'!$B$14=26,14,7)))</f>
        <v>55397</v>
      </c>
      <c r="C304" s="2">
        <f t="shared" si="14"/>
        <v>216893.47503651562</v>
      </c>
      <c r="D304" s="2">
        <f>IF(A304="","",MIN('Loan Inputs'!$B$17,C304+E304)+H304)</f>
        <v>4061.5333678073534</v>
      </c>
      <c r="E304" s="2">
        <f>IF(A304="","",C304*'Loan Inputs'!$B$15)</f>
        <v>1154.9577545694456</v>
      </c>
      <c r="F304" s="2">
        <f t="shared" si="12"/>
        <v>2906.5756132379079</v>
      </c>
      <c r="G304" s="2">
        <f t="shared" si="13"/>
        <v>213986.8994232777</v>
      </c>
      <c r="H304" s="2">
        <f>IF(A304="","",MIN(0,MAX(0,C304+E304-'Loan Inputs'!$B$17)))</f>
        <v>0</v>
      </c>
    </row>
    <row r="305" spans="1:8" ht="22" customHeight="1">
      <c r="A305" s="1">
        <f>IF(AND('Loan Inputs'!$B$12,299&lt;=IF('Loan Inputs'!$B$12,'Loan Inputs'!$B$7,0)*'Loan Inputs'!$B$14+0,ISNUMBER(G304),G304&gt;0),299,"")</f>
        <v>299</v>
      </c>
      <c r="B305" s="4">
        <f>IF(A305="","",IF('Loan Inputs'!$B$14=12,DATE(YEAR('Loan Inputs'!$B$8),MONTH('Loan Inputs'!$B$8)+A305,DAY('Loan Inputs'!$B$8)),'Loan Inputs'!$B$8+A305*IF('Loan Inputs'!$B$14=26,14,7)))</f>
        <v>55427</v>
      </c>
      <c r="C305" s="2">
        <f t="shared" si="14"/>
        <v>213986.8994232777</v>
      </c>
      <c r="D305" s="2">
        <f>IF(A305="","",MIN('Loan Inputs'!$B$17,C305+E305)+H305)</f>
        <v>4061.5333678073534</v>
      </c>
      <c r="E305" s="2">
        <f>IF(A305="","",C305*'Loan Inputs'!$B$15)</f>
        <v>1139.4802394289538</v>
      </c>
      <c r="F305" s="2">
        <f t="shared" si="12"/>
        <v>2922.0531283783994</v>
      </c>
      <c r="G305" s="2">
        <f t="shared" si="13"/>
        <v>211064.8462948993</v>
      </c>
      <c r="H305" s="2">
        <f>IF(A305="","",MIN(0,MAX(0,C305+E305-'Loan Inputs'!$B$17)))</f>
        <v>0</v>
      </c>
    </row>
    <row r="306" spans="1:8" ht="22" customHeight="1">
      <c r="A306" s="1">
        <f>IF(AND('Loan Inputs'!$B$12,300&lt;=IF('Loan Inputs'!$B$12,'Loan Inputs'!$B$7,0)*'Loan Inputs'!$B$14+0,ISNUMBER(G305),G305&gt;0),300,"")</f>
        <v>300</v>
      </c>
      <c r="B306" s="4">
        <f>IF(A306="","",IF('Loan Inputs'!$B$14=12,DATE(YEAR('Loan Inputs'!$B$8),MONTH('Loan Inputs'!$B$8)+A306,DAY('Loan Inputs'!$B$8)),'Loan Inputs'!$B$8+A306*IF('Loan Inputs'!$B$14=26,14,7)))</f>
        <v>55458</v>
      </c>
      <c r="C306" s="2">
        <f t="shared" si="14"/>
        <v>211064.8462948993</v>
      </c>
      <c r="D306" s="2">
        <f>IF(A306="","",MIN('Loan Inputs'!$B$17,C306+E306)+H306)</f>
        <v>4061.5333678073534</v>
      </c>
      <c r="E306" s="2">
        <f>IF(A306="","",C306*'Loan Inputs'!$B$15)</f>
        <v>1123.9203065203387</v>
      </c>
      <c r="F306" s="2">
        <f t="shared" si="12"/>
        <v>2937.6130612870147</v>
      </c>
      <c r="G306" s="2">
        <f t="shared" si="13"/>
        <v>208127.23323361229</v>
      </c>
      <c r="H306" s="2">
        <f>IF(A306="","",MIN(0,MAX(0,C306+E306-'Loan Inputs'!$B$17)))</f>
        <v>0</v>
      </c>
    </row>
    <row r="307" spans="1:8" ht="22" customHeight="1">
      <c r="A307" s="1">
        <f>IF(AND('Loan Inputs'!$B$12,301&lt;=IF('Loan Inputs'!$B$12,'Loan Inputs'!$B$7,0)*'Loan Inputs'!$B$14+0,ISNUMBER(G306),G306&gt;0),301,"")</f>
        <v>301</v>
      </c>
      <c r="B307" s="4">
        <f>IF(A307="","",IF('Loan Inputs'!$B$14=12,DATE(YEAR('Loan Inputs'!$B$8),MONTH('Loan Inputs'!$B$8)+A307,DAY('Loan Inputs'!$B$8)),'Loan Inputs'!$B$8+A307*IF('Loan Inputs'!$B$14=26,14,7)))</f>
        <v>55488</v>
      </c>
      <c r="C307" s="2">
        <f t="shared" si="14"/>
        <v>208127.23323361229</v>
      </c>
      <c r="D307" s="2">
        <f>IF(A307="","",MIN('Loan Inputs'!$B$17,C307+E307)+H307)</f>
        <v>4061.5333678073534</v>
      </c>
      <c r="E307" s="2">
        <f>IF(A307="","",C307*'Loan Inputs'!$B$15)</f>
        <v>1108.2775169689855</v>
      </c>
      <c r="F307" s="2">
        <f t="shared" si="12"/>
        <v>2953.2558508383681</v>
      </c>
      <c r="G307" s="2">
        <f t="shared" si="13"/>
        <v>205173.97738277391</v>
      </c>
      <c r="H307" s="2">
        <f>IF(A307="","",MIN(0,MAX(0,C307+E307-'Loan Inputs'!$B$17)))</f>
        <v>0</v>
      </c>
    </row>
    <row r="308" spans="1:8" ht="22" customHeight="1">
      <c r="A308" s="1">
        <f>IF(AND('Loan Inputs'!$B$12,302&lt;=IF('Loan Inputs'!$B$12,'Loan Inputs'!$B$7,0)*'Loan Inputs'!$B$14+0,ISNUMBER(G307),G307&gt;0),302,"")</f>
        <v>302</v>
      </c>
      <c r="B308" s="4">
        <f>IF(A308="","",IF('Loan Inputs'!$B$14=12,DATE(YEAR('Loan Inputs'!$B$8),MONTH('Loan Inputs'!$B$8)+A308,DAY('Loan Inputs'!$B$8)),'Loan Inputs'!$B$8+A308*IF('Loan Inputs'!$B$14=26,14,7)))</f>
        <v>55519</v>
      </c>
      <c r="C308" s="2">
        <f t="shared" si="14"/>
        <v>205173.97738277391</v>
      </c>
      <c r="D308" s="2">
        <f>IF(A308="","",MIN('Loan Inputs'!$B$17,C308+E308)+H308)</f>
        <v>4061.5333678073534</v>
      </c>
      <c r="E308" s="2">
        <f>IF(A308="","",C308*'Loan Inputs'!$B$15)</f>
        <v>1092.5514295632711</v>
      </c>
      <c r="F308" s="2">
        <f t="shared" si="12"/>
        <v>2968.9819382440824</v>
      </c>
      <c r="G308" s="2">
        <f t="shared" si="13"/>
        <v>202204.99544452984</v>
      </c>
      <c r="H308" s="2">
        <f>IF(A308="","",MIN(0,MAX(0,C308+E308-'Loan Inputs'!$B$17)))</f>
        <v>0</v>
      </c>
    </row>
    <row r="309" spans="1:8" ht="22" customHeight="1">
      <c r="A309" s="1">
        <f>IF(AND('Loan Inputs'!$B$12,303&lt;=IF('Loan Inputs'!$B$12,'Loan Inputs'!$B$7,0)*'Loan Inputs'!$B$14+0,ISNUMBER(G308),G308&gt;0),303,"")</f>
        <v>303</v>
      </c>
      <c r="B309" s="4">
        <f>IF(A309="","",IF('Loan Inputs'!$B$14=12,DATE(YEAR('Loan Inputs'!$B$8),MONTH('Loan Inputs'!$B$8)+A309,DAY('Loan Inputs'!$B$8)),'Loan Inputs'!$B$8+A309*IF('Loan Inputs'!$B$14=26,14,7)))</f>
        <v>55550</v>
      </c>
      <c r="C309" s="2">
        <f t="shared" si="14"/>
        <v>202204.99544452984</v>
      </c>
      <c r="D309" s="2">
        <f>IF(A309="","",MIN('Loan Inputs'!$B$17,C309+E309)+H309)</f>
        <v>4061.5333678073534</v>
      </c>
      <c r="E309" s="2">
        <f>IF(A309="","",C309*'Loan Inputs'!$B$15)</f>
        <v>1076.7416007421214</v>
      </c>
      <c r="F309" s="2">
        <f t="shared" si="12"/>
        <v>2984.7917670652323</v>
      </c>
      <c r="G309" s="2">
        <f t="shared" si="13"/>
        <v>199220.2036774646</v>
      </c>
      <c r="H309" s="2">
        <f>IF(A309="","",MIN(0,MAX(0,C309+E309-'Loan Inputs'!$B$17)))</f>
        <v>0</v>
      </c>
    </row>
    <row r="310" spans="1:8" ht="22" customHeight="1">
      <c r="A310" s="1">
        <f>IF(AND('Loan Inputs'!$B$12,304&lt;=IF('Loan Inputs'!$B$12,'Loan Inputs'!$B$7,0)*'Loan Inputs'!$B$14+0,ISNUMBER(G309),G309&gt;0),304,"")</f>
        <v>304</v>
      </c>
      <c r="B310" s="4">
        <f>IF(A310="","",IF('Loan Inputs'!$B$14=12,DATE(YEAR('Loan Inputs'!$B$8),MONTH('Loan Inputs'!$B$8)+A310,DAY('Loan Inputs'!$B$8)),'Loan Inputs'!$B$8+A310*IF('Loan Inputs'!$B$14=26,14,7)))</f>
        <v>55579</v>
      </c>
      <c r="C310" s="2">
        <f t="shared" si="14"/>
        <v>199220.2036774646</v>
      </c>
      <c r="D310" s="2">
        <f>IF(A310="","",MIN('Loan Inputs'!$B$17,C310+E310)+H310)</f>
        <v>4061.5333678073534</v>
      </c>
      <c r="E310" s="2">
        <f>IF(A310="","",C310*'Loan Inputs'!$B$15)</f>
        <v>1060.8475845824989</v>
      </c>
      <c r="F310" s="2">
        <f t="shared" si="12"/>
        <v>3000.6857832248543</v>
      </c>
      <c r="G310" s="2">
        <f t="shared" si="13"/>
        <v>196219.51789423975</v>
      </c>
      <c r="H310" s="2">
        <f>IF(A310="","",MIN(0,MAX(0,C310+E310-'Loan Inputs'!$B$17)))</f>
        <v>0</v>
      </c>
    </row>
    <row r="311" spans="1:8" ht="22" customHeight="1">
      <c r="A311" s="1">
        <f>IF(AND('Loan Inputs'!$B$12,305&lt;=IF('Loan Inputs'!$B$12,'Loan Inputs'!$B$7,0)*'Loan Inputs'!$B$14+0,ISNUMBER(G310),G310&gt;0),305,"")</f>
        <v>305</v>
      </c>
      <c r="B311" s="4">
        <f>IF(A311="","",IF('Loan Inputs'!$B$14=12,DATE(YEAR('Loan Inputs'!$B$8),MONTH('Loan Inputs'!$B$8)+A311,DAY('Loan Inputs'!$B$8)),'Loan Inputs'!$B$8+A311*IF('Loan Inputs'!$B$14=26,14,7)))</f>
        <v>55610</v>
      </c>
      <c r="C311" s="2">
        <f t="shared" si="14"/>
        <v>196219.51789423975</v>
      </c>
      <c r="D311" s="2">
        <f>IF(A311="","",MIN('Loan Inputs'!$B$17,C311+E311)+H311)</f>
        <v>4061.5333678073534</v>
      </c>
      <c r="E311" s="2">
        <f>IF(A311="","",C311*'Loan Inputs'!$B$15)</f>
        <v>1044.8689327868267</v>
      </c>
      <c r="F311" s="2">
        <f t="shared" si="12"/>
        <v>3016.664435020527</v>
      </c>
      <c r="G311" s="2">
        <f t="shared" si="13"/>
        <v>193202.85345921922</v>
      </c>
      <c r="H311" s="2">
        <f>IF(A311="","",MIN(0,MAX(0,C311+E311-'Loan Inputs'!$B$17)))</f>
        <v>0</v>
      </c>
    </row>
    <row r="312" spans="1:8" ht="22" customHeight="1">
      <c r="A312" s="1">
        <f>IF(AND('Loan Inputs'!$B$12,306&lt;=IF('Loan Inputs'!$B$12,'Loan Inputs'!$B$7,0)*'Loan Inputs'!$B$14+0,ISNUMBER(G311),G311&gt;0),306,"")</f>
        <v>306</v>
      </c>
      <c r="B312" s="4">
        <f>IF(A312="","",IF('Loan Inputs'!$B$14=12,DATE(YEAR('Loan Inputs'!$B$8),MONTH('Loan Inputs'!$B$8)+A312,DAY('Loan Inputs'!$B$8)),'Loan Inputs'!$B$8+A312*IF('Loan Inputs'!$B$14=26,14,7)))</f>
        <v>55640</v>
      </c>
      <c r="C312" s="2">
        <f t="shared" si="14"/>
        <v>193202.85345921922</v>
      </c>
      <c r="D312" s="2">
        <f>IF(A312="","",MIN('Loan Inputs'!$B$17,C312+E312)+H312)</f>
        <v>4061.5333678073534</v>
      </c>
      <c r="E312" s="2">
        <f>IF(A312="","",C312*'Loan Inputs'!$B$15)</f>
        <v>1028.8051946703422</v>
      </c>
      <c r="F312" s="2">
        <f t="shared" si="12"/>
        <v>3032.7281731370113</v>
      </c>
      <c r="G312" s="2">
        <f t="shared" si="13"/>
        <v>190170.12528608221</v>
      </c>
      <c r="H312" s="2">
        <f>IF(A312="","",MIN(0,MAX(0,C312+E312-'Loan Inputs'!$B$17)))</f>
        <v>0</v>
      </c>
    </row>
    <row r="313" spans="1:8" ht="22" customHeight="1">
      <c r="A313" s="1">
        <f>IF(AND('Loan Inputs'!$B$12,307&lt;=IF('Loan Inputs'!$B$12,'Loan Inputs'!$B$7,0)*'Loan Inputs'!$B$14+0,ISNUMBER(G312),G312&gt;0),307,"")</f>
        <v>307</v>
      </c>
      <c r="B313" s="4">
        <f>IF(A313="","",IF('Loan Inputs'!$B$14=12,DATE(YEAR('Loan Inputs'!$B$8),MONTH('Loan Inputs'!$B$8)+A313,DAY('Loan Inputs'!$B$8)),'Loan Inputs'!$B$8+A313*IF('Loan Inputs'!$B$14=26,14,7)))</f>
        <v>55671</v>
      </c>
      <c r="C313" s="2">
        <f t="shared" si="14"/>
        <v>190170.12528608221</v>
      </c>
      <c r="D313" s="2">
        <f>IF(A313="","",MIN('Loan Inputs'!$B$17,C313+E313)+H313)</f>
        <v>4061.5333678073534</v>
      </c>
      <c r="E313" s="2">
        <f>IF(A313="","",C313*'Loan Inputs'!$B$15)</f>
        <v>1012.6559171483877</v>
      </c>
      <c r="F313" s="2">
        <f t="shared" si="12"/>
        <v>3048.8774506589657</v>
      </c>
      <c r="G313" s="2">
        <f t="shared" si="13"/>
        <v>187121.24783542324</v>
      </c>
      <c r="H313" s="2">
        <f>IF(A313="","",MIN(0,MAX(0,C313+E313-'Loan Inputs'!$B$17)))</f>
        <v>0</v>
      </c>
    </row>
    <row r="314" spans="1:8" ht="22" customHeight="1">
      <c r="A314" s="1">
        <f>IF(AND('Loan Inputs'!$B$12,308&lt;=IF('Loan Inputs'!$B$12,'Loan Inputs'!$B$7,0)*'Loan Inputs'!$B$14+0,ISNUMBER(G313),G313&gt;0),308,"")</f>
        <v>308</v>
      </c>
      <c r="B314" s="4">
        <f>IF(A314="","",IF('Loan Inputs'!$B$14=12,DATE(YEAR('Loan Inputs'!$B$8),MONTH('Loan Inputs'!$B$8)+A314,DAY('Loan Inputs'!$B$8)),'Loan Inputs'!$B$8+A314*IF('Loan Inputs'!$B$14=26,14,7)))</f>
        <v>55701</v>
      </c>
      <c r="C314" s="2">
        <f t="shared" si="14"/>
        <v>187121.24783542324</v>
      </c>
      <c r="D314" s="2">
        <f>IF(A314="","",MIN('Loan Inputs'!$B$17,C314+E314)+H314)</f>
        <v>4061.5333678073534</v>
      </c>
      <c r="E314" s="2">
        <f>IF(A314="","",C314*'Loan Inputs'!$B$15)</f>
        <v>996.4206447236287</v>
      </c>
      <c r="F314" s="2">
        <f t="shared" si="12"/>
        <v>3065.1127230837246</v>
      </c>
      <c r="G314" s="2">
        <f t="shared" si="13"/>
        <v>184056.13511233951</v>
      </c>
      <c r="H314" s="2">
        <f>IF(A314="","",MIN(0,MAX(0,C314+E314-'Loan Inputs'!$B$17)))</f>
        <v>0</v>
      </c>
    </row>
    <row r="315" spans="1:8" ht="22" customHeight="1">
      <c r="A315" s="1">
        <f>IF(AND('Loan Inputs'!$B$12,309&lt;=IF('Loan Inputs'!$B$12,'Loan Inputs'!$B$7,0)*'Loan Inputs'!$B$14+0,ISNUMBER(G314),G314&gt;0),309,"")</f>
        <v>309</v>
      </c>
      <c r="B315" s="4">
        <f>IF(A315="","",IF('Loan Inputs'!$B$14=12,DATE(YEAR('Loan Inputs'!$B$8),MONTH('Loan Inputs'!$B$8)+A315,DAY('Loan Inputs'!$B$8)),'Loan Inputs'!$B$8+A315*IF('Loan Inputs'!$B$14=26,14,7)))</f>
        <v>55732</v>
      </c>
      <c r="C315" s="2">
        <f t="shared" si="14"/>
        <v>184056.13511233951</v>
      </c>
      <c r="D315" s="2">
        <f>IF(A315="","",MIN('Loan Inputs'!$B$17,C315+E315)+H315)</f>
        <v>4061.5333678073534</v>
      </c>
      <c r="E315" s="2">
        <f>IF(A315="","",C315*'Loan Inputs'!$B$15)</f>
        <v>980.09891947320784</v>
      </c>
      <c r="F315" s="2">
        <f t="shared" si="12"/>
        <v>3081.4344483341456</v>
      </c>
      <c r="G315" s="2">
        <f t="shared" si="13"/>
        <v>180974.70066400536</v>
      </c>
      <c r="H315" s="2">
        <f>IF(A315="","",MIN(0,MAX(0,C315+E315-'Loan Inputs'!$B$17)))</f>
        <v>0</v>
      </c>
    </row>
    <row r="316" spans="1:8" ht="22" customHeight="1">
      <c r="A316" s="1">
        <f>IF(AND('Loan Inputs'!$B$12,310&lt;=IF('Loan Inputs'!$B$12,'Loan Inputs'!$B$7,0)*'Loan Inputs'!$B$14+0,ISNUMBER(G315),G315&gt;0),310,"")</f>
        <v>310</v>
      </c>
      <c r="B316" s="4">
        <f>IF(A316="","",IF('Loan Inputs'!$B$14=12,DATE(YEAR('Loan Inputs'!$B$8),MONTH('Loan Inputs'!$B$8)+A316,DAY('Loan Inputs'!$B$8)),'Loan Inputs'!$B$8+A316*IF('Loan Inputs'!$B$14=26,14,7)))</f>
        <v>55763</v>
      </c>
      <c r="C316" s="2">
        <f t="shared" si="14"/>
        <v>180974.70066400536</v>
      </c>
      <c r="D316" s="2">
        <f>IF(A316="","",MIN('Loan Inputs'!$B$17,C316+E316)+H316)</f>
        <v>4061.5333678073534</v>
      </c>
      <c r="E316" s="2">
        <f>IF(A316="","",C316*'Loan Inputs'!$B$15)</f>
        <v>963.69028103582855</v>
      </c>
      <c r="F316" s="2">
        <f t="shared" si="12"/>
        <v>3097.8430867715251</v>
      </c>
      <c r="G316" s="2">
        <f t="shared" si="13"/>
        <v>177876.85757723384</v>
      </c>
      <c r="H316" s="2">
        <f>IF(A316="","",MIN(0,MAX(0,C316+E316-'Loan Inputs'!$B$17)))</f>
        <v>0</v>
      </c>
    </row>
    <row r="317" spans="1:8" ht="22" customHeight="1">
      <c r="A317" s="1">
        <f>IF(AND('Loan Inputs'!$B$12,311&lt;=IF('Loan Inputs'!$B$12,'Loan Inputs'!$B$7,0)*'Loan Inputs'!$B$14+0,ISNUMBER(G316),G316&gt;0),311,"")</f>
        <v>311</v>
      </c>
      <c r="B317" s="4">
        <f>IF(A317="","",IF('Loan Inputs'!$B$14=12,DATE(YEAR('Loan Inputs'!$B$8),MONTH('Loan Inputs'!$B$8)+A317,DAY('Loan Inputs'!$B$8)),'Loan Inputs'!$B$8+A317*IF('Loan Inputs'!$B$14=26,14,7)))</f>
        <v>55793</v>
      </c>
      <c r="C317" s="2">
        <f t="shared" si="14"/>
        <v>177876.85757723384</v>
      </c>
      <c r="D317" s="2">
        <f>IF(A317="","",MIN('Loan Inputs'!$B$17,C317+E317)+H317)</f>
        <v>4061.5333678073534</v>
      </c>
      <c r="E317" s="2">
        <f>IF(A317="","",C317*'Loan Inputs'!$B$15)</f>
        <v>947.19426659877013</v>
      </c>
      <c r="F317" s="2">
        <f t="shared" si="12"/>
        <v>3114.3391012085831</v>
      </c>
      <c r="G317" s="2">
        <f t="shared" si="13"/>
        <v>174762.51847602526</v>
      </c>
      <c r="H317" s="2">
        <f>IF(A317="","",MIN(0,MAX(0,C317+E317-'Loan Inputs'!$B$17)))</f>
        <v>0</v>
      </c>
    </row>
    <row r="318" spans="1:8" ht="22" customHeight="1">
      <c r="A318" s="1">
        <f>IF(AND('Loan Inputs'!$B$12,312&lt;=IF('Loan Inputs'!$B$12,'Loan Inputs'!$B$7,0)*'Loan Inputs'!$B$14+0,ISNUMBER(G317),G317&gt;0),312,"")</f>
        <v>312</v>
      </c>
      <c r="B318" s="4">
        <f>IF(A318="","",IF('Loan Inputs'!$B$14=12,DATE(YEAR('Loan Inputs'!$B$8),MONTH('Loan Inputs'!$B$8)+A318,DAY('Loan Inputs'!$B$8)),'Loan Inputs'!$B$8+A318*IF('Loan Inputs'!$B$14=26,14,7)))</f>
        <v>55824</v>
      </c>
      <c r="C318" s="2">
        <f t="shared" si="14"/>
        <v>174762.51847602526</v>
      </c>
      <c r="D318" s="2">
        <f>IF(A318="","",MIN('Loan Inputs'!$B$17,C318+E318)+H318)</f>
        <v>4061.5333678073534</v>
      </c>
      <c r="E318" s="2">
        <f>IF(A318="","",C318*'Loan Inputs'!$B$15)</f>
        <v>930.61041088483444</v>
      </c>
      <c r="F318" s="2">
        <f t="shared" si="12"/>
        <v>3130.922956922519</v>
      </c>
      <c r="G318" s="2">
        <f t="shared" si="13"/>
        <v>171631.59551910273</v>
      </c>
      <c r="H318" s="2">
        <f>IF(A318="","",MIN(0,MAX(0,C318+E318-'Loan Inputs'!$B$17)))</f>
        <v>0</v>
      </c>
    </row>
    <row r="319" spans="1:8" ht="22" customHeight="1">
      <c r="A319" s="1">
        <f>IF(AND('Loan Inputs'!$B$12,313&lt;=IF('Loan Inputs'!$B$12,'Loan Inputs'!$B$7,0)*'Loan Inputs'!$B$14+0,ISNUMBER(G318),G318&gt;0),313,"")</f>
        <v>313</v>
      </c>
      <c r="B319" s="4">
        <f>IF(A319="","",IF('Loan Inputs'!$B$14=12,DATE(YEAR('Loan Inputs'!$B$8),MONTH('Loan Inputs'!$B$8)+A319,DAY('Loan Inputs'!$B$8)),'Loan Inputs'!$B$8+A319*IF('Loan Inputs'!$B$14=26,14,7)))</f>
        <v>55854</v>
      </c>
      <c r="C319" s="2">
        <f t="shared" si="14"/>
        <v>171631.59551910273</v>
      </c>
      <c r="D319" s="2">
        <f>IF(A319="","",MIN('Loan Inputs'!$B$17,C319+E319)+H319)</f>
        <v>4061.5333678073534</v>
      </c>
      <c r="E319" s="2">
        <f>IF(A319="","",C319*'Loan Inputs'!$B$15)</f>
        <v>913.93824613922197</v>
      </c>
      <c r="F319" s="2">
        <f t="shared" si="12"/>
        <v>3147.5951216681315</v>
      </c>
      <c r="G319" s="2">
        <f t="shared" si="13"/>
        <v>168484.0003974346</v>
      </c>
      <c r="H319" s="2">
        <f>IF(A319="","",MIN(0,MAX(0,C319+E319-'Loan Inputs'!$B$17)))</f>
        <v>0</v>
      </c>
    </row>
    <row r="320" spans="1:8" ht="22" customHeight="1">
      <c r="A320" s="1">
        <f>IF(AND('Loan Inputs'!$B$12,314&lt;=IF('Loan Inputs'!$B$12,'Loan Inputs'!$B$7,0)*'Loan Inputs'!$B$14+0,ISNUMBER(G319),G319&gt;0),314,"")</f>
        <v>314</v>
      </c>
      <c r="B320" s="4">
        <f>IF(A320="","",IF('Loan Inputs'!$B$14=12,DATE(YEAR('Loan Inputs'!$B$8),MONTH('Loan Inputs'!$B$8)+A320,DAY('Loan Inputs'!$B$8)),'Loan Inputs'!$B$8+A320*IF('Loan Inputs'!$B$14=26,14,7)))</f>
        <v>55885</v>
      </c>
      <c r="C320" s="2">
        <f t="shared" si="14"/>
        <v>168484.0003974346</v>
      </c>
      <c r="D320" s="2">
        <f>IF(A320="","",MIN('Loan Inputs'!$B$17,C320+E320)+H320)</f>
        <v>4061.5333678073534</v>
      </c>
      <c r="E320" s="2">
        <f>IF(A320="","",C320*'Loan Inputs'!$B$15)</f>
        <v>897.17730211633921</v>
      </c>
      <c r="F320" s="2">
        <f t="shared" si="12"/>
        <v>3164.356065691014</v>
      </c>
      <c r="G320" s="2">
        <f t="shared" si="13"/>
        <v>165319.64433174359</v>
      </c>
      <c r="H320" s="2">
        <f>IF(A320="","",MIN(0,MAX(0,C320+E320-'Loan Inputs'!$B$17)))</f>
        <v>0</v>
      </c>
    </row>
    <row r="321" spans="1:8" ht="22" customHeight="1">
      <c r="A321" s="1">
        <f>IF(AND('Loan Inputs'!$B$12,315&lt;=IF('Loan Inputs'!$B$12,'Loan Inputs'!$B$7,0)*'Loan Inputs'!$B$14+0,ISNUMBER(G320),G320&gt;0),315,"")</f>
        <v>315</v>
      </c>
      <c r="B321" s="4">
        <f>IF(A321="","",IF('Loan Inputs'!$B$14=12,DATE(YEAR('Loan Inputs'!$B$8),MONTH('Loan Inputs'!$B$8)+A321,DAY('Loan Inputs'!$B$8)),'Loan Inputs'!$B$8+A321*IF('Loan Inputs'!$B$14=26,14,7)))</f>
        <v>55916</v>
      </c>
      <c r="C321" s="2">
        <f t="shared" si="14"/>
        <v>165319.64433174359</v>
      </c>
      <c r="D321" s="2">
        <f>IF(A321="","",MIN('Loan Inputs'!$B$17,C321+E321)+H321)</f>
        <v>4061.5333678073534</v>
      </c>
      <c r="E321" s="2">
        <f>IF(A321="","",C321*'Loan Inputs'!$B$15)</f>
        <v>880.32710606653461</v>
      </c>
      <c r="F321" s="2">
        <f t="shared" si="12"/>
        <v>3181.2062617408187</v>
      </c>
      <c r="G321" s="2">
        <f t="shared" si="13"/>
        <v>162138.43807000277</v>
      </c>
      <c r="H321" s="2">
        <f>IF(A321="","",MIN(0,MAX(0,C321+E321-'Loan Inputs'!$B$17)))</f>
        <v>0</v>
      </c>
    </row>
    <row r="322" spans="1:8" ht="22" customHeight="1">
      <c r="A322" s="1">
        <f>IF(AND('Loan Inputs'!$B$12,316&lt;=IF('Loan Inputs'!$B$12,'Loan Inputs'!$B$7,0)*'Loan Inputs'!$B$14+0,ISNUMBER(G321),G321&gt;0),316,"")</f>
        <v>316</v>
      </c>
      <c r="B322" s="4">
        <f>IF(A322="","",IF('Loan Inputs'!$B$14=12,DATE(YEAR('Loan Inputs'!$B$8),MONTH('Loan Inputs'!$B$8)+A322,DAY('Loan Inputs'!$B$8)),'Loan Inputs'!$B$8+A322*IF('Loan Inputs'!$B$14=26,14,7)))</f>
        <v>55944</v>
      </c>
      <c r="C322" s="2">
        <f t="shared" si="14"/>
        <v>162138.43807000277</v>
      </c>
      <c r="D322" s="2">
        <f>IF(A322="","",MIN('Loan Inputs'!$B$17,C322+E322)+H322)</f>
        <v>4061.5333678073534</v>
      </c>
      <c r="E322" s="2">
        <f>IF(A322="","",C322*'Loan Inputs'!$B$15)</f>
        <v>863.38718272276469</v>
      </c>
      <c r="F322" s="2">
        <f t="shared" si="12"/>
        <v>3198.146185084589</v>
      </c>
      <c r="G322" s="2">
        <f t="shared" si="13"/>
        <v>158940.29188491817</v>
      </c>
      <c r="H322" s="2">
        <f>IF(A322="","",MIN(0,MAX(0,C322+E322-'Loan Inputs'!$B$17)))</f>
        <v>0</v>
      </c>
    </row>
    <row r="323" spans="1:8" ht="22" customHeight="1">
      <c r="A323" s="1">
        <f>IF(AND('Loan Inputs'!$B$12,317&lt;=IF('Loan Inputs'!$B$12,'Loan Inputs'!$B$7,0)*'Loan Inputs'!$B$14+0,ISNUMBER(G322),G322&gt;0),317,"")</f>
        <v>317</v>
      </c>
      <c r="B323" s="4">
        <f>IF(A323="","",IF('Loan Inputs'!$B$14=12,DATE(YEAR('Loan Inputs'!$B$8),MONTH('Loan Inputs'!$B$8)+A323,DAY('Loan Inputs'!$B$8)),'Loan Inputs'!$B$8+A323*IF('Loan Inputs'!$B$14=26,14,7)))</f>
        <v>55975</v>
      </c>
      <c r="C323" s="2">
        <f t="shared" si="14"/>
        <v>158940.29188491817</v>
      </c>
      <c r="D323" s="2">
        <f>IF(A323="","",MIN('Loan Inputs'!$B$17,C323+E323)+H323)</f>
        <v>4061.5333678073534</v>
      </c>
      <c r="E323" s="2">
        <f>IF(A323="","",C323*'Loan Inputs'!$B$15)</f>
        <v>846.35705428718927</v>
      </c>
      <c r="F323" s="2">
        <f t="shared" si="12"/>
        <v>3215.1763135201641</v>
      </c>
      <c r="G323" s="2">
        <f t="shared" si="13"/>
        <v>155725.115571398</v>
      </c>
      <c r="H323" s="2">
        <f>IF(A323="","",MIN(0,MAX(0,C323+E323-'Loan Inputs'!$B$17)))</f>
        <v>0</v>
      </c>
    </row>
    <row r="324" spans="1:8" ht="22" customHeight="1">
      <c r="A324" s="1">
        <f>IF(AND('Loan Inputs'!$B$12,318&lt;=IF('Loan Inputs'!$B$12,'Loan Inputs'!$B$7,0)*'Loan Inputs'!$B$14+0,ISNUMBER(G323),G323&gt;0),318,"")</f>
        <v>318</v>
      </c>
      <c r="B324" s="4">
        <f>IF(A324="","",IF('Loan Inputs'!$B$14=12,DATE(YEAR('Loan Inputs'!$B$8),MONTH('Loan Inputs'!$B$8)+A324,DAY('Loan Inputs'!$B$8)),'Loan Inputs'!$B$8+A324*IF('Loan Inputs'!$B$14=26,14,7)))</f>
        <v>56005</v>
      </c>
      <c r="C324" s="2">
        <f t="shared" si="14"/>
        <v>155725.115571398</v>
      </c>
      <c r="D324" s="2">
        <f>IF(A324="","",MIN('Loan Inputs'!$B$17,C324+E324)+H324)</f>
        <v>4061.5333678073534</v>
      </c>
      <c r="E324" s="2">
        <f>IF(A324="","",C324*'Loan Inputs'!$B$15)</f>
        <v>829.23624041769426</v>
      </c>
      <c r="F324" s="2">
        <f t="shared" si="12"/>
        <v>3232.2971273896592</v>
      </c>
      <c r="G324" s="2">
        <f t="shared" si="13"/>
        <v>152492.81844400833</v>
      </c>
      <c r="H324" s="2">
        <f>IF(A324="","",MIN(0,MAX(0,C324+E324-'Loan Inputs'!$B$17)))</f>
        <v>0</v>
      </c>
    </row>
    <row r="325" spans="1:8" ht="22" customHeight="1">
      <c r="A325" s="1">
        <f>IF(AND('Loan Inputs'!$B$12,319&lt;=IF('Loan Inputs'!$B$12,'Loan Inputs'!$B$7,0)*'Loan Inputs'!$B$14+0,ISNUMBER(G324),G324&gt;0),319,"")</f>
        <v>319</v>
      </c>
      <c r="B325" s="4">
        <f>IF(A325="","",IF('Loan Inputs'!$B$14=12,DATE(YEAR('Loan Inputs'!$B$8),MONTH('Loan Inputs'!$B$8)+A325,DAY('Loan Inputs'!$B$8)),'Loan Inputs'!$B$8+A325*IF('Loan Inputs'!$B$14=26,14,7)))</f>
        <v>56036</v>
      </c>
      <c r="C325" s="2">
        <f t="shared" si="14"/>
        <v>152492.81844400833</v>
      </c>
      <c r="D325" s="2">
        <f>IF(A325="","",MIN('Loan Inputs'!$B$17,C325+E325)+H325)</f>
        <v>4061.5333678073534</v>
      </c>
      <c r="E325" s="2">
        <f>IF(A325="","",C325*'Loan Inputs'!$B$15)</f>
        <v>812.02425821434429</v>
      </c>
      <c r="F325" s="2">
        <f t="shared" si="12"/>
        <v>3249.5091095930093</v>
      </c>
      <c r="G325" s="2">
        <f t="shared" si="13"/>
        <v>149243.30933441533</v>
      </c>
      <c r="H325" s="2">
        <f>IF(A325="","",MIN(0,MAX(0,C325+E325-'Loan Inputs'!$B$17)))</f>
        <v>0</v>
      </c>
    </row>
    <row r="326" spans="1:8" ht="22" customHeight="1">
      <c r="A326" s="1">
        <f>IF(AND('Loan Inputs'!$B$12,320&lt;=IF('Loan Inputs'!$B$12,'Loan Inputs'!$B$7,0)*'Loan Inputs'!$B$14+0,ISNUMBER(G325),G325&gt;0),320,"")</f>
        <v>320</v>
      </c>
      <c r="B326" s="4">
        <f>IF(A326="","",IF('Loan Inputs'!$B$14=12,DATE(YEAR('Loan Inputs'!$B$8),MONTH('Loan Inputs'!$B$8)+A326,DAY('Loan Inputs'!$B$8)),'Loan Inputs'!$B$8+A326*IF('Loan Inputs'!$B$14=26,14,7)))</f>
        <v>56066</v>
      </c>
      <c r="C326" s="2">
        <f t="shared" si="14"/>
        <v>149243.30933441533</v>
      </c>
      <c r="D326" s="2">
        <f>IF(A326="","",MIN('Loan Inputs'!$B$17,C326+E326)+H326)</f>
        <v>4061.5333678073534</v>
      </c>
      <c r="E326" s="2">
        <f>IF(A326="","",C326*'Loan Inputs'!$B$15)</f>
        <v>794.72062220576163</v>
      </c>
      <c r="F326" s="2">
        <f t="shared" si="12"/>
        <v>3266.8127456015918</v>
      </c>
      <c r="G326" s="2">
        <f t="shared" si="13"/>
        <v>145976.49658881375</v>
      </c>
      <c r="H326" s="2">
        <f>IF(A326="","",MIN(0,MAX(0,C326+E326-'Loan Inputs'!$B$17)))</f>
        <v>0</v>
      </c>
    </row>
    <row r="327" spans="1:8" ht="22" customHeight="1">
      <c r="A327" s="1">
        <f>IF(AND('Loan Inputs'!$B$12,321&lt;=IF('Loan Inputs'!$B$12,'Loan Inputs'!$B$7,0)*'Loan Inputs'!$B$14+0,ISNUMBER(G326),G326&gt;0),321,"")</f>
        <v>321</v>
      </c>
      <c r="B327" s="4">
        <f>IF(A327="","",IF('Loan Inputs'!$B$14=12,DATE(YEAR('Loan Inputs'!$B$8),MONTH('Loan Inputs'!$B$8)+A327,DAY('Loan Inputs'!$B$8)),'Loan Inputs'!$B$8+A327*IF('Loan Inputs'!$B$14=26,14,7)))</f>
        <v>56097</v>
      </c>
      <c r="C327" s="2">
        <f t="shared" si="14"/>
        <v>145976.49658881375</v>
      </c>
      <c r="D327" s="2">
        <f>IF(A327="","",MIN('Loan Inputs'!$B$17,C327+E327)+H327)</f>
        <v>4061.5333678073534</v>
      </c>
      <c r="E327" s="2">
        <f>IF(A327="","",C327*'Loan Inputs'!$B$15)</f>
        <v>777.32484433543323</v>
      </c>
      <c r="F327" s="2">
        <f t="shared" ref="F327:F390" si="15">IF(A327="","",MIN(C327,D327-E327))</f>
        <v>3284.2085234719202</v>
      </c>
      <c r="G327" s="2">
        <f t="shared" ref="G327:G390" si="16">IF(A327="","",IF(C327-F327&lt;0.01,0,MAX(0,C327-F327)))</f>
        <v>142692.28806534183</v>
      </c>
      <c r="H327" s="2">
        <f>IF(A327="","",MIN(0,MAX(0,C327+E327-'Loan Inputs'!$B$17)))</f>
        <v>0</v>
      </c>
    </row>
    <row r="328" spans="1:8" ht="22" customHeight="1">
      <c r="A328" s="1">
        <f>IF(AND('Loan Inputs'!$B$12,322&lt;=IF('Loan Inputs'!$B$12,'Loan Inputs'!$B$7,0)*'Loan Inputs'!$B$14+0,ISNUMBER(G327),G327&gt;0),322,"")</f>
        <v>322</v>
      </c>
      <c r="B328" s="4">
        <f>IF(A328="","",IF('Loan Inputs'!$B$14=12,DATE(YEAR('Loan Inputs'!$B$8),MONTH('Loan Inputs'!$B$8)+A328,DAY('Loan Inputs'!$B$8)),'Loan Inputs'!$B$8+A328*IF('Loan Inputs'!$B$14=26,14,7)))</f>
        <v>56128</v>
      </c>
      <c r="C328" s="2">
        <f t="shared" ref="C328:C391" si="17">IF(A328="","",G327)</f>
        <v>142692.28806534183</v>
      </c>
      <c r="D328" s="2">
        <f>IF(A328="","",MIN('Loan Inputs'!$B$17,C328+E328)+H328)</f>
        <v>4061.5333678073534</v>
      </c>
      <c r="E328" s="2">
        <f>IF(A328="","",C328*'Loan Inputs'!$B$15)</f>
        <v>759.83643394794524</v>
      </c>
      <c r="F328" s="2">
        <f t="shared" si="15"/>
        <v>3301.6969338594081</v>
      </c>
      <c r="G328" s="2">
        <f t="shared" si="16"/>
        <v>139390.59113148242</v>
      </c>
      <c r="H328" s="2">
        <f>IF(A328="","",MIN(0,MAX(0,C328+E328-'Loan Inputs'!$B$17)))</f>
        <v>0</v>
      </c>
    </row>
    <row r="329" spans="1:8" ht="22" customHeight="1">
      <c r="A329" s="1">
        <f>IF(AND('Loan Inputs'!$B$12,323&lt;=IF('Loan Inputs'!$B$12,'Loan Inputs'!$B$7,0)*'Loan Inputs'!$B$14+0,ISNUMBER(G328),G328&gt;0),323,"")</f>
        <v>323</v>
      </c>
      <c r="B329" s="4">
        <f>IF(A329="","",IF('Loan Inputs'!$B$14=12,DATE(YEAR('Loan Inputs'!$B$8),MONTH('Loan Inputs'!$B$8)+A329,DAY('Loan Inputs'!$B$8)),'Loan Inputs'!$B$8+A329*IF('Loan Inputs'!$B$14=26,14,7)))</f>
        <v>56158</v>
      </c>
      <c r="C329" s="2">
        <f t="shared" si="17"/>
        <v>139390.59113148242</v>
      </c>
      <c r="D329" s="2">
        <f>IF(A329="","",MIN('Loan Inputs'!$B$17,C329+E329)+H329)</f>
        <v>4061.5333678073534</v>
      </c>
      <c r="E329" s="2">
        <f>IF(A329="","",C329*'Loan Inputs'!$B$15)</f>
        <v>742.25489777514383</v>
      </c>
      <c r="F329" s="2">
        <f t="shared" si="15"/>
        <v>3319.2784700322095</v>
      </c>
      <c r="G329" s="2">
        <f t="shared" si="16"/>
        <v>136071.31266145021</v>
      </c>
      <c r="H329" s="2">
        <f>IF(A329="","",MIN(0,MAX(0,C329+E329-'Loan Inputs'!$B$17)))</f>
        <v>0</v>
      </c>
    </row>
    <row r="330" spans="1:8" ht="22" customHeight="1">
      <c r="A330" s="1">
        <f>IF(AND('Loan Inputs'!$B$12,324&lt;=IF('Loan Inputs'!$B$12,'Loan Inputs'!$B$7,0)*'Loan Inputs'!$B$14+0,ISNUMBER(G329),G329&gt;0),324,"")</f>
        <v>324</v>
      </c>
      <c r="B330" s="4">
        <f>IF(A330="","",IF('Loan Inputs'!$B$14=12,DATE(YEAR('Loan Inputs'!$B$8),MONTH('Loan Inputs'!$B$8)+A330,DAY('Loan Inputs'!$B$8)),'Loan Inputs'!$B$8+A330*IF('Loan Inputs'!$B$14=26,14,7)))</f>
        <v>56189</v>
      </c>
      <c r="C330" s="2">
        <f t="shared" si="17"/>
        <v>136071.31266145021</v>
      </c>
      <c r="D330" s="2">
        <f>IF(A330="","",MIN('Loan Inputs'!$B$17,C330+E330)+H330)</f>
        <v>4061.5333678073534</v>
      </c>
      <c r="E330" s="2">
        <f>IF(A330="","",C330*'Loan Inputs'!$B$15)</f>
        <v>724.5797399222223</v>
      </c>
      <c r="F330" s="2">
        <f t="shared" si="15"/>
        <v>3336.953627885131</v>
      </c>
      <c r="G330" s="2">
        <f t="shared" si="16"/>
        <v>132734.35903356507</v>
      </c>
      <c r="H330" s="2">
        <f>IF(A330="","",MIN(0,MAX(0,C330+E330-'Loan Inputs'!$B$17)))</f>
        <v>0</v>
      </c>
    </row>
    <row r="331" spans="1:8" ht="22" customHeight="1">
      <c r="A331" s="1">
        <f>IF(AND('Loan Inputs'!$B$12,325&lt;=IF('Loan Inputs'!$B$12,'Loan Inputs'!$B$7,0)*'Loan Inputs'!$B$14+0,ISNUMBER(G330),G330&gt;0),325,"")</f>
        <v>325</v>
      </c>
      <c r="B331" s="4">
        <f>IF(A331="","",IF('Loan Inputs'!$B$14=12,DATE(YEAR('Loan Inputs'!$B$8),MONTH('Loan Inputs'!$B$8)+A331,DAY('Loan Inputs'!$B$8)),'Loan Inputs'!$B$8+A331*IF('Loan Inputs'!$B$14=26,14,7)))</f>
        <v>56219</v>
      </c>
      <c r="C331" s="2">
        <f t="shared" si="17"/>
        <v>132734.35903356507</v>
      </c>
      <c r="D331" s="2">
        <f>IF(A331="","",MIN('Loan Inputs'!$B$17,C331+E331)+H331)</f>
        <v>4061.5333678073534</v>
      </c>
      <c r="E331" s="2">
        <f>IF(A331="","",C331*'Loan Inputs'!$B$15)</f>
        <v>706.81046185373395</v>
      </c>
      <c r="F331" s="2">
        <f t="shared" si="15"/>
        <v>3354.7229059536194</v>
      </c>
      <c r="G331" s="2">
        <f t="shared" si="16"/>
        <v>129379.63612761145</v>
      </c>
      <c r="H331" s="2">
        <f>IF(A331="","",MIN(0,MAX(0,C331+E331-'Loan Inputs'!$B$17)))</f>
        <v>0</v>
      </c>
    </row>
    <row r="332" spans="1:8" ht="22" customHeight="1">
      <c r="A332" s="1">
        <f>IF(AND('Loan Inputs'!$B$12,326&lt;=IF('Loan Inputs'!$B$12,'Loan Inputs'!$B$7,0)*'Loan Inputs'!$B$14+0,ISNUMBER(G331),G331&gt;0),326,"")</f>
        <v>326</v>
      </c>
      <c r="B332" s="4">
        <f>IF(A332="","",IF('Loan Inputs'!$B$14=12,DATE(YEAR('Loan Inputs'!$B$8),MONTH('Loan Inputs'!$B$8)+A332,DAY('Loan Inputs'!$B$8)),'Loan Inputs'!$B$8+A332*IF('Loan Inputs'!$B$14=26,14,7)))</f>
        <v>56250</v>
      </c>
      <c r="C332" s="2">
        <f t="shared" si="17"/>
        <v>129379.63612761145</v>
      </c>
      <c r="D332" s="2">
        <f>IF(A332="","",MIN('Loan Inputs'!$B$17,C332+E332)+H332)</f>
        <v>4061.5333678073534</v>
      </c>
      <c r="E332" s="2">
        <f>IF(A332="","",C332*'Loan Inputs'!$B$15)</f>
        <v>688.94656237953097</v>
      </c>
      <c r="F332" s="2">
        <f t="shared" si="15"/>
        <v>3372.5868054278226</v>
      </c>
      <c r="G332" s="2">
        <f t="shared" si="16"/>
        <v>126007.04932218362</v>
      </c>
      <c r="H332" s="2">
        <f>IF(A332="","",MIN(0,MAX(0,C332+E332-'Loan Inputs'!$B$17)))</f>
        <v>0</v>
      </c>
    </row>
    <row r="333" spans="1:8" ht="22" customHeight="1">
      <c r="A333" s="1">
        <f>IF(AND('Loan Inputs'!$B$12,327&lt;=IF('Loan Inputs'!$B$12,'Loan Inputs'!$B$7,0)*'Loan Inputs'!$B$14+0,ISNUMBER(G332),G332&gt;0),327,"")</f>
        <v>327</v>
      </c>
      <c r="B333" s="4">
        <f>IF(A333="","",IF('Loan Inputs'!$B$14=12,DATE(YEAR('Loan Inputs'!$B$8),MONTH('Loan Inputs'!$B$8)+A333,DAY('Loan Inputs'!$B$8)),'Loan Inputs'!$B$8+A333*IF('Loan Inputs'!$B$14=26,14,7)))</f>
        <v>56281</v>
      </c>
      <c r="C333" s="2">
        <f t="shared" si="17"/>
        <v>126007.04932218362</v>
      </c>
      <c r="D333" s="2">
        <f>IF(A333="","",MIN('Loan Inputs'!$B$17,C333+E333)+H333)</f>
        <v>4061.5333678073534</v>
      </c>
      <c r="E333" s="2">
        <f>IF(A333="","",C333*'Loan Inputs'!$B$15)</f>
        <v>670.98753764062781</v>
      </c>
      <c r="F333" s="2">
        <f t="shared" si="15"/>
        <v>3390.5458301667259</v>
      </c>
      <c r="G333" s="2">
        <f t="shared" si="16"/>
        <v>122616.5034920169</v>
      </c>
      <c r="H333" s="2">
        <f>IF(A333="","",MIN(0,MAX(0,C333+E333-'Loan Inputs'!$B$17)))</f>
        <v>0</v>
      </c>
    </row>
    <row r="334" spans="1:8" ht="22" customHeight="1">
      <c r="A334" s="1">
        <f>IF(AND('Loan Inputs'!$B$12,328&lt;=IF('Loan Inputs'!$B$12,'Loan Inputs'!$B$7,0)*'Loan Inputs'!$B$14+0,ISNUMBER(G333),G333&gt;0),328,"")</f>
        <v>328</v>
      </c>
      <c r="B334" s="4">
        <f>IF(A334="","",IF('Loan Inputs'!$B$14=12,DATE(YEAR('Loan Inputs'!$B$8),MONTH('Loan Inputs'!$B$8)+A334,DAY('Loan Inputs'!$B$8)),'Loan Inputs'!$B$8+A334*IF('Loan Inputs'!$B$14=26,14,7)))</f>
        <v>56309</v>
      </c>
      <c r="C334" s="2">
        <f t="shared" si="17"/>
        <v>122616.5034920169</v>
      </c>
      <c r="D334" s="2">
        <f>IF(A334="","",MIN('Loan Inputs'!$B$17,C334+E334)+H334)</f>
        <v>4061.5333678073534</v>
      </c>
      <c r="E334" s="2">
        <f>IF(A334="","",C334*'Loan Inputs'!$B$15)</f>
        <v>652.93288109498997</v>
      </c>
      <c r="F334" s="2">
        <f t="shared" si="15"/>
        <v>3408.6004867123634</v>
      </c>
      <c r="G334" s="2">
        <f t="shared" si="16"/>
        <v>119207.90300530453</v>
      </c>
      <c r="H334" s="2">
        <f>IF(A334="","",MIN(0,MAX(0,C334+E334-'Loan Inputs'!$B$17)))</f>
        <v>0</v>
      </c>
    </row>
    <row r="335" spans="1:8" ht="22" customHeight="1">
      <c r="A335" s="1">
        <f>IF(AND('Loan Inputs'!$B$12,329&lt;=IF('Loan Inputs'!$B$12,'Loan Inputs'!$B$7,0)*'Loan Inputs'!$B$14+0,ISNUMBER(G334),G334&gt;0),329,"")</f>
        <v>329</v>
      </c>
      <c r="B335" s="4">
        <f>IF(A335="","",IF('Loan Inputs'!$B$14=12,DATE(YEAR('Loan Inputs'!$B$8),MONTH('Loan Inputs'!$B$8)+A335,DAY('Loan Inputs'!$B$8)),'Loan Inputs'!$B$8+A335*IF('Loan Inputs'!$B$14=26,14,7)))</f>
        <v>56340</v>
      </c>
      <c r="C335" s="2">
        <f t="shared" si="17"/>
        <v>119207.90300530453</v>
      </c>
      <c r="D335" s="2">
        <f>IF(A335="","",MIN('Loan Inputs'!$B$17,C335+E335)+H335)</f>
        <v>4061.5333678073534</v>
      </c>
      <c r="E335" s="2">
        <f>IF(A335="","",C335*'Loan Inputs'!$B$15)</f>
        <v>634.78208350324655</v>
      </c>
      <c r="F335" s="2">
        <f t="shared" si="15"/>
        <v>3426.7512843041068</v>
      </c>
      <c r="G335" s="2">
        <f t="shared" si="16"/>
        <v>115781.15172100042</v>
      </c>
      <c r="H335" s="2">
        <f>IF(A335="","",MIN(0,MAX(0,C335+E335-'Loan Inputs'!$B$17)))</f>
        <v>0</v>
      </c>
    </row>
    <row r="336" spans="1:8" ht="22" customHeight="1">
      <c r="A336" s="1">
        <f>IF(AND('Loan Inputs'!$B$12,330&lt;=IF('Loan Inputs'!$B$12,'Loan Inputs'!$B$7,0)*'Loan Inputs'!$B$14+0,ISNUMBER(G335),G335&gt;0),330,"")</f>
        <v>330</v>
      </c>
      <c r="B336" s="4">
        <f>IF(A336="","",IF('Loan Inputs'!$B$14=12,DATE(YEAR('Loan Inputs'!$B$8),MONTH('Loan Inputs'!$B$8)+A336,DAY('Loan Inputs'!$B$8)),'Loan Inputs'!$B$8+A336*IF('Loan Inputs'!$B$14=26,14,7)))</f>
        <v>56370</v>
      </c>
      <c r="C336" s="2">
        <f t="shared" si="17"/>
        <v>115781.15172100042</v>
      </c>
      <c r="D336" s="2">
        <f>IF(A336="","",MIN('Loan Inputs'!$B$17,C336+E336)+H336)</f>
        <v>4061.5333678073534</v>
      </c>
      <c r="E336" s="2">
        <f>IF(A336="","",C336*'Loan Inputs'!$B$15)</f>
        <v>616.53463291432729</v>
      </c>
      <c r="F336" s="2">
        <f t="shared" si="15"/>
        <v>3444.9987348930263</v>
      </c>
      <c r="G336" s="2">
        <f t="shared" si="16"/>
        <v>112336.15298610739</v>
      </c>
      <c r="H336" s="2">
        <f>IF(A336="","",MIN(0,MAX(0,C336+E336-'Loan Inputs'!$B$17)))</f>
        <v>0</v>
      </c>
    </row>
    <row r="337" spans="1:8" ht="22" customHeight="1">
      <c r="A337" s="1">
        <f>IF(AND('Loan Inputs'!$B$12,331&lt;=IF('Loan Inputs'!$B$12,'Loan Inputs'!$B$7,0)*'Loan Inputs'!$B$14+0,ISNUMBER(G336),G336&gt;0),331,"")</f>
        <v>331</v>
      </c>
      <c r="B337" s="4">
        <f>IF(A337="","",IF('Loan Inputs'!$B$14=12,DATE(YEAR('Loan Inputs'!$B$8),MONTH('Loan Inputs'!$B$8)+A337,DAY('Loan Inputs'!$B$8)),'Loan Inputs'!$B$8+A337*IF('Loan Inputs'!$B$14=26,14,7)))</f>
        <v>56401</v>
      </c>
      <c r="C337" s="2">
        <f t="shared" si="17"/>
        <v>112336.15298610739</v>
      </c>
      <c r="D337" s="2">
        <f>IF(A337="","",MIN('Loan Inputs'!$B$17,C337+E337)+H337)</f>
        <v>4061.5333678073534</v>
      </c>
      <c r="E337" s="2">
        <f>IF(A337="","",C337*'Loan Inputs'!$B$15)</f>
        <v>598.1900146510219</v>
      </c>
      <c r="F337" s="2">
        <f t="shared" si="15"/>
        <v>3463.3433531563314</v>
      </c>
      <c r="G337" s="2">
        <f t="shared" si="16"/>
        <v>108872.80963295106</v>
      </c>
      <c r="H337" s="2">
        <f>IF(A337="","",MIN(0,MAX(0,C337+E337-'Loan Inputs'!$B$17)))</f>
        <v>0</v>
      </c>
    </row>
    <row r="338" spans="1:8" ht="22" customHeight="1">
      <c r="A338" s="1">
        <f>IF(AND('Loan Inputs'!$B$12,332&lt;=IF('Loan Inputs'!$B$12,'Loan Inputs'!$B$7,0)*'Loan Inputs'!$B$14+0,ISNUMBER(G337),G337&gt;0),332,"")</f>
        <v>332</v>
      </c>
      <c r="B338" s="4">
        <f>IF(A338="","",IF('Loan Inputs'!$B$14=12,DATE(YEAR('Loan Inputs'!$B$8),MONTH('Loan Inputs'!$B$8)+A338,DAY('Loan Inputs'!$B$8)),'Loan Inputs'!$B$8+A338*IF('Loan Inputs'!$B$14=26,14,7)))</f>
        <v>56431</v>
      </c>
      <c r="C338" s="2">
        <f t="shared" si="17"/>
        <v>108872.80963295106</v>
      </c>
      <c r="D338" s="2">
        <f>IF(A338="","",MIN('Loan Inputs'!$B$17,C338+E338)+H338)</f>
        <v>4061.5333678073534</v>
      </c>
      <c r="E338" s="2">
        <f>IF(A338="","",C338*'Loan Inputs'!$B$15)</f>
        <v>579.74771129546434</v>
      </c>
      <c r="F338" s="2">
        <f t="shared" si="15"/>
        <v>3481.7856565118891</v>
      </c>
      <c r="G338" s="2">
        <f t="shared" si="16"/>
        <v>105391.02397643917</v>
      </c>
      <c r="H338" s="2">
        <f>IF(A338="","",MIN(0,MAX(0,C338+E338-'Loan Inputs'!$B$17)))</f>
        <v>0</v>
      </c>
    </row>
    <row r="339" spans="1:8" ht="22" customHeight="1">
      <c r="A339" s="1">
        <f>IF(AND('Loan Inputs'!$B$12,333&lt;=IF('Loan Inputs'!$B$12,'Loan Inputs'!$B$7,0)*'Loan Inputs'!$B$14+0,ISNUMBER(G338),G338&gt;0),333,"")</f>
        <v>333</v>
      </c>
      <c r="B339" s="4">
        <f>IF(A339="","",IF('Loan Inputs'!$B$14=12,DATE(YEAR('Loan Inputs'!$B$8),MONTH('Loan Inputs'!$B$8)+A339,DAY('Loan Inputs'!$B$8)),'Loan Inputs'!$B$8+A339*IF('Loan Inputs'!$B$14=26,14,7)))</f>
        <v>56462</v>
      </c>
      <c r="C339" s="2">
        <f t="shared" si="17"/>
        <v>105391.02397643917</v>
      </c>
      <c r="D339" s="2">
        <f>IF(A339="","",MIN('Loan Inputs'!$B$17,C339+E339)+H339)</f>
        <v>4061.5333678073534</v>
      </c>
      <c r="E339" s="2">
        <f>IF(A339="","",C339*'Loan Inputs'!$B$15)</f>
        <v>561.20720267453862</v>
      </c>
      <c r="F339" s="2">
        <f t="shared" si="15"/>
        <v>3500.3261651328148</v>
      </c>
      <c r="G339" s="2">
        <f t="shared" si="16"/>
        <v>101890.69781130635</v>
      </c>
      <c r="H339" s="2">
        <f>IF(A339="","",MIN(0,MAX(0,C339+E339-'Loan Inputs'!$B$17)))</f>
        <v>0</v>
      </c>
    </row>
    <row r="340" spans="1:8" ht="22" customHeight="1">
      <c r="A340" s="1">
        <f>IF(AND('Loan Inputs'!$B$12,334&lt;=IF('Loan Inputs'!$B$12,'Loan Inputs'!$B$7,0)*'Loan Inputs'!$B$14+0,ISNUMBER(G339),G339&gt;0),334,"")</f>
        <v>334</v>
      </c>
      <c r="B340" s="4">
        <f>IF(A340="","",IF('Loan Inputs'!$B$14=12,DATE(YEAR('Loan Inputs'!$B$8),MONTH('Loan Inputs'!$B$8)+A340,DAY('Loan Inputs'!$B$8)),'Loan Inputs'!$B$8+A340*IF('Loan Inputs'!$B$14=26,14,7)))</f>
        <v>56493</v>
      </c>
      <c r="C340" s="2">
        <f t="shared" si="17"/>
        <v>101890.69781130635</v>
      </c>
      <c r="D340" s="2">
        <f>IF(A340="","",MIN('Loan Inputs'!$B$17,C340+E340)+H340)</f>
        <v>4061.5333678073534</v>
      </c>
      <c r="E340" s="2">
        <f>IF(A340="","",C340*'Loan Inputs'!$B$15)</f>
        <v>542.56796584520634</v>
      </c>
      <c r="F340" s="2">
        <f t="shared" si="15"/>
        <v>3518.9654019621471</v>
      </c>
      <c r="G340" s="2">
        <f t="shared" si="16"/>
        <v>98371.7324093442</v>
      </c>
      <c r="H340" s="2">
        <f>IF(A340="","",MIN(0,MAX(0,C340+E340-'Loan Inputs'!$B$17)))</f>
        <v>0</v>
      </c>
    </row>
    <row r="341" spans="1:8" ht="22" customHeight="1">
      <c r="A341" s="1">
        <f>IF(AND('Loan Inputs'!$B$12,335&lt;=IF('Loan Inputs'!$B$12,'Loan Inputs'!$B$7,0)*'Loan Inputs'!$B$14+0,ISNUMBER(G340),G340&gt;0),335,"")</f>
        <v>335</v>
      </c>
      <c r="B341" s="4">
        <f>IF(A341="","",IF('Loan Inputs'!$B$14=12,DATE(YEAR('Loan Inputs'!$B$8),MONTH('Loan Inputs'!$B$8)+A341,DAY('Loan Inputs'!$B$8)),'Loan Inputs'!$B$8+A341*IF('Loan Inputs'!$B$14=26,14,7)))</f>
        <v>56523</v>
      </c>
      <c r="C341" s="2">
        <f t="shared" si="17"/>
        <v>98371.7324093442</v>
      </c>
      <c r="D341" s="2">
        <f>IF(A341="","",MIN('Loan Inputs'!$B$17,C341+E341)+H341)</f>
        <v>4061.5333678073534</v>
      </c>
      <c r="E341" s="2">
        <f>IF(A341="","",C341*'Loan Inputs'!$B$15)</f>
        <v>523.8294750797578</v>
      </c>
      <c r="F341" s="2">
        <f t="shared" si="15"/>
        <v>3537.7038927275958</v>
      </c>
      <c r="G341" s="2">
        <f t="shared" si="16"/>
        <v>94834.0285166166</v>
      </c>
      <c r="H341" s="2">
        <f>IF(A341="","",MIN(0,MAX(0,C341+E341-'Loan Inputs'!$B$17)))</f>
        <v>0</v>
      </c>
    </row>
    <row r="342" spans="1:8" ht="22" customHeight="1">
      <c r="A342" s="1">
        <f>IF(AND('Loan Inputs'!$B$12,336&lt;=IF('Loan Inputs'!$B$12,'Loan Inputs'!$B$7,0)*'Loan Inputs'!$B$14+0,ISNUMBER(G341),G341&gt;0),336,"")</f>
        <v>336</v>
      </c>
      <c r="B342" s="4">
        <f>IF(A342="","",IF('Loan Inputs'!$B$14=12,DATE(YEAR('Loan Inputs'!$B$8),MONTH('Loan Inputs'!$B$8)+A342,DAY('Loan Inputs'!$B$8)),'Loan Inputs'!$B$8+A342*IF('Loan Inputs'!$B$14=26,14,7)))</f>
        <v>56554</v>
      </c>
      <c r="C342" s="2">
        <f t="shared" si="17"/>
        <v>94834.0285166166</v>
      </c>
      <c r="D342" s="2">
        <f>IF(A342="","",MIN('Loan Inputs'!$B$17,C342+E342)+H342)</f>
        <v>4061.5333678073534</v>
      </c>
      <c r="E342" s="2">
        <f>IF(A342="","",C342*'Loan Inputs'!$B$15)</f>
        <v>504.99120185098337</v>
      </c>
      <c r="F342" s="2">
        <f t="shared" si="15"/>
        <v>3556.5421659563699</v>
      </c>
      <c r="G342" s="2">
        <f t="shared" si="16"/>
        <v>91277.486350660227</v>
      </c>
      <c r="H342" s="2">
        <f>IF(A342="","",MIN(0,MAX(0,C342+E342-'Loan Inputs'!$B$17)))</f>
        <v>0</v>
      </c>
    </row>
    <row r="343" spans="1:8" ht="22" customHeight="1">
      <c r="A343" s="1">
        <f>IF(AND('Loan Inputs'!$B$12,337&lt;=IF('Loan Inputs'!$B$12,'Loan Inputs'!$B$7,0)*'Loan Inputs'!$B$14+0,ISNUMBER(G342),G342&gt;0),337,"")</f>
        <v>337</v>
      </c>
      <c r="B343" s="4">
        <f>IF(A343="","",IF('Loan Inputs'!$B$14=12,DATE(YEAR('Loan Inputs'!$B$8),MONTH('Loan Inputs'!$B$8)+A343,DAY('Loan Inputs'!$B$8)),'Loan Inputs'!$B$8+A343*IF('Loan Inputs'!$B$14=26,14,7)))</f>
        <v>56584</v>
      </c>
      <c r="C343" s="2">
        <f t="shared" si="17"/>
        <v>91277.486350660227</v>
      </c>
      <c r="D343" s="2">
        <f>IF(A343="","",MIN('Loan Inputs'!$B$17,C343+E343)+H343)</f>
        <v>4061.5333678073534</v>
      </c>
      <c r="E343" s="2">
        <f>IF(A343="","",C343*'Loan Inputs'!$B$15)</f>
        <v>486.05261481726569</v>
      </c>
      <c r="F343" s="2">
        <f t="shared" si="15"/>
        <v>3575.4807529900877</v>
      </c>
      <c r="G343" s="2">
        <f t="shared" si="16"/>
        <v>87702.005597670141</v>
      </c>
      <c r="H343" s="2">
        <f>IF(A343="","",MIN(0,MAX(0,C343+E343-'Loan Inputs'!$B$17)))</f>
        <v>0</v>
      </c>
    </row>
    <row r="344" spans="1:8" ht="22" customHeight="1">
      <c r="A344" s="1">
        <f>IF(AND('Loan Inputs'!$B$12,338&lt;=IF('Loan Inputs'!$B$12,'Loan Inputs'!$B$7,0)*'Loan Inputs'!$B$14+0,ISNUMBER(G343),G343&gt;0),338,"")</f>
        <v>338</v>
      </c>
      <c r="B344" s="4">
        <f>IF(A344="","",IF('Loan Inputs'!$B$14=12,DATE(YEAR('Loan Inputs'!$B$8),MONTH('Loan Inputs'!$B$8)+A344,DAY('Loan Inputs'!$B$8)),'Loan Inputs'!$B$8+A344*IF('Loan Inputs'!$B$14=26,14,7)))</f>
        <v>56615</v>
      </c>
      <c r="C344" s="2">
        <f t="shared" si="17"/>
        <v>87702.005597670141</v>
      </c>
      <c r="D344" s="2">
        <f>IF(A344="","",MIN('Loan Inputs'!$B$17,C344+E344)+H344)</f>
        <v>4061.5333678073534</v>
      </c>
      <c r="E344" s="2">
        <f>IF(A344="","",C344*'Loan Inputs'!$B$15)</f>
        <v>467.01317980759347</v>
      </c>
      <c r="F344" s="2">
        <f t="shared" si="15"/>
        <v>3594.5201879997599</v>
      </c>
      <c r="G344" s="2">
        <f t="shared" si="16"/>
        <v>84107.485409670378</v>
      </c>
      <c r="H344" s="2">
        <f>IF(A344="","",MIN(0,MAX(0,C344+E344-'Loan Inputs'!$B$17)))</f>
        <v>0</v>
      </c>
    </row>
    <row r="345" spans="1:8" ht="22" customHeight="1">
      <c r="A345" s="1">
        <f>IF(AND('Loan Inputs'!$B$12,339&lt;=IF('Loan Inputs'!$B$12,'Loan Inputs'!$B$7,0)*'Loan Inputs'!$B$14+0,ISNUMBER(G344),G344&gt;0),339,"")</f>
        <v>339</v>
      </c>
      <c r="B345" s="4">
        <f>IF(A345="","",IF('Loan Inputs'!$B$14=12,DATE(YEAR('Loan Inputs'!$B$8),MONTH('Loan Inputs'!$B$8)+A345,DAY('Loan Inputs'!$B$8)),'Loan Inputs'!$B$8+A345*IF('Loan Inputs'!$B$14=26,14,7)))</f>
        <v>56646</v>
      </c>
      <c r="C345" s="2">
        <f t="shared" si="17"/>
        <v>84107.485409670378</v>
      </c>
      <c r="D345" s="2">
        <f>IF(A345="","",MIN('Loan Inputs'!$B$17,C345+E345)+H345)</f>
        <v>4061.5333678073534</v>
      </c>
      <c r="E345" s="2">
        <f>IF(A345="","",C345*'Loan Inputs'!$B$15)</f>
        <v>447.87235980649473</v>
      </c>
      <c r="F345" s="2">
        <f t="shared" si="15"/>
        <v>3613.6610080008586</v>
      </c>
      <c r="G345" s="2">
        <f t="shared" si="16"/>
        <v>80493.824401669524</v>
      </c>
      <c r="H345" s="2">
        <f>IF(A345="","",MIN(0,MAX(0,C345+E345-'Loan Inputs'!$B$17)))</f>
        <v>0</v>
      </c>
    </row>
    <row r="346" spans="1:8" ht="22" customHeight="1">
      <c r="A346" s="1">
        <f>IF(AND('Loan Inputs'!$B$12,340&lt;=IF('Loan Inputs'!$B$12,'Loan Inputs'!$B$7,0)*'Loan Inputs'!$B$14+0,ISNUMBER(G345),G345&gt;0),340,"")</f>
        <v>340</v>
      </c>
      <c r="B346" s="4">
        <f>IF(A346="","",IF('Loan Inputs'!$B$14=12,DATE(YEAR('Loan Inputs'!$B$8),MONTH('Loan Inputs'!$B$8)+A346,DAY('Loan Inputs'!$B$8)),'Loan Inputs'!$B$8+A346*IF('Loan Inputs'!$B$14=26,14,7)))</f>
        <v>56674</v>
      </c>
      <c r="C346" s="2">
        <f t="shared" si="17"/>
        <v>80493.824401669524</v>
      </c>
      <c r="D346" s="2">
        <f>IF(A346="","",MIN('Loan Inputs'!$B$17,C346+E346)+H346)</f>
        <v>4061.5333678073534</v>
      </c>
      <c r="E346" s="2">
        <f>IF(A346="","",C346*'Loan Inputs'!$B$15)</f>
        <v>428.6296149388902</v>
      </c>
      <c r="F346" s="2">
        <f t="shared" si="15"/>
        <v>3632.903752868463</v>
      </c>
      <c r="G346" s="2">
        <f t="shared" si="16"/>
        <v>76860.920648801068</v>
      </c>
      <c r="H346" s="2">
        <f>IF(A346="","",MIN(0,MAX(0,C346+E346-'Loan Inputs'!$B$17)))</f>
        <v>0</v>
      </c>
    </row>
    <row r="347" spans="1:8" ht="22" customHeight="1">
      <c r="A347" s="1">
        <f>IF(AND('Loan Inputs'!$B$12,341&lt;=IF('Loan Inputs'!$B$12,'Loan Inputs'!$B$7,0)*'Loan Inputs'!$B$14+0,ISNUMBER(G346),G346&gt;0),341,"")</f>
        <v>341</v>
      </c>
      <c r="B347" s="4">
        <f>IF(A347="","",IF('Loan Inputs'!$B$14=12,DATE(YEAR('Loan Inputs'!$B$8),MONTH('Loan Inputs'!$B$8)+A347,DAY('Loan Inputs'!$B$8)),'Loan Inputs'!$B$8+A347*IF('Loan Inputs'!$B$14=26,14,7)))</f>
        <v>56705</v>
      </c>
      <c r="C347" s="2">
        <f t="shared" si="17"/>
        <v>76860.920648801068</v>
      </c>
      <c r="D347" s="2">
        <f>IF(A347="","",MIN('Loan Inputs'!$B$17,C347+E347)+H347)</f>
        <v>4061.5333678073534</v>
      </c>
      <c r="E347" s="2">
        <f>IF(A347="","",C347*'Loan Inputs'!$B$15)</f>
        <v>409.2844024548657</v>
      </c>
      <c r="F347" s="2">
        <f t="shared" si="15"/>
        <v>3652.2489653524876</v>
      </c>
      <c r="G347" s="2">
        <f t="shared" si="16"/>
        <v>73208.671683448585</v>
      </c>
      <c r="H347" s="2">
        <f>IF(A347="","",MIN(0,MAX(0,C347+E347-'Loan Inputs'!$B$17)))</f>
        <v>0</v>
      </c>
    </row>
    <row r="348" spans="1:8" ht="22" customHeight="1">
      <c r="A348" s="1">
        <f>IF(AND('Loan Inputs'!$B$12,342&lt;=IF('Loan Inputs'!$B$12,'Loan Inputs'!$B$7,0)*'Loan Inputs'!$B$14+0,ISNUMBER(G347),G347&gt;0),342,"")</f>
        <v>342</v>
      </c>
      <c r="B348" s="4">
        <f>IF(A348="","",IF('Loan Inputs'!$B$14=12,DATE(YEAR('Loan Inputs'!$B$8),MONTH('Loan Inputs'!$B$8)+A348,DAY('Loan Inputs'!$B$8)),'Loan Inputs'!$B$8+A348*IF('Loan Inputs'!$B$14=26,14,7)))</f>
        <v>56735</v>
      </c>
      <c r="C348" s="2">
        <f t="shared" si="17"/>
        <v>73208.671683448585</v>
      </c>
      <c r="D348" s="2">
        <f>IF(A348="","",MIN('Loan Inputs'!$B$17,C348+E348)+H348)</f>
        <v>4061.5333678073534</v>
      </c>
      <c r="E348" s="2">
        <f>IF(A348="","",C348*'Loan Inputs'!$B$15)</f>
        <v>389.83617671436372</v>
      </c>
      <c r="F348" s="2">
        <f t="shared" si="15"/>
        <v>3671.6971910929897</v>
      </c>
      <c r="G348" s="2">
        <f t="shared" si="16"/>
        <v>69536.974492355599</v>
      </c>
      <c r="H348" s="2">
        <f>IF(A348="","",MIN(0,MAX(0,C348+E348-'Loan Inputs'!$B$17)))</f>
        <v>0</v>
      </c>
    </row>
    <row r="349" spans="1:8" ht="22" customHeight="1">
      <c r="A349" s="1">
        <f>IF(AND('Loan Inputs'!$B$12,343&lt;=IF('Loan Inputs'!$B$12,'Loan Inputs'!$B$7,0)*'Loan Inputs'!$B$14+0,ISNUMBER(G348),G348&gt;0),343,"")</f>
        <v>343</v>
      </c>
      <c r="B349" s="4">
        <f>IF(A349="","",IF('Loan Inputs'!$B$14=12,DATE(YEAR('Loan Inputs'!$B$8),MONTH('Loan Inputs'!$B$8)+A349,DAY('Loan Inputs'!$B$8)),'Loan Inputs'!$B$8+A349*IF('Loan Inputs'!$B$14=26,14,7)))</f>
        <v>56766</v>
      </c>
      <c r="C349" s="2">
        <f t="shared" si="17"/>
        <v>69536.974492355599</v>
      </c>
      <c r="D349" s="2">
        <f>IF(A349="","",MIN('Loan Inputs'!$B$17,C349+E349)+H349)</f>
        <v>4061.5333678073534</v>
      </c>
      <c r="E349" s="2">
        <f>IF(A349="","",C349*'Loan Inputs'!$B$15)</f>
        <v>370.28438917179358</v>
      </c>
      <c r="F349" s="2">
        <f t="shared" si="15"/>
        <v>3691.24897863556</v>
      </c>
      <c r="G349" s="2">
        <f t="shared" si="16"/>
        <v>65845.725513720041</v>
      </c>
      <c r="H349" s="2">
        <f>IF(A349="","",MIN(0,MAX(0,C349+E349-'Loan Inputs'!$B$17)))</f>
        <v>0</v>
      </c>
    </row>
    <row r="350" spans="1:8" ht="22" customHeight="1">
      <c r="A350" s="1">
        <f>IF(AND('Loan Inputs'!$B$12,344&lt;=IF('Loan Inputs'!$B$12,'Loan Inputs'!$B$7,0)*'Loan Inputs'!$B$14+0,ISNUMBER(G349),G349&gt;0),344,"")</f>
        <v>344</v>
      </c>
      <c r="B350" s="4">
        <f>IF(A350="","",IF('Loan Inputs'!$B$14=12,DATE(YEAR('Loan Inputs'!$B$8),MONTH('Loan Inputs'!$B$8)+A350,DAY('Loan Inputs'!$B$8)),'Loan Inputs'!$B$8+A350*IF('Loan Inputs'!$B$14=26,14,7)))</f>
        <v>56796</v>
      </c>
      <c r="C350" s="2">
        <f t="shared" si="17"/>
        <v>65845.725513720041</v>
      </c>
      <c r="D350" s="2">
        <f>IF(A350="","",MIN('Loan Inputs'!$B$17,C350+E350)+H350)</f>
        <v>4061.5333678073534</v>
      </c>
      <c r="E350" s="2">
        <f>IF(A350="","",C350*'Loan Inputs'!$B$15)</f>
        <v>350.62848836055923</v>
      </c>
      <c r="F350" s="2">
        <f t="shared" si="15"/>
        <v>3710.9048794467944</v>
      </c>
      <c r="G350" s="2">
        <f t="shared" si="16"/>
        <v>62134.820634273245</v>
      </c>
      <c r="H350" s="2">
        <f>IF(A350="","",MIN(0,MAX(0,C350+E350-'Loan Inputs'!$B$17)))</f>
        <v>0</v>
      </c>
    </row>
    <row r="351" spans="1:8" ht="22" customHeight="1">
      <c r="A351" s="1">
        <f>IF(AND('Loan Inputs'!$B$12,345&lt;=IF('Loan Inputs'!$B$12,'Loan Inputs'!$B$7,0)*'Loan Inputs'!$B$14+0,ISNUMBER(G350),G350&gt;0),345,"")</f>
        <v>345</v>
      </c>
      <c r="B351" s="4">
        <f>IF(A351="","",IF('Loan Inputs'!$B$14=12,DATE(YEAR('Loan Inputs'!$B$8),MONTH('Loan Inputs'!$B$8)+A351,DAY('Loan Inputs'!$B$8)),'Loan Inputs'!$B$8+A351*IF('Loan Inputs'!$B$14=26,14,7)))</f>
        <v>56827</v>
      </c>
      <c r="C351" s="2">
        <f t="shared" si="17"/>
        <v>62134.820634273245</v>
      </c>
      <c r="D351" s="2">
        <f>IF(A351="","",MIN('Loan Inputs'!$B$17,C351+E351)+H351)</f>
        <v>4061.5333678073534</v>
      </c>
      <c r="E351" s="2">
        <f>IF(A351="","",C351*'Loan Inputs'!$B$15)</f>
        <v>330.86791987750502</v>
      </c>
      <c r="F351" s="2">
        <f t="shared" si="15"/>
        <v>3730.6654479298486</v>
      </c>
      <c r="G351" s="2">
        <f t="shared" si="16"/>
        <v>58404.1551863434</v>
      </c>
      <c r="H351" s="2">
        <f>IF(A351="","",MIN(0,MAX(0,C351+E351-'Loan Inputs'!$B$17)))</f>
        <v>0</v>
      </c>
    </row>
    <row r="352" spans="1:8" ht="22" customHeight="1">
      <c r="A352" s="1">
        <f>IF(AND('Loan Inputs'!$B$12,346&lt;=IF('Loan Inputs'!$B$12,'Loan Inputs'!$B$7,0)*'Loan Inputs'!$B$14+0,ISNUMBER(G351),G351&gt;0),346,"")</f>
        <v>346</v>
      </c>
      <c r="B352" s="4">
        <f>IF(A352="","",IF('Loan Inputs'!$B$14=12,DATE(YEAR('Loan Inputs'!$B$8),MONTH('Loan Inputs'!$B$8)+A352,DAY('Loan Inputs'!$B$8)),'Loan Inputs'!$B$8+A352*IF('Loan Inputs'!$B$14=26,14,7)))</f>
        <v>56858</v>
      </c>
      <c r="C352" s="2">
        <f t="shared" si="17"/>
        <v>58404.1551863434</v>
      </c>
      <c r="D352" s="2">
        <f>IF(A352="","",MIN('Loan Inputs'!$B$17,C352+E352)+H352)</f>
        <v>4061.5333678073534</v>
      </c>
      <c r="E352" s="2">
        <f>IF(A352="","",C352*'Loan Inputs'!$B$15)</f>
        <v>311.00212636727861</v>
      </c>
      <c r="F352" s="2">
        <f t="shared" si="15"/>
        <v>3750.5312414400751</v>
      </c>
      <c r="G352" s="2">
        <f t="shared" si="16"/>
        <v>54653.623944903324</v>
      </c>
      <c r="H352" s="2">
        <f>IF(A352="","",MIN(0,MAX(0,C352+E352-'Loan Inputs'!$B$17)))</f>
        <v>0</v>
      </c>
    </row>
    <row r="353" spans="1:8" ht="22" customHeight="1">
      <c r="A353" s="1">
        <f>IF(AND('Loan Inputs'!$B$12,347&lt;=IF('Loan Inputs'!$B$12,'Loan Inputs'!$B$7,0)*'Loan Inputs'!$B$14+0,ISNUMBER(G352),G352&gt;0),347,"")</f>
        <v>347</v>
      </c>
      <c r="B353" s="4">
        <f>IF(A353="","",IF('Loan Inputs'!$B$14=12,DATE(YEAR('Loan Inputs'!$B$8),MONTH('Loan Inputs'!$B$8)+A353,DAY('Loan Inputs'!$B$8)),'Loan Inputs'!$B$8+A353*IF('Loan Inputs'!$B$14=26,14,7)))</f>
        <v>56888</v>
      </c>
      <c r="C353" s="2">
        <f t="shared" si="17"/>
        <v>54653.623944903324</v>
      </c>
      <c r="D353" s="2">
        <f>IF(A353="","",MIN('Loan Inputs'!$B$17,C353+E353)+H353)</f>
        <v>4061.5333678073534</v>
      </c>
      <c r="E353" s="2">
        <f>IF(A353="","",C353*'Loan Inputs'!$B$15)</f>
        <v>291.03054750661022</v>
      </c>
      <c r="F353" s="2">
        <f t="shared" si="15"/>
        <v>3770.5028203007432</v>
      </c>
      <c r="G353" s="2">
        <f t="shared" si="16"/>
        <v>50883.121124602578</v>
      </c>
      <c r="H353" s="2">
        <f>IF(A353="","",MIN(0,MAX(0,C353+E353-'Loan Inputs'!$B$17)))</f>
        <v>0</v>
      </c>
    </row>
    <row r="354" spans="1:8" ht="22" customHeight="1">
      <c r="A354" s="1">
        <f>IF(AND('Loan Inputs'!$B$12,348&lt;=IF('Loan Inputs'!$B$12,'Loan Inputs'!$B$7,0)*'Loan Inputs'!$B$14+0,ISNUMBER(G353),G353&gt;0),348,"")</f>
        <v>348</v>
      </c>
      <c r="B354" s="4">
        <f>IF(A354="","",IF('Loan Inputs'!$B$14=12,DATE(YEAR('Loan Inputs'!$B$8),MONTH('Loan Inputs'!$B$8)+A354,DAY('Loan Inputs'!$B$8)),'Loan Inputs'!$B$8+A354*IF('Loan Inputs'!$B$14=26,14,7)))</f>
        <v>56919</v>
      </c>
      <c r="C354" s="2">
        <f t="shared" si="17"/>
        <v>50883.121124602578</v>
      </c>
      <c r="D354" s="2">
        <f>IF(A354="","",MIN('Loan Inputs'!$B$17,C354+E354)+H354)</f>
        <v>4061.5333678073534</v>
      </c>
      <c r="E354" s="2">
        <f>IF(A354="","",C354*'Loan Inputs'!$B$15)</f>
        <v>270.95261998850873</v>
      </c>
      <c r="F354" s="2">
        <f t="shared" si="15"/>
        <v>3790.5807478188449</v>
      </c>
      <c r="G354" s="2">
        <f t="shared" si="16"/>
        <v>47092.540376783734</v>
      </c>
      <c r="H354" s="2">
        <f>IF(A354="","",MIN(0,MAX(0,C354+E354-'Loan Inputs'!$B$17)))</f>
        <v>0</v>
      </c>
    </row>
    <row r="355" spans="1:8" ht="22" customHeight="1">
      <c r="A355" s="1">
        <f>IF(AND('Loan Inputs'!$B$12,349&lt;=IF('Loan Inputs'!$B$12,'Loan Inputs'!$B$7,0)*'Loan Inputs'!$B$14+0,ISNUMBER(G354),G354&gt;0),349,"")</f>
        <v>349</v>
      </c>
      <c r="B355" s="4">
        <f>IF(A355="","",IF('Loan Inputs'!$B$14=12,DATE(YEAR('Loan Inputs'!$B$8),MONTH('Loan Inputs'!$B$8)+A355,DAY('Loan Inputs'!$B$8)),'Loan Inputs'!$B$8+A355*IF('Loan Inputs'!$B$14=26,14,7)))</f>
        <v>56949</v>
      </c>
      <c r="C355" s="2">
        <f t="shared" si="17"/>
        <v>47092.540376783734</v>
      </c>
      <c r="D355" s="2">
        <f>IF(A355="","",MIN('Loan Inputs'!$B$17,C355+E355)+H355)</f>
        <v>4061.5333678073534</v>
      </c>
      <c r="E355" s="2">
        <f>IF(A355="","",C355*'Loan Inputs'!$B$15)</f>
        <v>250.76777750637339</v>
      </c>
      <c r="F355" s="2">
        <f t="shared" si="15"/>
        <v>3810.76559030098</v>
      </c>
      <c r="G355" s="2">
        <f t="shared" si="16"/>
        <v>43281.774786482754</v>
      </c>
      <c r="H355" s="2">
        <f>IF(A355="","",MIN(0,MAX(0,C355+E355-'Loan Inputs'!$B$17)))</f>
        <v>0</v>
      </c>
    </row>
    <row r="356" spans="1:8" ht="22" customHeight="1">
      <c r="A356" s="1">
        <f>IF(AND('Loan Inputs'!$B$12,350&lt;=IF('Loan Inputs'!$B$12,'Loan Inputs'!$B$7,0)*'Loan Inputs'!$B$14+0,ISNUMBER(G355),G355&gt;0),350,"")</f>
        <v>350</v>
      </c>
      <c r="B356" s="4">
        <f>IF(A356="","",IF('Loan Inputs'!$B$14=12,DATE(YEAR('Loan Inputs'!$B$8),MONTH('Loan Inputs'!$B$8)+A356,DAY('Loan Inputs'!$B$8)),'Loan Inputs'!$B$8+A356*IF('Loan Inputs'!$B$14=26,14,7)))</f>
        <v>56980</v>
      </c>
      <c r="C356" s="2">
        <f t="shared" si="17"/>
        <v>43281.774786482754</v>
      </c>
      <c r="D356" s="2">
        <f>IF(A356="","",MIN('Loan Inputs'!$B$17,C356+E356)+H356)</f>
        <v>4061.5333678073534</v>
      </c>
      <c r="E356" s="2">
        <f>IF(A356="","",C356*'Loan Inputs'!$B$15)</f>
        <v>230.47545073802067</v>
      </c>
      <c r="F356" s="2">
        <f t="shared" si="15"/>
        <v>3831.0579170693327</v>
      </c>
      <c r="G356" s="2">
        <f t="shared" si="16"/>
        <v>39450.716869413423</v>
      </c>
      <c r="H356" s="2">
        <f>IF(A356="","",MIN(0,MAX(0,C356+E356-'Loan Inputs'!$B$17)))</f>
        <v>0</v>
      </c>
    </row>
    <row r="357" spans="1:8" ht="22" customHeight="1">
      <c r="A357" s="1">
        <f>IF(AND('Loan Inputs'!$B$12,351&lt;=IF('Loan Inputs'!$B$12,'Loan Inputs'!$B$7,0)*'Loan Inputs'!$B$14+0,ISNUMBER(G356),G356&gt;0),351,"")</f>
        <v>351</v>
      </c>
      <c r="B357" s="4">
        <f>IF(A357="","",IF('Loan Inputs'!$B$14=12,DATE(YEAR('Loan Inputs'!$B$8),MONTH('Loan Inputs'!$B$8)+A357,DAY('Loan Inputs'!$B$8)),'Loan Inputs'!$B$8+A357*IF('Loan Inputs'!$B$14=26,14,7)))</f>
        <v>57011</v>
      </c>
      <c r="C357" s="2">
        <f t="shared" si="17"/>
        <v>39450.716869413423</v>
      </c>
      <c r="D357" s="2">
        <f>IF(A357="","",MIN('Loan Inputs'!$B$17,C357+E357)+H357)</f>
        <v>4061.5333678073534</v>
      </c>
      <c r="E357" s="2">
        <f>IF(A357="","",C357*'Loan Inputs'!$B$15)</f>
        <v>210.07506732962648</v>
      </c>
      <c r="F357" s="2">
        <f t="shared" si="15"/>
        <v>3851.4583004777269</v>
      </c>
      <c r="G357" s="2">
        <f t="shared" si="16"/>
        <v>35599.258568935693</v>
      </c>
      <c r="H357" s="2">
        <f>IF(A357="","",MIN(0,MAX(0,C357+E357-'Loan Inputs'!$B$17)))</f>
        <v>0</v>
      </c>
    </row>
    <row r="358" spans="1:8" ht="22" customHeight="1">
      <c r="A358" s="1">
        <f>IF(AND('Loan Inputs'!$B$12,352&lt;=IF('Loan Inputs'!$B$12,'Loan Inputs'!$B$7,0)*'Loan Inputs'!$B$14+0,ISNUMBER(G357),G357&gt;0),352,"")</f>
        <v>352</v>
      </c>
      <c r="B358" s="4">
        <f>IF(A358="","",IF('Loan Inputs'!$B$14=12,DATE(YEAR('Loan Inputs'!$B$8),MONTH('Loan Inputs'!$B$8)+A358,DAY('Loan Inputs'!$B$8)),'Loan Inputs'!$B$8+A358*IF('Loan Inputs'!$B$14=26,14,7)))</f>
        <v>57040</v>
      </c>
      <c r="C358" s="2">
        <f t="shared" si="17"/>
        <v>35599.258568935693</v>
      </c>
      <c r="D358" s="2">
        <f>IF(A358="","",MIN('Loan Inputs'!$B$17,C358+E358)+H358)</f>
        <v>4061.5333678073534</v>
      </c>
      <c r="E358" s="2">
        <f>IF(A358="","",C358*'Loan Inputs'!$B$15)</f>
        <v>189.56605187958257</v>
      </c>
      <c r="F358" s="2">
        <f t="shared" si="15"/>
        <v>3871.9673159277709</v>
      </c>
      <c r="G358" s="2">
        <f t="shared" si="16"/>
        <v>31727.291253007923</v>
      </c>
      <c r="H358" s="2">
        <f>IF(A358="","",MIN(0,MAX(0,C358+E358-'Loan Inputs'!$B$17)))</f>
        <v>0</v>
      </c>
    </row>
    <row r="359" spans="1:8" ht="22" customHeight="1">
      <c r="A359" s="1">
        <f>IF(AND('Loan Inputs'!$B$12,353&lt;=IF('Loan Inputs'!$B$12,'Loan Inputs'!$B$7,0)*'Loan Inputs'!$B$14+0,ISNUMBER(G358),G358&gt;0),353,"")</f>
        <v>353</v>
      </c>
      <c r="B359" s="4">
        <f>IF(A359="","",IF('Loan Inputs'!$B$14=12,DATE(YEAR('Loan Inputs'!$B$8),MONTH('Loan Inputs'!$B$8)+A359,DAY('Loan Inputs'!$B$8)),'Loan Inputs'!$B$8+A359*IF('Loan Inputs'!$B$14=26,14,7)))</f>
        <v>57071</v>
      </c>
      <c r="C359" s="2">
        <f t="shared" si="17"/>
        <v>31727.291253007923</v>
      </c>
      <c r="D359" s="2">
        <f>IF(A359="","",MIN('Loan Inputs'!$B$17,C359+E359)+H359)</f>
        <v>4061.5333678073534</v>
      </c>
      <c r="E359" s="2">
        <f>IF(A359="","",C359*'Loan Inputs'!$B$15)</f>
        <v>168.94782592226719</v>
      </c>
      <c r="F359" s="2">
        <f t="shared" si="15"/>
        <v>3892.5855418850861</v>
      </c>
      <c r="G359" s="2">
        <f t="shared" si="16"/>
        <v>27834.705711122835</v>
      </c>
      <c r="H359" s="2">
        <f>IF(A359="","",MIN(0,MAX(0,C359+E359-'Loan Inputs'!$B$17)))</f>
        <v>0</v>
      </c>
    </row>
    <row r="360" spans="1:8" ht="22" customHeight="1">
      <c r="A360" s="1">
        <f>IF(AND('Loan Inputs'!$B$12,354&lt;=IF('Loan Inputs'!$B$12,'Loan Inputs'!$B$7,0)*'Loan Inputs'!$B$14+0,ISNUMBER(G359),G359&gt;0),354,"")</f>
        <v>354</v>
      </c>
      <c r="B360" s="4">
        <f>IF(A360="","",IF('Loan Inputs'!$B$14=12,DATE(YEAR('Loan Inputs'!$B$8),MONTH('Loan Inputs'!$B$8)+A360,DAY('Loan Inputs'!$B$8)),'Loan Inputs'!$B$8+A360*IF('Loan Inputs'!$B$14=26,14,7)))</f>
        <v>57101</v>
      </c>
      <c r="C360" s="2">
        <f t="shared" si="17"/>
        <v>27834.705711122835</v>
      </c>
      <c r="D360" s="2">
        <f>IF(A360="","",MIN('Loan Inputs'!$B$17,C360+E360)+H360)</f>
        <v>4061.5333678073534</v>
      </c>
      <c r="E360" s="2">
        <f>IF(A360="","",C360*'Loan Inputs'!$B$15)</f>
        <v>148.21980791172911</v>
      </c>
      <c r="F360" s="2">
        <f t="shared" si="15"/>
        <v>3913.3135598956242</v>
      </c>
      <c r="G360" s="2">
        <f t="shared" si="16"/>
        <v>23921.39215122721</v>
      </c>
      <c r="H360" s="2">
        <f>IF(A360="","",MIN(0,MAX(0,C360+E360-'Loan Inputs'!$B$17)))</f>
        <v>0</v>
      </c>
    </row>
    <row r="361" spans="1:8" ht="22" customHeight="1">
      <c r="A361" s="1">
        <f>IF(AND('Loan Inputs'!$B$12,355&lt;=IF('Loan Inputs'!$B$12,'Loan Inputs'!$B$7,0)*'Loan Inputs'!$B$14+0,ISNUMBER(G360),G360&gt;0),355,"")</f>
        <v>355</v>
      </c>
      <c r="B361" s="4">
        <f>IF(A361="","",IF('Loan Inputs'!$B$14=12,DATE(YEAR('Loan Inputs'!$B$8),MONTH('Loan Inputs'!$B$8)+A361,DAY('Loan Inputs'!$B$8)),'Loan Inputs'!$B$8+A361*IF('Loan Inputs'!$B$14=26,14,7)))</f>
        <v>57132</v>
      </c>
      <c r="C361" s="2">
        <f t="shared" si="17"/>
        <v>23921.39215122721</v>
      </c>
      <c r="D361" s="2">
        <f>IF(A361="","",MIN('Loan Inputs'!$B$17,C361+E361)+H361)</f>
        <v>4061.5333678073534</v>
      </c>
      <c r="E361" s="2">
        <f>IF(A361="","",C361*'Loan Inputs'!$B$15)</f>
        <v>127.38141320528489</v>
      </c>
      <c r="F361" s="2">
        <f t="shared" si="15"/>
        <v>3934.1519546020686</v>
      </c>
      <c r="G361" s="2">
        <f t="shared" si="16"/>
        <v>19987.240196625142</v>
      </c>
      <c r="H361" s="2">
        <f>IF(A361="","",MIN(0,MAX(0,C361+E361-'Loan Inputs'!$B$17)))</f>
        <v>0</v>
      </c>
    </row>
    <row r="362" spans="1:8" ht="22" customHeight="1">
      <c r="A362" s="1">
        <f>IF(AND('Loan Inputs'!$B$12,356&lt;=IF('Loan Inputs'!$B$12,'Loan Inputs'!$B$7,0)*'Loan Inputs'!$B$14+0,ISNUMBER(G361),G361&gt;0),356,"")</f>
        <v>356</v>
      </c>
      <c r="B362" s="4">
        <f>IF(A362="","",IF('Loan Inputs'!$B$14=12,DATE(YEAR('Loan Inputs'!$B$8),MONTH('Loan Inputs'!$B$8)+A362,DAY('Loan Inputs'!$B$8)),'Loan Inputs'!$B$8+A362*IF('Loan Inputs'!$B$14=26,14,7)))</f>
        <v>57162</v>
      </c>
      <c r="C362" s="2">
        <f t="shared" si="17"/>
        <v>19987.240196625142</v>
      </c>
      <c r="D362" s="2">
        <f>IF(A362="","",MIN('Loan Inputs'!$B$17,C362+E362)+H362)</f>
        <v>4061.5333678073534</v>
      </c>
      <c r="E362" s="2">
        <f>IF(A362="","",C362*'Loan Inputs'!$B$15)</f>
        <v>106.43205404702888</v>
      </c>
      <c r="F362" s="2">
        <f t="shared" si="15"/>
        <v>3955.1013137603245</v>
      </c>
      <c r="G362" s="2">
        <f t="shared" si="16"/>
        <v>16032.138882864818</v>
      </c>
      <c r="H362" s="2">
        <f>IF(A362="","",MIN(0,MAX(0,C362+E362-'Loan Inputs'!$B$17)))</f>
        <v>0</v>
      </c>
    </row>
    <row r="363" spans="1:8" ht="22" customHeight="1">
      <c r="A363" s="1">
        <f>IF(AND('Loan Inputs'!$B$12,357&lt;=IF('Loan Inputs'!$B$12,'Loan Inputs'!$B$7,0)*'Loan Inputs'!$B$14+0,ISNUMBER(G362),G362&gt;0),357,"")</f>
        <v>357</v>
      </c>
      <c r="B363" s="4">
        <f>IF(A363="","",IF('Loan Inputs'!$B$14=12,DATE(YEAR('Loan Inputs'!$B$8),MONTH('Loan Inputs'!$B$8)+A363,DAY('Loan Inputs'!$B$8)),'Loan Inputs'!$B$8+A363*IF('Loan Inputs'!$B$14=26,14,7)))</f>
        <v>57193</v>
      </c>
      <c r="C363" s="2">
        <f t="shared" si="17"/>
        <v>16032.138882864818</v>
      </c>
      <c r="D363" s="2">
        <f>IF(A363="","",MIN('Loan Inputs'!$B$17,C363+E363)+H363)</f>
        <v>4061.5333678073534</v>
      </c>
      <c r="E363" s="2">
        <f>IF(A363="","",C363*'Loan Inputs'!$B$15)</f>
        <v>85.371139551255155</v>
      </c>
      <c r="F363" s="2">
        <f t="shared" si="15"/>
        <v>3976.1622282560984</v>
      </c>
      <c r="G363" s="2">
        <f t="shared" si="16"/>
        <v>12055.976654608719</v>
      </c>
      <c r="H363" s="2">
        <f>IF(A363="","",MIN(0,MAX(0,C363+E363-'Loan Inputs'!$B$17)))</f>
        <v>0</v>
      </c>
    </row>
    <row r="364" spans="1:8" ht="22" customHeight="1">
      <c r="A364" s="1">
        <f>IF(AND('Loan Inputs'!$B$12,358&lt;=IF('Loan Inputs'!$B$12,'Loan Inputs'!$B$7,0)*'Loan Inputs'!$B$14+0,ISNUMBER(G363),G363&gt;0),358,"")</f>
        <v>358</v>
      </c>
      <c r="B364" s="4">
        <f>IF(A364="","",IF('Loan Inputs'!$B$14=12,DATE(YEAR('Loan Inputs'!$B$8),MONTH('Loan Inputs'!$B$8)+A364,DAY('Loan Inputs'!$B$8)),'Loan Inputs'!$B$8+A364*IF('Loan Inputs'!$B$14=26,14,7)))</f>
        <v>57224</v>
      </c>
      <c r="C364" s="2">
        <f t="shared" si="17"/>
        <v>12055.976654608719</v>
      </c>
      <c r="D364" s="2">
        <f>IF(A364="","",MIN('Loan Inputs'!$B$17,C364+E364)+H364)</f>
        <v>4061.5333678073534</v>
      </c>
      <c r="E364" s="2">
        <f>IF(A364="","",C364*'Loan Inputs'!$B$15)</f>
        <v>64.198075685791423</v>
      </c>
      <c r="F364" s="2">
        <f t="shared" si="15"/>
        <v>3997.3352921215619</v>
      </c>
      <c r="G364" s="2">
        <f t="shared" si="16"/>
        <v>8058.6413624871575</v>
      </c>
      <c r="H364" s="2">
        <f>IF(A364="","",MIN(0,MAX(0,C364+E364-'Loan Inputs'!$B$17)))</f>
        <v>0</v>
      </c>
    </row>
    <row r="365" spans="1:8" ht="22" customHeight="1">
      <c r="A365" s="1">
        <f>IF(AND('Loan Inputs'!$B$12,359&lt;=IF('Loan Inputs'!$B$12,'Loan Inputs'!$B$7,0)*'Loan Inputs'!$B$14+0,ISNUMBER(G364),G364&gt;0),359,"")</f>
        <v>359</v>
      </c>
      <c r="B365" s="4">
        <f>IF(A365="","",IF('Loan Inputs'!$B$14=12,DATE(YEAR('Loan Inputs'!$B$8),MONTH('Loan Inputs'!$B$8)+A365,DAY('Loan Inputs'!$B$8)),'Loan Inputs'!$B$8+A365*IF('Loan Inputs'!$B$14=26,14,7)))</f>
        <v>57254</v>
      </c>
      <c r="C365" s="2">
        <f t="shared" si="17"/>
        <v>8058.6413624871575</v>
      </c>
      <c r="D365" s="2">
        <f>IF(A365="","",MIN('Loan Inputs'!$B$17,C365+E365)+H365)</f>
        <v>4061.5333678073534</v>
      </c>
      <c r="E365" s="2">
        <f>IF(A365="","",C365*'Loan Inputs'!$B$15)</f>
        <v>42.912265255244115</v>
      </c>
      <c r="F365" s="2">
        <f t="shared" si="15"/>
        <v>4018.6211025521093</v>
      </c>
      <c r="G365" s="2">
        <f t="shared" si="16"/>
        <v>4040.0202599350482</v>
      </c>
      <c r="H365" s="2">
        <f>IF(A365="","",MIN(0,MAX(0,C365+E365-'Loan Inputs'!$B$17)))</f>
        <v>0</v>
      </c>
    </row>
    <row r="366" spans="1:8" ht="22" customHeight="1">
      <c r="A366" s="1">
        <f>IF(AND('Loan Inputs'!$B$12,360&lt;=IF('Loan Inputs'!$B$12,'Loan Inputs'!$B$7,0)*'Loan Inputs'!$B$14+0,ISNUMBER(G365),G365&gt;0),360,"")</f>
        <v>360</v>
      </c>
      <c r="B366" s="4">
        <f>IF(A366="","",IF('Loan Inputs'!$B$14=12,DATE(YEAR('Loan Inputs'!$B$8),MONTH('Loan Inputs'!$B$8)+A366,DAY('Loan Inputs'!$B$8)),'Loan Inputs'!$B$8+A366*IF('Loan Inputs'!$B$14=26,14,7)))</f>
        <v>57285</v>
      </c>
      <c r="C366" s="2">
        <f t="shared" si="17"/>
        <v>4040.0202599350482</v>
      </c>
      <c r="D366" s="2">
        <f>IF(A366="","",MIN('Loan Inputs'!$B$17,C366+E366)+H366)</f>
        <v>4061.5333678073534</v>
      </c>
      <c r="E366" s="2">
        <f>IF(A366="","",C366*'Loan Inputs'!$B$15)</f>
        <v>21.513107884154131</v>
      </c>
      <c r="F366" s="2">
        <f t="shared" si="15"/>
        <v>4040.0202599231993</v>
      </c>
      <c r="G366" s="2">
        <f t="shared" si="16"/>
        <v>0</v>
      </c>
      <c r="H366" s="2">
        <f>IF(A366="","",MIN(0,MAX(0,C366+E366-'Loan Inputs'!$B$17)))</f>
        <v>0</v>
      </c>
    </row>
    <row r="367" spans="1:8" ht="22" customHeight="1">
      <c r="A367" s="1" t="str">
        <f>IF(AND('Loan Inputs'!$B$12,361&lt;=IF('Loan Inputs'!$B$12,'Loan Inputs'!$B$7,0)*'Loan Inputs'!$B$14+0,ISNUMBER(G366),G366&gt;0),361,"")</f>
        <v/>
      </c>
      <c r="B367" s="4" t="str">
        <f>IF(A367="","",IF('Loan Inputs'!$B$14=12,DATE(YEAR('Loan Inputs'!$B$8),MONTH('Loan Inputs'!$B$8)+A367,DAY('Loan Inputs'!$B$8)),'Loan Inputs'!$B$8+A367*IF('Loan Inputs'!$B$14=26,14,7)))</f>
        <v/>
      </c>
      <c r="C367" s="2" t="str">
        <f t="shared" si="17"/>
        <v/>
      </c>
      <c r="D367" s="2" t="str">
        <f>IF(A367="","",MIN('Loan Inputs'!$B$17,C367+E367)+H367)</f>
        <v/>
      </c>
      <c r="E367" s="2" t="str">
        <f>IF(A367="","",C367*'Loan Inputs'!$B$15)</f>
        <v/>
      </c>
      <c r="F367" s="2" t="str">
        <f t="shared" si="15"/>
        <v/>
      </c>
      <c r="G367" s="2" t="str">
        <f t="shared" si="16"/>
        <v/>
      </c>
      <c r="H367" s="2" t="str">
        <f>IF(A367="","",MIN(0,MAX(0,C367+E367-'Loan Inputs'!$B$17)))</f>
        <v/>
      </c>
    </row>
    <row r="368" spans="1:8" ht="22" customHeight="1">
      <c r="A368" s="1" t="str">
        <f>IF(AND('Loan Inputs'!$B$12,362&lt;=IF('Loan Inputs'!$B$12,'Loan Inputs'!$B$7,0)*'Loan Inputs'!$B$14+0,ISNUMBER(G367),G367&gt;0),362,"")</f>
        <v/>
      </c>
      <c r="B368" s="4" t="str">
        <f>IF(A368="","",IF('Loan Inputs'!$B$14=12,DATE(YEAR('Loan Inputs'!$B$8),MONTH('Loan Inputs'!$B$8)+A368,DAY('Loan Inputs'!$B$8)),'Loan Inputs'!$B$8+A368*IF('Loan Inputs'!$B$14=26,14,7)))</f>
        <v/>
      </c>
      <c r="C368" s="2" t="str">
        <f t="shared" si="17"/>
        <v/>
      </c>
      <c r="D368" s="2" t="str">
        <f>IF(A368="","",MIN('Loan Inputs'!$B$17,C368+E368)+H368)</f>
        <v/>
      </c>
      <c r="E368" s="2" t="str">
        <f>IF(A368="","",C368*'Loan Inputs'!$B$15)</f>
        <v/>
      </c>
      <c r="F368" s="2" t="str">
        <f t="shared" si="15"/>
        <v/>
      </c>
      <c r="G368" s="2" t="str">
        <f t="shared" si="16"/>
        <v/>
      </c>
      <c r="H368" s="2" t="str">
        <f>IF(A368="","",MIN(0,MAX(0,C368+E368-'Loan Inputs'!$B$17)))</f>
        <v/>
      </c>
    </row>
    <row r="369" spans="1:8" ht="22" customHeight="1">
      <c r="A369" s="1" t="str">
        <f>IF(AND('Loan Inputs'!$B$12,363&lt;=IF('Loan Inputs'!$B$12,'Loan Inputs'!$B$7,0)*'Loan Inputs'!$B$14+0,ISNUMBER(G368),G368&gt;0),363,"")</f>
        <v/>
      </c>
      <c r="B369" s="4" t="str">
        <f>IF(A369="","",IF('Loan Inputs'!$B$14=12,DATE(YEAR('Loan Inputs'!$B$8),MONTH('Loan Inputs'!$B$8)+A369,DAY('Loan Inputs'!$B$8)),'Loan Inputs'!$B$8+A369*IF('Loan Inputs'!$B$14=26,14,7)))</f>
        <v/>
      </c>
      <c r="C369" s="2" t="str">
        <f t="shared" si="17"/>
        <v/>
      </c>
      <c r="D369" s="2" t="str">
        <f>IF(A369="","",MIN('Loan Inputs'!$B$17,C369+E369)+H369)</f>
        <v/>
      </c>
      <c r="E369" s="2" t="str">
        <f>IF(A369="","",C369*'Loan Inputs'!$B$15)</f>
        <v/>
      </c>
      <c r="F369" s="2" t="str">
        <f t="shared" si="15"/>
        <v/>
      </c>
      <c r="G369" s="2" t="str">
        <f t="shared" si="16"/>
        <v/>
      </c>
      <c r="H369" s="2" t="str">
        <f>IF(A369="","",MIN(0,MAX(0,C369+E369-'Loan Inputs'!$B$17)))</f>
        <v/>
      </c>
    </row>
    <row r="370" spans="1:8" ht="22" customHeight="1">
      <c r="A370" s="1" t="str">
        <f>IF(AND('Loan Inputs'!$B$12,364&lt;=IF('Loan Inputs'!$B$12,'Loan Inputs'!$B$7,0)*'Loan Inputs'!$B$14+0,ISNUMBER(G369),G369&gt;0),364,"")</f>
        <v/>
      </c>
      <c r="B370" s="4" t="str">
        <f>IF(A370="","",IF('Loan Inputs'!$B$14=12,DATE(YEAR('Loan Inputs'!$B$8),MONTH('Loan Inputs'!$B$8)+A370,DAY('Loan Inputs'!$B$8)),'Loan Inputs'!$B$8+A370*IF('Loan Inputs'!$B$14=26,14,7)))</f>
        <v/>
      </c>
      <c r="C370" s="2" t="str">
        <f t="shared" si="17"/>
        <v/>
      </c>
      <c r="D370" s="2" t="str">
        <f>IF(A370="","",MIN('Loan Inputs'!$B$17,C370+E370)+H370)</f>
        <v/>
      </c>
      <c r="E370" s="2" t="str">
        <f>IF(A370="","",C370*'Loan Inputs'!$B$15)</f>
        <v/>
      </c>
      <c r="F370" s="2" t="str">
        <f t="shared" si="15"/>
        <v/>
      </c>
      <c r="G370" s="2" t="str">
        <f t="shared" si="16"/>
        <v/>
      </c>
      <c r="H370" s="2" t="str">
        <f>IF(A370="","",MIN(0,MAX(0,C370+E370-'Loan Inputs'!$B$17)))</f>
        <v/>
      </c>
    </row>
    <row r="371" spans="1:8" ht="22" customHeight="1">
      <c r="A371" s="1" t="str">
        <f>IF(AND('Loan Inputs'!$B$12,365&lt;=IF('Loan Inputs'!$B$12,'Loan Inputs'!$B$7,0)*'Loan Inputs'!$B$14+0,ISNUMBER(G370),G370&gt;0),365,"")</f>
        <v/>
      </c>
      <c r="B371" s="4" t="str">
        <f>IF(A371="","",IF('Loan Inputs'!$B$14=12,DATE(YEAR('Loan Inputs'!$B$8),MONTH('Loan Inputs'!$B$8)+A371,DAY('Loan Inputs'!$B$8)),'Loan Inputs'!$B$8+A371*IF('Loan Inputs'!$B$14=26,14,7)))</f>
        <v/>
      </c>
      <c r="C371" s="2" t="str">
        <f t="shared" si="17"/>
        <v/>
      </c>
      <c r="D371" s="2" t="str">
        <f>IF(A371="","",MIN('Loan Inputs'!$B$17,C371+E371)+H371)</f>
        <v/>
      </c>
      <c r="E371" s="2" t="str">
        <f>IF(A371="","",C371*'Loan Inputs'!$B$15)</f>
        <v/>
      </c>
      <c r="F371" s="2" t="str">
        <f t="shared" si="15"/>
        <v/>
      </c>
      <c r="G371" s="2" t="str">
        <f t="shared" si="16"/>
        <v/>
      </c>
      <c r="H371" s="2" t="str">
        <f>IF(A371="","",MIN(0,MAX(0,C371+E371-'Loan Inputs'!$B$17)))</f>
        <v/>
      </c>
    </row>
    <row r="372" spans="1:8" ht="22" customHeight="1">
      <c r="A372" s="1" t="str">
        <f>IF(AND('Loan Inputs'!$B$12,366&lt;=IF('Loan Inputs'!$B$12,'Loan Inputs'!$B$7,0)*'Loan Inputs'!$B$14+0,ISNUMBER(G371),G371&gt;0),366,"")</f>
        <v/>
      </c>
      <c r="B372" s="4" t="str">
        <f>IF(A372="","",IF('Loan Inputs'!$B$14=12,DATE(YEAR('Loan Inputs'!$B$8),MONTH('Loan Inputs'!$B$8)+A372,DAY('Loan Inputs'!$B$8)),'Loan Inputs'!$B$8+A372*IF('Loan Inputs'!$B$14=26,14,7)))</f>
        <v/>
      </c>
      <c r="C372" s="2" t="str">
        <f t="shared" si="17"/>
        <v/>
      </c>
      <c r="D372" s="2" t="str">
        <f>IF(A372="","",MIN('Loan Inputs'!$B$17,C372+E372)+H372)</f>
        <v/>
      </c>
      <c r="E372" s="2" t="str">
        <f>IF(A372="","",C372*'Loan Inputs'!$B$15)</f>
        <v/>
      </c>
      <c r="F372" s="2" t="str">
        <f t="shared" si="15"/>
        <v/>
      </c>
      <c r="G372" s="2" t="str">
        <f t="shared" si="16"/>
        <v/>
      </c>
      <c r="H372" s="2" t="str">
        <f>IF(A372="","",MIN(0,MAX(0,C372+E372-'Loan Inputs'!$B$17)))</f>
        <v/>
      </c>
    </row>
    <row r="373" spans="1:8" ht="22" customHeight="1">
      <c r="A373" s="1" t="str">
        <f>IF(AND('Loan Inputs'!$B$12,367&lt;=IF('Loan Inputs'!$B$12,'Loan Inputs'!$B$7,0)*'Loan Inputs'!$B$14+0,ISNUMBER(G372),G372&gt;0),367,"")</f>
        <v/>
      </c>
      <c r="B373" s="4" t="str">
        <f>IF(A373="","",IF('Loan Inputs'!$B$14=12,DATE(YEAR('Loan Inputs'!$B$8),MONTH('Loan Inputs'!$B$8)+A373,DAY('Loan Inputs'!$B$8)),'Loan Inputs'!$B$8+A373*IF('Loan Inputs'!$B$14=26,14,7)))</f>
        <v/>
      </c>
      <c r="C373" s="2" t="str">
        <f t="shared" si="17"/>
        <v/>
      </c>
      <c r="D373" s="2" t="str">
        <f>IF(A373="","",MIN('Loan Inputs'!$B$17,C373+E373)+H373)</f>
        <v/>
      </c>
      <c r="E373" s="2" t="str">
        <f>IF(A373="","",C373*'Loan Inputs'!$B$15)</f>
        <v/>
      </c>
      <c r="F373" s="2" t="str">
        <f t="shared" si="15"/>
        <v/>
      </c>
      <c r="G373" s="2" t="str">
        <f t="shared" si="16"/>
        <v/>
      </c>
      <c r="H373" s="2" t="str">
        <f>IF(A373="","",MIN(0,MAX(0,C373+E373-'Loan Inputs'!$B$17)))</f>
        <v/>
      </c>
    </row>
    <row r="374" spans="1:8" ht="22" customHeight="1">
      <c r="A374" s="1" t="str">
        <f>IF(AND('Loan Inputs'!$B$12,368&lt;=IF('Loan Inputs'!$B$12,'Loan Inputs'!$B$7,0)*'Loan Inputs'!$B$14+0,ISNUMBER(G373),G373&gt;0),368,"")</f>
        <v/>
      </c>
      <c r="B374" s="4" t="str">
        <f>IF(A374="","",IF('Loan Inputs'!$B$14=12,DATE(YEAR('Loan Inputs'!$B$8),MONTH('Loan Inputs'!$B$8)+A374,DAY('Loan Inputs'!$B$8)),'Loan Inputs'!$B$8+A374*IF('Loan Inputs'!$B$14=26,14,7)))</f>
        <v/>
      </c>
      <c r="C374" s="2" t="str">
        <f t="shared" si="17"/>
        <v/>
      </c>
      <c r="D374" s="2" t="str">
        <f>IF(A374="","",MIN('Loan Inputs'!$B$17,C374+E374)+H374)</f>
        <v/>
      </c>
      <c r="E374" s="2" t="str">
        <f>IF(A374="","",C374*'Loan Inputs'!$B$15)</f>
        <v/>
      </c>
      <c r="F374" s="2" t="str">
        <f t="shared" si="15"/>
        <v/>
      </c>
      <c r="G374" s="2" t="str">
        <f t="shared" si="16"/>
        <v/>
      </c>
      <c r="H374" s="2" t="str">
        <f>IF(A374="","",MIN(0,MAX(0,C374+E374-'Loan Inputs'!$B$17)))</f>
        <v/>
      </c>
    </row>
    <row r="375" spans="1:8" ht="22" customHeight="1">
      <c r="A375" s="1" t="str">
        <f>IF(AND('Loan Inputs'!$B$12,369&lt;=IF('Loan Inputs'!$B$12,'Loan Inputs'!$B$7,0)*'Loan Inputs'!$B$14+0,ISNUMBER(G374),G374&gt;0),369,"")</f>
        <v/>
      </c>
      <c r="B375" s="4" t="str">
        <f>IF(A375="","",IF('Loan Inputs'!$B$14=12,DATE(YEAR('Loan Inputs'!$B$8),MONTH('Loan Inputs'!$B$8)+A375,DAY('Loan Inputs'!$B$8)),'Loan Inputs'!$B$8+A375*IF('Loan Inputs'!$B$14=26,14,7)))</f>
        <v/>
      </c>
      <c r="C375" s="2" t="str">
        <f t="shared" si="17"/>
        <v/>
      </c>
      <c r="D375" s="2" t="str">
        <f>IF(A375="","",MIN('Loan Inputs'!$B$17,C375+E375)+H375)</f>
        <v/>
      </c>
      <c r="E375" s="2" t="str">
        <f>IF(A375="","",C375*'Loan Inputs'!$B$15)</f>
        <v/>
      </c>
      <c r="F375" s="2" t="str">
        <f t="shared" si="15"/>
        <v/>
      </c>
      <c r="G375" s="2" t="str">
        <f t="shared" si="16"/>
        <v/>
      </c>
      <c r="H375" s="2" t="str">
        <f>IF(A375="","",MIN(0,MAX(0,C375+E375-'Loan Inputs'!$B$17)))</f>
        <v/>
      </c>
    </row>
    <row r="376" spans="1:8" ht="22" customHeight="1">
      <c r="A376" s="1" t="str">
        <f>IF(AND('Loan Inputs'!$B$12,370&lt;=IF('Loan Inputs'!$B$12,'Loan Inputs'!$B$7,0)*'Loan Inputs'!$B$14+0,ISNUMBER(G375),G375&gt;0),370,"")</f>
        <v/>
      </c>
      <c r="B376" s="4" t="str">
        <f>IF(A376="","",IF('Loan Inputs'!$B$14=12,DATE(YEAR('Loan Inputs'!$B$8),MONTH('Loan Inputs'!$B$8)+A376,DAY('Loan Inputs'!$B$8)),'Loan Inputs'!$B$8+A376*IF('Loan Inputs'!$B$14=26,14,7)))</f>
        <v/>
      </c>
      <c r="C376" s="2" t="str">
        <f t="shared" si="17"/>
        <v/>
      </c>
      <c r="D376" s="2" t="str">
        <f>IF(A376="","",MIN('Loan Inputs'!$B$17,C376+E376)+H376)</f>
        <v/>
      </c>
      <c r="E376" s="2" t="str">
        <f>IF(A376="","",C376*'Loan Inputs'!$B$15)</f>
        <v/>
      </c>
      <c r="F376" s="2" t="str">
        <f t="shared" si="15"/>
        <v/>
      </c>
      <c r="G376" s="2" t="str">
        <f t="shared" si="16"/>
        <v/>
      </c>
      <c r="H376" s="2" t="str">
        <f>IF(A376="","",MIN(0,MAX(0,C376+E376-'Loan Inputs'!$B$17)))</f>
        <v/>
      </c>
    </row>
    <row r="377" spans="1:8" ht="22" customHeight="1">
      <c r="A377" s="1" t="str">
        <f>IF(AND('Loan Inputs'!$B$12,371&lt;=IF('Loan Inputs'!$B$12,'Loan Inputs'!$B$7,0)*'Loan Inputs'!$B$14+0,ISNUMBER(G376),G376&gt;0),371,"")</f>
        <v/>
      </c>
      <c r="B377" s="4" t="str">
        <f>IF(A377="","",IF('Loan Inputs'!$B$14=12,DATE(YEAR('Loan Inputs'!$B$8),MONTH('Loan Inputs'!$B$8)+A377,DAY('Loan Inputs'!$B$8)),'Loan Inputs'!$B$8+A377*IF('Loan Inputs'!$B$14=26,14,7)))</f>
        <v/>
      </c>
      <c r="C377" s="2" t="str">
        <f t="shared" si="17"/>
        <v/>
      </c>
      <c r="D377" s="2" t="str">
        <f>IF(A377="","",MIN('Loan Inputs'!$B$17,C377+E377)+H377)</f>
        <v/>
      </c>
      <c r="E377" s="2" t="str">
        <f>IF(A377="","",C377*'Loan Inputs'!$B$15)</f>
        <v/>
      </c>
      <c r="F377" s="2" t="str">
        <f t="shared" si="15"/>
        <v/>
      </c>
      <c r="G377" s="2" t="str">
        <f t="shared" si="16"/>
        <v/>
      </c>
      <c r="H377" s="2" t="str">
        <f>IF(A377="","",MIN(0,MAX(0,C377+E377-'Loan Inputs'!$B$17)))</f>
        <v/>
      </c>
    </row>
    <row r="378" spans="1:8" ht="22" customHeight="1">
      <c r="A378" s="1" t="str">
        <f>IF(AND('Loan Inputs'!$B$12,372&lt;=IF('Loan Inputs'!$B$12,'Loan Inputs'!$B$7,0)*'Loan Inputs'!$B$14+0,ISNUMBER(G377),G377&gt;0),372,"")</f>
        <v/>
      </c>
      <c r="B378" s="4" t="str">
        <f>IF(A378="","",IF('Loan Inputs'!$B$14=12,DATE(YEAR('Loan Inputs'!$B$8),MONTH('Loan Inputs'!$B$8)+A378,DAY('Loan Inputs'!$B$8)),'Loan Inputs'!$B$8+A378*IF('Loan Inputs'!$B$14=26,14,7)))</f>
        <v/>
      </c>
      <c r="C378" s="2" t="str">
        <f t="shared" si="17"/>
        <v/>
      </c>
      <c r="D378" s="2" t="str">
        <f>IF(A378="","",MIN('Loan Inputs'!$B$17,C378+E378)+H378)</f>
        <v/>
      </c>
      <c r="E378" s="2" t="str">
        <f>IF(A378="","",C378*'Loan Inputs'!$B$15)</f>
        <v/>
      </c>
      <c r="F378" s="2" t="str">
        <f t="shared" si="15"/>
        <v/>
      </c>
      <c r="G378" s="2" t="str">
        <f t="shared" si="16"/>
        <v/>
      </c>
      <c r="H378" s="2" t="str">
        <f>IF(A378="","",MIN(0,MAX(0,C378+E378-'Loan Inputs'!$B$17)))</f>
        <v/>
      </c>
    </row>
    <row r="379" spans="1:8" ht="22" customHeight="1">
      <c r="A379" s="1" t="str">
        <f>IF(AND('Loan Inputs'!$B$12,373&lt;=IF('Loan Inputs'!$B$12,'Loan Inputs'!$B$7,0)*'Loan Inputs'!$B$14+0,ISNUMBER(G378),G378&gt;0),373,"")</f>
        <v/>
      </c>
      <c r="B379" s="4" t="str">
        <f>IF(A379="","",IF('Loan Inputs'!$B$14=12,DATE(YEAR('Loan Inputs'!$B$8),MONTH('Loan Inputs'!$B$8)+A379,DAY('Loan Inputs'!$B$8)),'Loan Inputs'!$B$8+A379*IF('Loan Inputs'!$B$14=26,14,7)))</f>
        <v/>
      </c>
      <c r="C379" s="2" t="str">
        <f t="shared" si="17"/>
        <v/>
      </c>
      <c r="D379" s="2" t="str">
        <f>IF(A379="","",MIN('Loan Inputs'!$B$17,C379+E379)+H379)</f>
        <v/>
      </c>
      <c r="E379" s="2" t="str">
        <f>IF(A379="","",C379*'Loan Inputs'!$B$15)</f>
        <v/>
      </c>
      <c r="F379" s="2" t="str">
        <f t="shared" si="15"/>
        <v/>
      </c>
      <c r="G379" s="2" t="str">
        <f t="shared" si="16"/>
        <v/>
      </c>
      <c r="H379" s="2" t="str">
        <f>IF(A379="","",MIN(0,MAX(0,C379+E379-'Loan Inputs'!$B$17)))</f>
        <v/>
      </c>
    </row>
    <row r="380" spans="1:8" ht="22" customHeight="1">
      <c r="A380" s="1" t="str">
        <f>IF(AND('Loan Inputs'!$B$12,374&lt;=IF('Loan Inputs'!$B$12,'Loan Inputs'!$B$7,0)*'Loan Inputs'!$B$14+0,ISNUMBER(G379),G379&gt;0),374,"")</f>
        <v/>
      </c>
      <c r="B380" s="4" t="str">
        <f>IF(A380="","",IF('Loan Inputs'!$B$14=12,DATE(YEAR('Loan Inputs'!$B$8),MONTH('Loan Inputs'!$B$8)+A380,DAY('Loan Inputs'!$B$8)),'Loan Inputs'!$B$8+A380*IF('Loan Inputs'!$B$14=26,14,7)))</f>
        <v/>
      </c>
      <c r="C380" s="2" t="str">
        <f t="shared" si="17"/>
        <v/>
      </c>
      <c r="D380" s="2" t="str">
        <f>IF(A380="","",MIN('Loan Inputs'!$B$17,C380+E380)+H380)</f>
        <v/>
      </c>
      <c r="E380" s="2" t="str">
        <f>IF(A380="","",C380*'Loan Inputs'!$B$15)</f>
        <v/>
      </c>
      <c r="F380" s="2" t="str">
        <f t="shared" si="15"/>
        <v/>
      </c>
      <c r="G380" s="2" t="str">
        <f t="shared" si="16"/>
        <v/>
      </c>
      <c r="H380" s="2" t="str">
        <f>IF(A380="","",MIN(0,MAX(0,C380+E380-'Loan Inputs'!$B$17)))</f>
        <v/>
      </c>
    </row>
    <row r="381" spans="1:8" ht="22" customHeight="1">
      <c r="A381" s="1" t="str">
        <f>IF(AND('Loan Inputs'!$B$12,375&lt;=IF('Loan Inputs'!$B$12,'Loan Inputs'!$B$7,0)*'Loan Inputs'!$B$14+0,ISNUMBER(G380),G380&gt;0),375,"")</f>
        <v/>
      </c>
      <c r="B381" s="4" t="str">
        <f>IF(A381="","",IF('Loan Inputs'!$B$14=12,DATE(YEAR('Loan Inputs'!$B$8),MONTH('Loan Inputs'!$B$8)+A381,DAY('Loan Inputs'!$B$8)),'Loan Inputs'!$B$8+A381*IF('Loan Inputs'!$B$14=26,14,7)))</f>
        <v/>
      </c>
      <c r="C381" s="2" t="str">
        <f t="shared" si="17"/>
        <v/>
      </c>
      <c r="D381" s="2" t="str">
        <f>IF(A381="","",MIN('Loan Inputs'!$B$17,C381+E381)+H381)</f>
        <v/>
      </c>
      <c r="E381" s="2" t="str">
        <f>IF(A381="","",C381*'Loan Inputs'!$B$15)</f>
        <v/>
      </c>
      <c r="F381" s="2" t="str">
        <f t="shared" si="15"/>
        <v/>
      </c>
      <c r="G381" s="2" t="str">
        <f t="shared" si="16"/>
        <v/>
      </c>
      <c r="H381" s="2" t="str">
        <f>IF(A381="","",MIN(0,MAX(0,C381+E381-'Loan Inputs'!$B$17)))</f>
        <v/>
      </c>
    </row>
    <row r="382" spans="1:8" ht="22" customHeight="1">
      <c r="A382" s="1" t="str">
        <f>IF(AND('Loan Inputs'!$B$12,376&lt;=IF('Loan Inputs'!$B$12,'Loan Inputs'!$B$7,0)*'Loan Inputs'!$B$14+0,ISNUMBER(G381),G381&gt;0),376,"")</f>
        <v/>
      </c>
      <c r="B382" s="4" t="str">
        <f>IF(A382="","",IF('Loan Inputs'!$B$14=12,DATE(YEAR('Loan Inputs'!$B$8),MONTH('Loan Inputs'!$B$8)+A382,DAY('Loan Inputs'!$B$8)),'Loan Inputs'!$B$8+A382*IF('Loan Inputs'!$B$14=26,14,7)))</f>
        <v/>
      </c>
      <c r="C382" s="2" t="str">
        <f t="shared" si="17"/>
        <v/>
      </c>
      <c r="D382" s="2" t="str">
        <f>IF(A382="","",MIN('Loan Inputs'!$B$17,C382+E382)+H382)</f>
        <v/>
      </c>
      <c r="E382" s="2" t="str">
        <f>IF(A382="","",C382*'Loan Inputs'!$B$15)</f>
        <v/>
      </c>
      <c r="F382" s="2" t="str">
        <f t="shared" si="15"/>
        <v/>
      </c>
      <c r="G382" s="2" t="str">
        <f t="shared" si="16"/>
        <v/>
      </c>
      <c r="H382" s="2" t="str">
        <f>IF(A382="","",MIN(0,MAX(0,C382+E382-'Loan Inputs'!$B$17)))</f>
        <v/>
      </c>
    </row>
    <row r="383" spans="1:8" ht="22" customHeight="1">
      <c r="A383" s="1" t="str">
        <f>IF(AND('Loan Inputs'!$B$12,377&lt;=IF('Loan Inputs'!$B$12,'Loan Inputs'!$B$7,0)*'Loan Inputs'!$B$14+0,ISNUMBER(G382),G382&gt;0),377,"")</f>
        <v/>
      </c>
      <c r="B383" s="4" t="str">
        <f>IF(A383="","",IF('Loan Inputs'!$B$14=12,DATE(YEAR('Loan Inputs'!$B$8),MONTH('Loan Inputs'!$B$8)+A383,DAY('Loan Inputs'!$B$8)),'Loan Inputs'!$B$8+A383*IF('Loan Inputs'!$B$14=26,14,7)))</f>
        <v/>
      </c>
      <c r="C383" s="2" t="str">
        <f t="shared" si="17"/>
        <v/>
      </c>
      <c r="D383" s="2" t="str">
        <f>IF(A383="","",MIN('Loan Inputs'!$B$17,C383+E383)+H383)</f>
        <v/>
      </c>
      <c r="E383" s="2" t="str">
        <f>IF(A383="","",C383*'Loan Inputs'!$B$15)</f>
        <v/>
      </c>
      <c r="F383" s="2" t="str">
        <f t="shared" si="15"/>
        <v/>
      </c>
      <c r="G383" s="2" t="str">
        <f t="shared" si="16"/>
        <v/>
      </c>
      <c r="H383" s="2" t="str">
        <f>IF(A383="","",MIN(0,MAX(0,C383+E383-'Loan Inputs'!$B$17)))</f>
        <v/>
      </c>
    </row>
    <row r="384" spans="1:8" ht="22" customHeight="1">
      <c r="A384" s="1" t="str">
        <f>IF(AND('Loan Inputs'!$B$12,378&lt;=IF('Loan Inputs'!$B$12,'Loan Inputs'!$B$7,0)*'Loan Inputs'!$B$14+0,ISNUMBER(G383),G383&gt;0),378,"")</f>
        <v/>
      </c>
      <c r="B384" s="4" t="str">
        <f>IF(A384="","",IF('Loan Inputs'!$B$14=12,DATE(YEAR('Loan Inputs'!$B$8),MONTH('Loan Inputs'!$B$8)+A384,DAY('Loan Inputs'!$B$8)),'Loan Inputs'!$B$8+A384*IF('Loan Inputs'!$B$14=26,14,7)))</f>
        <v/>
      </c>
      <c r="C384" s="2" t="str">
        <f t="shared" si="17"/>
        <v/>
      </c>
      <c r="D384" s="2" t="str">
        <f>IF(A384="","",MIN('Loan Inputs'!$B$17,C384+E384)+H384)</f>
        <v/>
      </c>
      <c r="E384" s="2" t="str">
        <f>IF(A384="","",C384*'Loan Inputs'!$B$15)</f>
        <v/>
      </c>
      <c r="F384" s="2" t="str">
        <f t="shared" si="15"/>
        <v/>
      </c>
      <c r="G384" s="2" t="str">
        <f t="shared" si="16"/>
        <v/>
      </c>
      <c r="H384" s="2" t="str">
        <f>IF(A384="","",MIN(0,MAX(0,C384+E384-'Loan Inputs'!$B$17)))</f>
        <v/>
      </c>
    </row>
    <row r="385" spans="1:8" ht="22" customHeight="1">
      <c r="A385" s="1" t="str">
        <f>IF(AND('Loan Inputs'!$B$12,379&lt;=IF('Loan Inputs'!$B$12,'Loan Inputs'!$B$7,0)*'Loan Inputs'!$B$14+0,ISNUMBER(G384),G384&gt;0),379,"")</f>
        <v/>
      </c>
      <c r="B385" s="4" t="str">
        <f>IF(A385="","",IF('Loan Inputs'!$B$14=12,DATE(YEAR('Loan Inputs'!$B$8),MONTH('Loan Inputs'!$B$8)+A385,DAY('Loan Inputs'!$B$8)),'Loan Inputs'!$B$8+A385*IF('Loan Inputs'!$B$14=26,14,7)))</f>
        <v/>
      </c>
      <c r="C385" s="2" t="str">
        <f t="shared" si="17"/>
        <v/>
      </c>
      <c r="D385" s="2" t="str">
        <f>IF(A385="","",MIN('Loan Inputs'!$B$17,C385+E385)+H385)</f>
        <v/>
      </c>
      <c r="E385" s="2" t="str">
        <f>IF(A385="","",C385*'Loan Inputs'!$B$15)</f>
        <v/>
      </c>
      <c r="F385" s="2" t="str">
        <f t="shared" si="15"/>
        <v/>
      </c>
      <c r="G385" s="2" t="str">
        <f t="shared" si="16"/>
        <v/>
      </c>
      <c r="H385" s="2" t="str">
        <f>IF(A385="","",MIN(0,MAX(0,C385+E385-'Loan Inputs'!$B$17)))</f>
        <v/>
      </c>
    </row>
    <row r="386" spans="1:8" ht="22" customHeight="1">
      <c r="A386" s="1" t="str">
        <f>IF(AND('Loan Inputs'!$B$12,380&lt;=IF('Loan Inputs'!$B$12,'Loan Inputs'!$B$7,0)*'Loan Inputs'!$B$14+0,ISNUMBER(G385),G385&gt;0),380,"")</f>
        <v/>
      </c>
      <c r="B386" s="4" t="str">
        <f>IF(A386="","",IF('Loan Inputs'!$B$14=12,DATE(YEAR('Loan Inputs'!$B$8),MONTH('Loan Inputs'!$B$8)+A386,DAY('Loan Inputs'!$B$8)),'Loan Inputs'!$B$8+A386*IF('Loan Inputs'!$B$14=26,14,7)))</f>
        <v/>
      </c>
      <c r="C386" s="2" t="str">
        <f t="shared" si="17"/>
        <v/>
      </c>
      <c r="D386" s="2" t="str">
        <f>IF(A386="","",MIN('Loan Inputs'!$B$17,C386+E386)+H386)</f>
        <v/>
      </c>
      <c r="E386" s="2" t="str">
        <f>IF(A386="","",C386*'Loan Inputs'!$B$15)</f>
        <v/>
      </c>
      <c r="F386" s="2" t="str">
        <f t="shared" si="15"/>
        <v/>
      </c>
      <c r="G386" s="2" t="str">
        <f t="shared" si="16"/>
        <v/>
      </c>
      <c r="H386" s="2" t="str">
        <f>IF(A386="","",MIN(0,MAX(0,C386+E386-'Loan Inputs'!$B$17)))</f>
        <v/>
      </c>
    </row>
    <row r="387" spans="1:8" ht="22" customHeight="1">
      <c r="A387" s="1" t="str">
        <f>IF(AND('Loan Inputs'!$B$12,381&lt;=IF('Loan Inputs'!$B$12,'Loan Inputs'!$B$7,0)*'Loan Inputs'!$B$14+0,ISNUMBER(G386),G386&gt;0),381,"")</f>
        <v/>
      </c>
      <c r="B387" s="4" t="str">
        <f>IF(A387="","",IF('Loan Inputs'!$B$14=12,DATE(YEAR('Loan Inputs'!$B$8),MONTH('Loan Inputs'!$B$8)+A387,DAY('Loan Inputs'!$B$8)),'Loan Inputs'!$B$8+A387*IF('Loan Inputs'!$B$14=26,14,7)))</f>
        <v/>
      </c>
      <c r="C387" s="2" t="str">
        <f t="shared" si="17"/>
        <v/>
      </c>
      <c r="D387" s="2" t="str">
        <f>IF(A387="","",MIN('Loan Inputs'!$B$17,C387+E387)+H387)</f>
        <v/>
      </c>
      <c r="E387" s="2" t="str">
        <f>IF(A387="","",C387*'Loan Inputs'!$B$15)</f>
        <v/>
      </c>
      <c r="F387" s="2" t="str">
        <f t="shared" si="15"/>
        <v/>
      </c>
      <c r="G387" s="2" t="str">
        <f t="shared" si="16"/>
        <v/>
      </c>
      <c r="H387" s="2" t="str">
        <f>IF(A387="","",MIN(0,MAX(0,C387+E387-'Loan Inputs'!$B$17)))</f>
        <v/>
      </c>
    </row>
    <row r="388" spans="1:8" ht="22" customHeight="1">
      <c r="A388" s="1" t="str">
        <f>IF(AND('Loan Inputs'!$B$12,382&lt;=IF('Loan Inputs'!$B$12,'Loan Inputs'!$B$7,0)*'Loan Inputs'!$B$14+0,ISNUMBER(G387),G387&gt;0),382,"")</f>
        <v/>
      </c>
      <c r="B388" s="4" t="str">
        <f>IF(A388="","",IF('Loan Inputs'!$B$14=12,DATE(YEAR('Loan Inputs'!$B$8),MONTH('Loan Inputs'!$B$8)+A388,DAY('Loan Inputs'!$B$8)),'Loan Inputs'!$B$8+A388*IF('Loan Inputs'!$B$14=26,14,7)))</f>
        <v/>
      </c>
      <c r="C388" s="2" t="str">
        <f t="shared" si="17"/>
        <v/>
      </c>
      <c r="D388" s="2" t="str">
        <f>IF(A388="","",MIN('Loan Inputs'!$B$17,C388+E388)+H388)</f>
        <v/>
      </c>
      <c r="E388" s="2" t="str">
        <f>IF(A388="","",C388*'Loan Inputs'!$B$15)</f>
        <v/>
      </c>
      <c r="F388" s="2" t="str">
        <f t="shared" si="15"/>
        <v/>
      </c>
      <c r="G388" s="2" t="str">
        <f t="shared" si="16"/>
        <v/>
      </c>
      <c r="H388" s="2" t="str">
        <f>IF(A388="","",MIN(0,MAX(0,C388+E388-'Loan Inputs'!$B$17)))</f>
        <v/>
      </c>
    </row>
    <row r="389" spans="1:8" ht="22" customHeight="1">
      <c r="A389" s="1" t="str">
        <f>IF(AND('Loan Inputs'!$B$12,383&lt;=IF('Loan Inputs'!$B$12,'Loan Inputs'!$B$7,0)*'Loan Inputs'!$B$14+0,ISNUMBER(G388),G388&gt;0),383,"")</f>
        <v/>
      </c>
      <c r="B389" s="4" t="str">
        <f>IF(A389="","",IF('Loan Inputs'!$B$14=12,DATE(YEAR('Loan Inputs'!$B$8),MONTH('Loan Inputs'!$B$8)+A389,DAY('Loan Inputs'!$B$8)),'Loan Inputs'!$B$8+A389*IF('Loan Inputs'!$B$14=26,14,7)))</f>
        <v/>
      </c>
      <c r="C389" s="2" t="str">
        <f t="shared" si="17"/>
        <v/>
      </c>
      <c r="D389" s="2" t="str">
        <f>IF(A389="","",MIN('Loan Inputs'!$B$17,C389+E389)+H389)</f>
        <v/>
      </c>
      <c r="E389" s="2" t="str">
        <f>IF(A389="","",C389*'Loan Inputs'!$B$15)</f>
        <v/>
      </c>
      <c r="F389" s="2" t="str">
        <f t="shared" si="15"/>
        <v/>
      </c>
      <c r="G389" s="2" t="str">
        <f t="shared" si="16"/>
        <v/>
      </c>
      <c r="H389" s="2" t="str">
        <f>IF(A389="","",MIN(0,MAX(0,C389+E389-'Loan Inputs'!$B$17)))</f>
        <v/>
      </c>
    </row>
    <row r="390" spans="1:8" ht="22" customHeight="1">
      <c r="A390" s="1" t="str">
        <f>IF(AND('Loan Inputs'!$B$12,384&lt;=IF('Loan Inputs'!$B$12,'Loan Inputs'!$B$7,0)*'Loan Inputs'!$B$14+0,ISNUMBER(G389),G389&gt;0),384,"")</f>
        <v/>
      </c>
      <c r="B390" s="4" t="str">
        <f>IF(A390="","",IF('Loan Inputs'!$B$14=12,DATE(YEAR('Loan Inputs'!$B$8),MONTH('Loan Inputs'!$B$8)+A390,DAY('Loan Inputs'!$B$8)),'Loan Inputs'!$B$8+A390*IF('Loan Inputs'!$B$14=26,14,7)))</f>
        <v/>
      </c>
      <c r="C390" s="2" t="str">
        <f t="shared" si="17"/>
        <v/>
      </c>
      <c r="D390" s="2" t="str">
        <f>IF(A390="","",MIN('Loan Inputs'!$B$17,C390+E390)+H390)</f>
        <v/>
      </c>
      <c r="E390" s="2" t="str">
        <f>IF(A390="","",C390*'Loan Inputs'!$B$15)</f>
        <v/>
      </c>
      <c r="F390" s="2" t="str">
        <f t="shared" si="15"/>
        <v/>
      </c>
      <c r="G390" s="2" t="str">
        <f t="shared" si="16"/>
        <v/>
      </c>
      <c r="H390" s="2" t="str">
        <f>IF(A390="","",MIN(0,MAX(0,C390+E390-'Loan Inputs'!$B$17)))</f>
        <v/>
      </c>
    </row>
    <row r="391" spans="1:8" ht="22" customHeight="1">
      <c r="A391" s="1" t="str">
        <f>IF(AND('Loan Inputs'!$B$12,385&lt;=IF('Loan Inputs'!$B$12,'Loan Inputs'!$B$7,0)*'Loan Inputs'!$B$14+0,ISNUMBER(G390),G390&gt;0),385,"")</f>
        <v/>
      </c>
      <c r="B391" s="4" t="str">
        <f>IF(A391="","",IF('Loan Inputs'!$B$14=12,DATE(YEAR('Loan Inputs'!$B$8),MONTH('Loan Inputs'!$B$8)+A391,DAY('Loan Inputs'!$B$8)),'Loan Inputs'!$B$8+A391*IF('Loan Inputs'!$B$14=26,14,7)))</f>
        <v/>
      </c>
      <c r="C391" s="2" t="str">
        <f t="shared" si="17"/>
        <v/>
      </c>
      <c r="D391" s="2" t="str">
        <f>IF(A391="","",MIN('Loan Inputs'!$B$17,C391+E391)+H391)</f>
        <v/>
      </c>
      <c r="E391" s="2" t="str">
        <f>IF(A391="","",C391*'Loan Inputs'!$B$15)</f>
        <v/>
      </c>
      <c r="F391" s="2" t="str">
        <f t="shared" ref="F391:F454" si="18">IF(A391="","",MIN(C391,D391-E391))</f>
        <v/>
      </c>
      <c r="G391" s="2" t="str">
        <f t="shared" ref="G391:G454" si="19">IF(A391="","",IF(C391-F391&lt;0.01,0,MAX(0,C391-F391)))</f>
        <v/>
      </c>
      <c r="H391" s="2" t="str">
        <f>IF(A391="","",MIN(0,MAX(0,C391+E391-'Loan Inputs'!$B$17)))</f>
        <v/>
      </c>
    </row>
    <row r="392" spans="1:8" ht="22" customHeight="1">
      <c r="A392" s="1" t="str">
        <f>IF(AND('Loan Inputs'!$B$12,386&lt;=IF('Loan Inputs'!$B$12,'Loan Inputs'!$B$7,0)*'Loan Inputs'!$B$14+0,ISNUMBER(G391),G391&gt;0),386,"")</f>
        <v/>
      </c>
      <c r="B392" s="4" t="str">
        <f>IF(A392="","",IF('Loan Inputs'!$B$14=12,DATE(YEAR('Loan Inputs'!$B$8),MONTH('Loan Inputs'!$B$8)+A392,DAY('Loan Inputs'!$B$8)),'Loan Inputs'!$B$8+A392*IF('Loan Inputs'!$B$14=26,14,7)))</f>
        <v/>
      </c>
      <c r="C392" s="2" t="str">
        <f t="shared" ref="C392:C455" si="20">IF(A392="","",G391)</f>
        <v/>
      </c>
      <c r="D392" s="2" t="str">
        <f>IF(A392="","",MIN('Loan Inputs'!$B$17,C392+E392)+H392)</f>
        <v/>
      </c>
      <c r="E392" s="2" t="str">
        <f>IF(A392="","",C392*'Loan Inputs'!$B$15)</f>
        <v/>
      </c>
      <c r="F392" s="2" t="str">
        <f t="shared" si="18"/>
        <v/>
      </c>
      <c r="G392" s="2" t="str">
        <f t="shared" si="19"/>
        <v/>
      </c>
      <c r="H392" s="2" t="str">
        <f>IF(A392="","",MIN(0,MAX(0,C392+E392-'Loan Inputs'!$B$17)))</f>
        <v/>
      </c>
    </row>
    <row r="393" spans="1:8" ht="22" customHeight="1">
      <c r="A393" s="1" t="str">
        <f>IF(AND('Loan Inputs'!$B$12,387&lt;=IF('Loan Inputs'!$B$12,'Loan Inputs'!$B$7,0)*'Loan Inputs'!$B$14+0,ISNUMBER(G392),G392&gt;0),387,"")</f>
        <v/>
      </c>
      <c r="B393" s="4" t="str">
        <f>IF(A393="","",IF('Loan Inputs'!$B$14=12,DATE(YEAR('Loan Inputs'!$B$8),MONTH('Loan Inputs'!$B$8)+A393,DAY('Loan Inputs'!$B$8)),'Loan Inputs'!$B$8+A393*IF('Loan Inputs'!$B$14=26,14,7)))</f>
        <v/>
      </c>
      <c r="C393" s="2" t="str">
        <f t="shared" si="20"/>
        <v/>
      </c>
      <c r="D393" s="2" t="str">
        <f>IF(A393="","",MIN('Loan Inputs'!$B$17,C393+E393)+H393)</f>
        <v/>
      </c>
      <c r="E393" s="2" t="str">
        <f>IF(A393="","",C393*'Loan Inputs'!$B$15)</f>
        <v/>
      </c>
      <c r="F393" s="2" t="str">
        <f t="shared" si="18"/>
        <v/>
      </c>
      <c r="G393" s="2" t="str">
        <f t="shared" si="19"/>
        <v/>
      </c>
      <c r="H393" s="2" t="str">
        <f>IF(A393="","",MIN(0,MAX(0,C393+E393-'Loan Inputs'!$B$17)))</f>
        <v/>
      </c>
    </row>
    <row r="394" spans="1:8" ht="22" customHeight="1">
      <c r="A394" s="1" t="str">
        <f>IF(AND('Loan Inputs'!$B$12,388&lt;=IF('Loan Inputs'!$B$12,'Loan Inputs'!$B$7,0)*'Loan Inputs'!$B$14+0,ISNUMBER(G393),G393&gt;0),388,"")</f>
        <v/>
      </c>
      <c r="B394" s="4" t="str">
        <f>IF(A394="","",IF('Loan Inputs'!$B$14=12,DATE(YEAR('Loan Inputs'!$B$8),MONTH('Loan Inputs'!$B$8)+A394,DAY('Loan Inputs'!$B$8)),'Loan Inputs'!$B$8+A394*IF('Loan Inputs'!$B$14=26,14,7)))</f>
        <v/>
      </c>
      <c r="C394" s="2" t="str">
        <f t="shared" si="20"/>
        <v/>
      </c>
      <c r="D394" s="2" t="str">
        <f>IF(A394="","",MIN('Loan Inputs'!$B$17,C394+E394)+H394)</f>
        <v/>
      </c>
      <c r="E394" s="2" t="str">
        <f>IF(A394="","",C394*'Loan Inputs'!$B$15)</f>
        <v/>
      </c>
      <c r="F394" s="2" t="str">
        <f t="shared" si="18"/>
        <v/>
      </c>
      <c r="G394" s="2" t="str">
        <f t="shared" si="19"/>
        <v/>
      </c>
      <c r="H394" s="2" t="str">
        <f>IF(A394="","",MIN(0,MAX(0,C394+E394-'Loan Inputs'!$B$17)))</f>
        <v/>
      </c>
    </row>
    <row r="395" spans="1:8" ht="22" customHeight="1">
      <c r="A395" s="1" t="str">
        <f>IF(AND('Loan Inputs'!$B$12,389&lt;=IF('Loan Inputs'!$B$12,'Loan Inputs'!$B$7,0)*'Loan Inputs'!$B$14+0,ISNUMBER(G394),G394&gt;0),389,"")</f>
        <v/>
      </c>
      <c r="B395" s="4" t="str">
        <f>IF(A395="","",IF('Loan Inputs'!$B$14=12,DATE(YEAR('Loan Inputs'!$B$8),MONTH('Loan Inputs'!$B$8)+A395,DAY('Loan Inputs'!$B$8)),'Loan Inputs'!$B$8+A395*IF('Loan Inputs'!$B$14=26,14,7)))</f>
        <v/>
      </c>
      <c r="C395" s="2" t="str">
        <f t="shared" si="20"/>
        <v/>
      </c>
      <c r="D395" s="2" t="str">
        <f>IF(A395="","",MIN('Loan Inputs'!$B$17,C395+E395)+H395)</f>
        <v/>
      </c>
      <c r="E395" s="2" t="str">
        <f>IF(A395="","",C395*'Loan Inputs'!$B$15)</f>
        <v/>
      </c>
      <c r="F395" s="2" t="str">
        <f t="shared" si="18"/>
        <v/>
      </c>
      <c r="G395" s="2" t="str">
        <f t="shared" si="19"/>
        <v/>
      </c>
      <c r="H395" s="2" t="str">
        <f>IF(A395="","",MIN(0,MAX(0,C395+E395-'Loan Inputs'!$B$17)))</f>
        <v/>
      </c>
    </row>
    <row r="396" spans="1:8" ht="22" customHeight="1">
      <c r="A396" s="1" t="str">
        <f>IF(AND('Loan Inputs'!$B$12,390&lt;=IF('Loan Inputs'!$B$12,'Loan Inputs'!$B$7,0)*'Loan Inputs'!$B$14+0,ISNUMBER(G395),G395&gt;0),390,"")</f>
        <v/>
      </c>
      <c r="B396" s="4" t="str">
        <f>IF(A396="","",IF('Loan Inputs'!$B$14=12,DATE(YEAR('Loan Inputs'!$B$8),MONTH('Loan Inputs'!$B$8)+A396,DAY('Loan Inputs'!$B$8)),'Loan Inputs'!$B$8+A396*IF('Loan Inputs'!$B$14=26,14,7)))</f>
        <v/>
      </c>
      <c r="C396" s="2" t="str">
        <f t="shared" si="20"/>
        <v/>
      </c>
      <c r="D396" s="2" t="str">
        <f>IF(A396="","",MIN('Loan Inputs'!$B$17,C396+E396)+H396)</f>
        <v/>
      </c>
      <c r="E396" s="2" t="str">
        <f>IF(A396="","",C396*'Loan Inputs'!$B$15)</f>
        <v/>
      </c>
      <c r="F396" s="2" t="str">
        <f t="shared" si="18"/>
        <v/>
      </c>
      <c r="G396" s="2" t="str">
        <f t="shared" si="19"/>
        <v/>
      </c>
      <c r="H396" s="2" t="str">
        <f>IF(A396="","",MIN(0,MAX(0,C396+E396-'Loan Inputs'!$B$17)))</f>
        <v/>
      </c>
    </row>
    <row r="397" spans="1:8" ht="22" customHeight="1">
      <c r="A397" s="1" t="str">
        <f>IF(AND('Loan Inputs'!$B$12,391&lt;=IF('Loan Inputs'!$B$12,'Loan Inputs'!$B$7,0)*'Loan Inputs'!$B$14+0,ISNUMBER(G396),G396&gt;0),391,"")</f>
        <v/>
      </c>
      <c r="B397" s="4" t="str">
        <f>IF(A397="","",IF('Loan Inputs'!$B$14=12,DATE(YEAR('Loan Inputs'!$B$8),MONTH('Loan Inputs'!$B$8)+A397,DAY('Loan Inputs'!$B$8)),'Loan Inputs'!$B$8+A397*IF('Loan Inputs'!$B$14=26,14,7)))</f>
        <v/>
      </c>
      <c r="C397" s="2" t="str">
        <f t="shared" si="20"/>
        <v/>
      </c>
      <c r="D397" s="2" t="str">
        <f>IF(A397="","",MIN('Loan Inputs'!$B$17,C397+E397)+H397)</f>
        <v/>
      </c>
      <c r="E397" s="2" t="str">
        <f>IF(A397="","",C397*'Loan Inputs'!$B$15)</f>
        <v/>
      </c>
      <c r="F397" s="2" t="str">
        <f t="shared" si="18"/>
        <v/>
      </c>
      <c r="G397" s="2" t="str">
        <f t="shared" si="19"/>
        <v/>
      </c>
      <c r="H397" s="2" t="str">
        <f>IF(A397="","",MIN(0,MAX(0,C397+E397-'Loan Inputs'!$B$17)))</f>
        <v/>
      </c>
    </row>
    <row r="398" spans="1:8" ht="22" customHeight="1">
      <c r="A398" s="1" t="str">
        <f>IF(AND('Loan Inputs'!$B$12,392&lt;=IF('Loan Inputs'!$B$12,'Loan Inputs'!$B$7,0)*'Loan Inputs'!$B$14+0,ISNUMBER(G397),G397&gt;0),392,"")</f>
        <v/>
      </c>
      <c r="B398" s="4" t="str">
        <f>IF(A398="","",IF('Loan Inputs'!$B$14=12,DATE(YEAR('Loan Inputs'!$B$8),MONTH('Loan Inputs'!$B$8)+A398,DAY('Loan Inputs'!$B$8)),'Loan Inputs'!$B$8+A398*IF('Loan Inputs'!$B$14=26,14,7)))</f>
        <v/>
      </c>
      <c r="C398" s="2" t="str">
        <f t="shared" si="20"/>
        <v/>
      </c>
      <c r="D398" s="2" t="str">
        <f>IF(A398="","",MIN('Loan Inputs'!$B$17,C398+E398)+H398)</f>
        <v/>
      </c>
      <c r="E398" s="2" t="str">
        <f>IF(A398="","",C398*'Loan Inputs'!$B$15)</f>
        <v/>
      </c>
      <c r="F398" s="2" t="str">
        <f t="shared" si="18"/>
        <v/>
      </c>
      <c r="G398" s="2" t="str">
        <f t="shared" si="19"/>
        <v/>
      </c>
      <c r="H398" s="2" t="str">
        <f>IF(A398="","",MIN(0,MAX(0,C398+E398-'Loan Inputs'!$B$17)))</f>
        <v/>
      </c>
    </row>
    <row r="399" spans="1:8" ht="22" customHeight="1">
      <c r="A399" s="1" t="str">
        <f>IF(AND('Loan Inputs'!$B$12,393&lt;=IF('Loan Inputs'!$B$12,'Loan Inputs'!$B$7,0)*'Loan Inputs'!$B$14+0,ISNUMBER(G398),G398&gt;0),393,"")</f>
        <v/>
      </c>
      <c r="B399" s="4" t="str">
        <f>IF(A399="","",IF('Loan Inputs'!$B$14=12,DATE(YEAR('Loan Inputs'!$B$8),MONTH('Loan Inputs'!$B$8)+A399,DAY('Loan Inputs'!$B$8)),'Loan Inputs'!$B$8+A399*IF('Loan Inputs'!$B$14=26,14,7)))</f>
        <v/>
      </c>
      <c r="C399" s="2" t="str">
        <f t="shared" si="20"/>
        <v/>
      </c>
      <c r="D399" s="2" t="str">
        <f>IF(A399="","",MIN('Loan Inputs'!$B$17,C399+E399)+H399)</f>
        <v/>
      </c>
      <c r="E399" s="2" t="str">
        <f>IF(A399="","",C399*'Loan Inputs'!$B$15)</f>
        <v/>
      </c>
      <c r="F399" s="2" t="str">
        <f t="shared" si="18"/>
        <v/>
      </c>
      <c r="G399" s="2" t="str">
        <f t="shared" si="19"/>
        <v/>
      </c>
      <c r="H399" s="2" t="str">
        <f>IF(A399="","",MIN(0,MAX(0,C399+E399-'Loan Inputs'!$B$17)))</f>
        <v/>
      </c>
    </row>
    <row r="400" spans="1:8" ht="22" customHeight="1">
      <c r="A400" s="1" t="str">
        <f>IF(AND('Loan Inputs'!$B$12,394&lt;=IF('Loan Inputs'!$B$12,'Loan Inputs'!$B$7,0)*'Loan Inputs'!$B$14+0,ISNUMBER(G399),G399&gt;0),394,"")</f>
        <v/>
      </c>
      <c r="B400" s="4" t="str">
        <f>IF(A400="","",IF('Loan Inputs'!$B$14=12,DATE(YEAR('Loan Inputs'!$B$8),MONTH('Loan Inputs'!$B$8)+A400,DAY('Loan Inputs'!$B$8)),'Loan Inputs'!$B$8+A400*IF('Loan Inputs'!$B$14=26,14,7)))</f>
        <v/>
      </c>
      <c r="C400" s="2" t="str">
        <f t="shared" si="20"/>
        <v/>
      </c>
      <c r="D400" s="2" t="str">
        <f>IF(A400="","",MIN('Loan Inputs'!$B$17,C400+E400)+H400)</f>
        <v/>
      </c>
      <c r="E400" s="2" t="str">
        <f>IF(A400="","",C400*'Loan Inputs'!$B$15)</f>
        <v/>
      </c>
      <c r="F400" s="2" t="str">
        <f t="shared" si="18"/>
        <v/>
      </c>
      <c r="G400" s="2" t="str">
        <f t="shared" si="19"/>
        <v/>
      </c>
      <c r="H400" s="2" t="str">
        <f>IF(A400="","",MIN(0,MAX(0,C400+E400-'Loan Inputs'!$B$17)))</f>
        <v/>
      </c>
    </row>
    <row r="401" spans="1:8" ht="22" customHeight="1">
      <c r="A401" s="1" t="str">
        <f>IF(AND('Loan Inputs'!$B$12,395&lt;=IF('Loan Inputs'!$B$12,'Loan Inputs'!$B$7,0)*'Loan Inputs'!$B$14+0,ISNUMBER(G400),G400&gt;0),395,"")</f>
        <v/>
      </c>
      <c r="B401" s="4" t="str">
        <f>IF(A401="","",IF('Loan Inputs'!$B$14=12,DATE(YEAR('Loan Inputs'!$B$8),MONTH('Loan Inputs'!$B$8)+A401,DAY('Loan Inputs'!$B$8)),'Loan Inputs'!$B$8+A401*IF('Loan Inputs'!$B$14=26,14,7)))</f>
        <v/>
      </c>
      <c r="C401" s="2" t="str">
        <f t="shared" si="20"/>
        <v/>
      </c>
      <c r="D401" s="2" t="str">
        <f>IF(A401="","",MIN('Loan Inputs'!$B$17,C401+E401)+H401)</f>
        <v/>
      </c>
      <c r="E401" s="2" t="str">
        <f>IF(A401="","",C401*'Loan Inputs'!$B$15)</f>
        <v/>
      </c>
      <c r="F401" s="2" t="str">
        <f t="shared" si="18"/>
        <v/>
      </c>
      <c r="G401" s="2" t="str">
        <f t="shared" si="19"/>
        <v/>
      </c>
      <c r="H401" s="2" t="str">
        <f>IF(A401="","",MIN(0,MAX(0,C401+E401-'Loan Inputs'!$B$17)))</f>
        <v/>
      </c>
    </row>
    <row r="402" spans="1:8" ht="22" customHeight="1">
      <c r="A402" s="1" t="str">
        <f>IF(AND('Loan Inputs'!$B$12,396&lt;=IF('Loan Inputs'!$B$12,'Loan Inputs'!$B$7,0)*'Loan Inputs'!$B$14+0,ISNUMBER(G401),G401&gt;0),396,"")</f>
        <v/>
      </c>
      <c r="B402" s="4" t="str">
        <f>IF(A402="","",IF('Loan Inputs'!$B$14=12,DATE(YEAR('Loan Inputs'!$B$8),MONTH('Loan Inputs'!$B$8)+A402,DAY('Loan Inputs'!$B$8)),'Loan Inputs'!$B$8+A402*IF('Loan Inputs'!$B$14=26,14,7)))</f>
        <v/>
      </c>
      <c r="C402" s="2" t="str">
        <f t="shared" si="20"/>
        <v/>
      </c>
      <c r="D402" s="2" t="str">
        <f>IF(A402="","",MIN('Loan Inputs'!$B$17,C402+E402)+H402)</f>
        <v/>
      </c>
      <c r="E402" s="2" t="str">
        <f>IF(A402="","",C402*'Loan Inputs'!$B$15)</f>
        <v/>
      </c>
      <c r="F402" s="2" t="str">
        <f t="shared" si="18"/>
        <v/>
      </c>
      <c r="G402" s="2" t="str">
        <f t="shared" si="19"/>
        <v/>
      </c>
      <c r="H402" s="2" t="str">
        <f>IF(A402="","",MIN(0,MAX(0,C402+E402-'Loan Inputs'!$B$17)))</f>
        <v/>
      </c>
    </row>
    <row r="403" spans="1:8" ht="22" customHeight="1">
      <c r="A403" s="1" t="str">
        <f>IF(AND('Loan Inputs'!$B$12,397&lt;=IF('Loan Inputs'!$B$12,'Loan Inputs'!$B$7,0)*'Loan Inputs'!$B$14+0,ISNUMBER(G402),G402&gt;0),397,"")</f>
        <v/>
      </c>
      <c r="B403" s="4" t="str">
        <f>IF(A403="","",IF('Loan Inputs'!$B$14=12,DATE(YEAR('Loan Inputs'!$B$8),MONTH('Loan Inputs'!$B$8)+A403,DAY('Loan Inputs'!$B$8)),'Loan Inputs'!$B$8+A403*IF('Loan Inputs'!$B$14=26,14,7)))</f>
        <v/>
      </c>
      <c r="C403" s="2" t="str">
        <f t="shared" si="20"/>
        <v/>
      </c>
      <c r="D403" s="2" t="str">
        <f>IF(A403="","",MIN('Loan Inputs'!$B$17,C403+E403)+H403)</f>
        <v/>
      </c>
      <c r="E403" s="2" t="str">
        <f>IF(A403="","",C403*'Loan Inputs'!$B$15)</f>
        <v/>
      </c>
      <c r="F403" s="2" t="str">
        <f t="shared" si="18"/>
        <v/>
      </c>
      <c r="G403" s="2" t="str">
        <f t="shared" si="19"/>
        <v/>
      </c>
      <c r="H403" s="2" t="str">
        <f>IF(A403="","",MIN(0,MAX(0,C403+E403-'Loan Inputs'!$B$17)))</f>
        <v/>
      </c>
    </row>
    <row r="404" spans="1:8" ht="22" customHeight="1">
      <c r="A404" s="1" t="str">
        <f>IF(AND('Loan Inputs'!$B$12,398&lt;=IF('Loan Inputs'!$B$12,'Loan Inputs'!$B$7,0)*'Loan Inputs'!$B$14+0,ISNUMBER(G403),G403&gt;0),398,"")</f>
        <v/>
      </c>
      <c r="B404" s="4" t="str">
        <f>IF(A404="","",IF('Loan Inputs'!$B$14=12,DATE(YEAR('Loan Inputs'!$B$8),MONTH('Loan Inputs'!$B$8)+A404,DAY('Loan Inputs'!$B$8)),'Loan Inputs'!$B$8+A404*IF('Loan Inputs'!$B$14=26,14,7)))</f>
        <v/>
      </c>
      <c r="C404" s="2" t="str">
        <f t="shared" si="20"/>
        <v/>
      </c>
      <c r="D404" s="2" t="str">
        <f>IF(A404="","",MIN('Loan Inputs'!$B$17,C404+E404)+H404)</f>
        <v/>
      </c>
      <c r="E404" s="2" t="str">
        <f>IF(A404="","",C404*'Loan Inputs'!$B$15)</f>
        <v/>
      </c>
      <c r="F404" s="2" t="str">
        <f t="shared" si="18"/>
        <v/>
      </c>
      <c r="G404" s="2" t="str">
        <f t="shared" si="19"/>
        <v/>
      </c>
      <c r="H404" s="2" t="str">
        <f>IF(A404="","",MIN(0,MAX(0,C404+E404-'Loan Inputs'!$B$17)))</f>
        <v/>
      </c>
    </row>
    <row r="405" spans="1:8" ht="22" customHeight="1">
      <c r="A405" s="1" t="str">
        <f>IF(AND('Loan Inputs'!$B$12,399&lt;=IF('Loan Inputs'!$B$12,'Loan Inputs'!$B$7,0)*'Loan Inputs'!$B$14+0,ISNUMBER(G404),G404&gt;0),399,"")</f>
        <v/>
      </c>
      <c r="B405" s="4" t="str">
        <f>IF(A405="","",IF('Loan Inputs'!$B$14=12,DATE(YEAR('Loan Inputs'!$B$8),MONTH('Loan Inputs'!$B$8)+A405,DAY('Loan Inputs'!$B$8)),'Loan Inputs'!$B$8+A405*IF('Loan Inputs'!$B$14=26,14,7)))</f>
        <v/>
      </c>
      <c r="C405" s="2" t="str">
        <f t="shared" si="20"/>
        <v/>
      </c>
      <c r="D405" s="2" t="str">
        <f>IF(A405="","",MIN('Loan Inputs'!$B$17,C405+E405)+H405)</f>
        <v/>
      </c>
      <c r="E405" s="2" t="str">
        <f>IF(A405="","",C405*'Loan Inputs'!$B$15)</f>
        <v/>
      </c>
      <c r="F405" s="2" t="str">
        <f t="shared" si="18"/>
        <v/>
      </c>
      <c r="G405" s="2" t="str">
        <f t="shared" si="19"/>
        <v/>
      </c>
      <c r="H405" s="2" t="str">
        <f>IF(A405="","",MIN(0,MAX(0,C405+E405-'Loan Inputs'!$B$17)))</f>
        <v/>
      </c>
    </row>
    <row r="406" spans="1:8" ht="22" customHeight="1">
      <c r="A406" s="1" t="str">
        <f>IF(AND('Loan Inputs'!$B$12,400&lt;=IF('Loan Inputs'!$B$12,'Loan Inputs'!$B$7,0)*'Loan Inputs'!$B$14+0,ISNUMBER(G405),G405&gt;0),400,"")</f>
        <v/>
      </c>
      <c r="B406" s="4" t="str">
        <f>IF(A406="","",IF('Loan Inputs'!$B$14=12,DATE(YEAR('Loan Inputs'!$B$8),MONTH('Loan Inputs'!$B$8)+A406,DAY('Loan Inputs'!$B$8)),'Loan Inputs'!$B$8+A406*IF('Loan Inputs'!$B$14=26,14,7)))</f>
        <v/>
      </c>
      <c r="C406" s="2" t="str">
        <f t="shared" si="20"/>
        <v/>
      </c>
      <c r="D406" s="2" t="str">
        <f>IF(A406="","",MIN('Loan Inputs'!$B$17,C406+E406)+H406)</f>
        <v/>
      </c>
      <c r="E406" s="2" t="str">
        <f>IF(A406="","",C406*'Loan Inputs'!$B$15)</f>
        <v/>
      </c>
      <c r="F406" s="2" t="str">
        <f t="shared" si="18"/>
        <v/>
      </c>
      <c r="G406" s="2" t="str">
        <f t="shared" si="19"/>
        <v/>
      </c>
      <c r="H406" s="2" t="str">
        <f>IF(A406="","",MIN(0,MAX(0,C406+E406-'Loan Inputs'!$B$17)))</f>
        <v/>
      </c>
    </row>
    <row r="407" spans="1:8" ht="22" customHeight="1">
      <c r="A407" s="1" t="str">
        <f>IF(AND('Loan Inputs'!$B$12,401&lt;=IF('Loan Inputs'!$B$12,'Loan Inputs'!$B$7,0)*'Loan Inputs'!$B$14+0,ISNUMBER(G406),G406&gt;0),401,"")</f>
        <v/>
      </c>
      <c r="B407" s="4" t="str">
        <f>IF(A407="","",IF('Loan Inputs'!$B$14=12,DATE(YEAR('Loan Inputs'!$B$8),MONTH('Loan Inputs'!$B$8)+A407,DAY('Loan Inputs'!$B$8)),'Loan Inputs'!$B$8+A407*IF('Loan Inputs'!$B$14=26,14,7)))</f>
        <v/>
      </c>
      <c r="C407" s="2" t="str">
        <f t="shared" si="20"/>
        <v/>
      </c>
      <c r="D407" s="2" t="str">
        <f>IF(A407="","",MIN('Loan Inputs'!$B$17,C407+E407)+H407)</f>
        <v/>
      </c>
      <c r="E407" s="2" t="str">
        <f>IF(A407="","",C407*'Loan Inputs'!$B$15)</f>
        <v/>
      </c>
      <c r="F407" s="2" t="str">
        <f t="shared" si="18"/>
        <v/>
      </c>
      <c r="G407" s="2" t="str">
        <f t="shared" si="19"/>
        <v/>
      </c>
      <c r="H407" s="2" t="str">
        <f>IF(A407="","",MIN(0,MAX(0,C407+E407-'Loan Inputs'!$B$17)))</f>
        <v/>
      </c>
    </row>
    <row r="408" spans="1:8" ht="22" customHeight="1">
      <c r="A408" s="1" t="str">
        <f>IF(AND('Loan Inputs'!$B$12,402&lt;=IF('Loan Inputs'!$B$12,'Loan Inputs'!$B$7,0)*'Loan Inputs'!$B$14+0,ISNUMBER(G407),G407&gt;0),402,"")</f>
        <v/>
      </c>
      <c r="B408" s="4" t="str">
        <f>IF(A408="","",IF('Loan Inputs'!$B$14=12,DATE(YEAR('Loan Inputs'!$B$8),MONTH('Loan Inputs'!$B$8)+A408,DAY('Loan Inputs'!$B$8)),'Loan Inputs'!$B$8+A408*IF('Loan Inputs'!$B$14=26,14,7)))</f>
        <v/>
      </c>
      <c r="C408" s="2" t="str">
        <f t="shared" si="20"/>
        <v/>
      </c>
      <c r="D408" s="2" t="str">
        <f>IF(A408="","",MIN('Loan Inputs'!$B$17,C408+E408)+H408)</f>
        <v/>
      </c>
      <c r="E408" s="2" t="str">
        <f>IF(A408="","",C408*'Loan Inputs'!$B$15)</f>
        <v/>
      </c>
      <c r="F408" s="2" t="str">
        <f t="shared" si="18"/>
        <v/>
      </c>
      <c r="G408" s="2" t="str">
        <f t="shared" si="19"/>
        <v/>
      </c>
      <c r="H408" s="2" t="str">
        <f>IF(A408="","",MIN(0,MAX(0,C408+E408-'Loan Inputs'!$B$17)))</f>
        <v/>
      </c>
    </row>
    <row r="409" spans="1:8" ht="22" customHeight="1">
      <c r="A409" s="1" t="str">
        <f>IF(AND('Loan Inputs'!$B$12,403&lt;=IF('Loan Inputs'!$B$12,'Loan Inputs'!$B$7,0)*'Loan Inputs'!$B$14+0,ISNUMBER(G408),G408&gt;0),403,"")</f>
        <v/>
      </c>
      <c r="B409" s="4" t="str">
        <f>IF(A409="","",IF('Loan Inputs'!$B$14=12,DATE(YEAR('Loan Inputs'!$B$8),MONTH('Loan Inputs'!$B$8)+A409,DAY('Loan Inputs'!$B$8)),'Loan Inputs'!$B$8+A409*IF('Loan Inputs'!$B$14=26,14,7)))</f>
        <v/>
      </c>
      <c r="C409" s="2" t="str">
        <f t="shared" si="20"/>
        <v/>
      </c>
      <c r="D409" s="2" t="str">
        <f>IF(A409="","",MIN('Loan Inputs'!$B$17,C409+E409)+H409)</f>
        <v/>
      </c>
      <c r="E409" s="2" t="str">
        <f>IF(A409="","",C409*'Loan Inputs'!$B$15)</f>
        <v/>
      </c>
      <c r="F409" s="2" t="str">
        <f t="shared" si="18"/>
        <v/>
      </c>
      <c r="G409" s="2" t="str">
        <f t="shared" si="19"/>
        <v/>
      </c>
      <c r="H409" s="2" t="str">
        <f>IF(A409="","",MIN(0,MAX(0,C409+E409-'Loan Inputs'!$B$17)))</f>
        <v/>
      </c>
    </row>
    <row r="410" spans="1:8" ht="22" customHeight="1">
      <c r="A410" s="1" t="str">
        <f>IF(AND('Loan Inputs'!$B$12,404&lt;=IF('Loan Inputs'!$B$12,'Loan Inputs'!$B$7,0)*'Loan Inputs'!$B$14+0,ISNUMBER(G409),G409&gt;0),404,"")</f>
        <v/>
      </c>
      <c r="B410" s="4" t="str">
        <f>IF(A410="","",IF('Loan Inputs'!$B$14=12,DATE(YEAR('Loan Inputs'!$B$8),MONTH('Loan Inputs'!$B$8)+A410,DAY('Loan Inputs'!$B$8)),'Loan Inputs'!$B$8+A410*IF('Loan Inputs'!$B$14=26,14,7)))</f>
        <v/>
      </c>
      <c r="C410" s="2" t="str">
        <f t="shared" si="20"/>
        <v/>
      </c>
      <c r="D410" s="2" t="str">
        <f>IF(A410="","",MIN('Loan Inputs'!$B$17,C410+E410)+H410)</f>
        <v/>
      </c>
      <c r="E410" s="2" t="str">
        <f>IF(A410="","",C410*'Loan Inputs'!$B$15)</f>
        <v/>
      </c>
      <c r="F410" s="2" t="str">
        <f t="shared" si="18"/>
        <v/>
      </c>
      <c r="G410" s="2" t="str">
        <f t="shared" si="19"/>
        <v/>
      </c>
      <c r="H410" s="2" t="str">
        <f>IF(A410="","",MIN(0,MAX(0,C410+E410-'Loan Inputs'!$B$17)))</f>
        <v/>
      </c>
    </row>
    <row r="411" spans="1:8" ht="22" customHeight="1">
      <c r="A411" s="1" t="str">
        <f>IF(AND('Loan Inputs'!$B$12,405&lt;=IF('Loan Inputs'!$B$12,'Loan Inputs'!$B$7,0)*'Loan Inputs'!$B$14+0,ISNUMBER(G410),G410&gt;0),405,"")</f>
        <v/>
      </c>
      <c r="B411" s="4" t="str">
        <f>IF(A411="","",IF('Loan Inputs'!$B$14=12,DATE(YEAR('Loan Inputs'!$B$8),MONTH('Loan Inputs'!$B$8)+A411,DAY('Loan Inputs'!$B$8)),'Loan Inputs'!$B$8+A411*IF('Loan Inputs'!$B$14=26,14,7)))</f>
        <v/>
      </c>
      <c r="C411" s="2" t="str">
        <f t="shared" si="20"/>
        <v/>
      </c>
      <c r="D411" s="2" t="str">
        <f>IF(A411="","",MIN('Loan Inputs'!$B$17,C411+E411)+H411)</f>
        <v/>
      </c>
      <c r="E411" s="2" t="str">
        <f>IF(A411="","",C411*'Loan Inputs'!$B$15)</f>
        <v/>
      </c>
      <c r="F411" s="2" t="str">
        <f t="shared" si="18"/>
        <v/>
      </c>
      <c r="G411" s="2" t="str">
        <f t="shared" si="19"/>
        <v/>
      </c>
      <c r="H411" s="2" t="str">
        <f>IF(A411="","",MIN(0,MAX(0,C411+E411-'Loan Inputs'!$B$17)))</f>
        <v/>
      </c>
    </row>
    <row r="412" spans="1:8" ht="22" customHeight="1">
      <c r="A412" s="1" t="str">
        <f>IF(AND('Loan Inputs'!$B$12,406&lt;=IF('Loan Inputs'!$B$12,'Loan Inputs'!$B$7,0)*'Loan Inputs'!$B$14+0,ISNUMBER(G411),G411&gt;0),406,"")</f>
        <v/>
      </c>
      <c r="B412" s="4" t="str">
        <f>IF(A412="","",IF('Loan Inputs'!$B$14=12,DATE(YEAR('Loan Inputs'!$B$8),MONTH('Loan Inputs'!$B$8)+A412,DAY('Loan Inputs'!$B$8)),'Loan Inputs'!$B$8+A412*IF('Loan Inputs'!$B$14=26,14,7)))</f>
        <v/>
      </c>
      <c r="C412" s="2" t="str">
        <f t="shared" si="20"/>
        <v/>
      </c>
      <c r="D412" s="2" t="str">
        <f>IF(A412="","",MIN('Loan Inputs'!$B$17,C412+E412)+H412)</f>
        <v/>
      </c>
      <c r="E412" s="2" t="str">
        <f>IF(A412="","",C412*'Loan Inputs'!$B$15)</f>
        <v/>
      </c>
      <c r="F412" s="2" t="str">
        <f t="shared" si="18"/>
        <v/>
      </c>
      <c r="G412" s="2" t="str">
        <f t="shared" si="19"/>
        <v/>
      </c>
      <c r="H412" s="2" t="str">
        <f>IF(A412="","",MIN(0,MAX(0,C412+E412-'Loan Inputs'!$B$17)))</f>
        <v/>
      </c>
    </row>
    <row r="413" spans="1:8" ht="22" customHeight="1">
      <c r="A413" s="1" t="str">
        <f>IF(AND('Loan Inputs'!$B$12,407&lt;=IF('Loan Inputs'!$B$12,'Loan Inputs'!$B$7,0)*'Loan Inputs'!$B$14+0,ISNUMBER(G412),G412&gt;0),407,"")</f>
        <v/>
      </c>
      <c r="B413" s="4" t="str">
        <f>IF(A413="","",IF('Loan Inputs'!$B$14=12,DATE(YEAR('Loan Inputs'!$B$8),MONTH('Loan Inputs'!$B$8)+A413,DAY('Loan Inputs'!$B$8)),'Loan Inputs'!$B$8+A413*IF('Loan Inputs'!$B$14=26,14,7)))</f>
        <v/>
      </c>
      <c r="C413" s="2" t="str">
        <f t="shared" si="20"/>
        <v/>
      </c>
      <c r="D413" s="2" t="str">
        <f>IF(A413="","",MIN('Loan Inputs'!$B$17,C413+E413)+H413)</f>
        <v/>
      </c>
      <c r="E413" s="2" t="str">
        <f>IF(A413="","",C413*'Loan Inputs'!$B$15)</f>
        <v/>
      </c>
      <c r="F413" s="2" t="str">
        <f t="shared" si="18"/>
        <v/>
      </c>
      <c r="G413" s="2" t="str">
        <f t="shared" si="19"/>
        <v/>
      </c>
      <c r="H413" s="2" t="str">
        <f>IF(A413="","",MIN(0,MAX(0,C413+E413-'Loan Inputs'!$B$17)))</f>
        <v/>
      </c>
    </row>
    <row r="414" spans="1:8" ht="22" customHeight="1">
      <c r="A414" s="1" t="str">
        <f>IF(AND('Loan Inputs'!$B$12,408&lt;=IF('Loan Inputs'!$B$12,'Loan Inputs'!$B$7,0)*'Loan Inputs'!$B$14+0,ISNUMBER(G413),G413&gt;0),408,"")</f>
        <v/>
      </c>
      <c r="B414" s="4" t="str">
        <f>IF(A414="","",IF('Loan Inputs'!$B$14=12,DATE(YEAR('Loan Inputs'!$B$8),MONTH('Loan Inputs'!$B$8)+A414,DAY('Loan Inputs'!$B$8)),'Loan Inputs'!$B$8+A414*IF('Loan Inputs'!$B$14=26,14,7)))</f>
        <v/>
      </c>
      <c r="C414" s="2" t="str">
        <f t="shared" si="20"/>
        <v/>
      </c>
      <c r="D414" s="2" t="str">
        <f>IF(A414="","",MIN('Loan Inputs'!$B$17,C414+E414)+H414)</f>
        <v/>
      </c>
      <c r="E414" s="2" t="str">
        <f>IF(A414="","",C414*'Loan Inputs'!$B$15)</f>
        <v/>
      </c>
      <c r="F414" s="2" t="str">
        <f t="shared" si="18"/>
        <v/>
      </c>
      <c r="G414" s="2" t="str">
        <f t="shared" si="19"/>
        <v/>
      </c>
      <c r="H414" s="2" t="str">
        <f>IF(A414="","",MIN(0,MAX(0,C414+E414-'Loan Inputs'!$B$17)))</f>
        <v/>
      </c>
    </row>
    <row r="415" spans="1:8" ht="22" customHeight="1">
      <c r="A415" s="1" t="str">
        <f>IF(AND('Loan Inputs'!$B$12,409&lt;=IF('Loan Inputs'!$B$12,'Loan Inputs'!$B$7,0)*'Loan Inputs'!$B$14+0,ISNUMBER(G414),G414&gt;0),409,"")</f>
        <v/>
      </c>
      <c r="B415" s="4" t="str">
        <f>IF(A415="","",IF('Loan Inputs'!$B$14=12,DATE(YEAR('Loan Inputs'!$B$8),MONTH('Loan Inputs'!$B$8)+A415,DAY('Loan Inputs'!$B$8)),'Loan Inputs'!$B$8+A415*IF('Loan Inputs'!$B$14=26,14,7)))</f>
        <v/>
      </c>
      <c r="C415" s="2" t="str">
        <f t="shared" si="20"/>
        <v/>
      </c>
      <c r="D415" s="2" t="str">
        <f>IF(A415="","",MIN('Loan Inputs'!$B$17,C415+E415)+H415)</f>
        <v/>
      </c>
      <c r="E415" s="2" t="str">
        <f>IF(A415="","",C415*'Loan Inputs'!$B$15)</f>
        <v/>
      </c>
      <c r="F415" s="2" t="str">
        <f t="shared" si="18"/>
        <v/>
      </c>
      <c r="G415" s="2" t="str">
        <f t="shared" si="19"/>
        <v/>
      </c>
      <c r="H415" s="2" t="str">
        <f>IF(A415="","",MIN(0,MAX(0,C415+E415-'Loan Inputs'!$B$17)))</f>
        <v/>
      </c>
    </row>
    <row r="416" spans="1:8" ht="22" customHeight="1">
      <c r="A416" s="1" t="str">
        <f>IF(AND('Loan Inputs'!$B$12,410&lt;=IF('Loan Inputs'!$B$12,'Loan Inputs'!$B$7,0)*'Loan Inputs'!$B$14+0,ISNUMBER(G415),G415&gt;0),410,"")</f>
        <v/>
      </c>
      <c r="B416" s="4" t="str">
        <f>IF(A416="","",IF('Loan Inputs'!$B$14=12,DATE(YEAR('Loan Inputs'!$B$8),MONTH('Loan Inputs'!$B$8)+A416,DAY('Loan Inputs'!$B$8)),'Loan Inputs'!$B$8+A416*IF('Loan Inputs'!$B$14=26,14,7)))</f>
        <v/>
      </c>
      <c r="C416" s="2" t="str">
        <f t="shared" si="20"/>
        <v/>
      </c>
      <c r="D416" s="2" t="str">
        <f>IF(A416="","",MIN('Loan Inputs'!$B$17,C416+E416)+H416)</f>
        <v/>
      </c>
      <c r="E416" s="2" t="str">
        <f>IF(A416="","",C416*'Loan Inputs'!$B$15)</f>
        <v/>
      </c>
      <c r="F416" s="2" t="str">
        <f t="shared" si="18"/>
        <v/>
      </c>
      <c r="G416" s="2" t="str">
        <f t="shared" si="19"/>
        <v/>
      </c>
      <c r="H416" s="2" t="str">
        <f>IF(A416="","",MIN(0,MAX(0,C416+E416-'Loan Inputs'!$B$17)))</f>
        <v/>
      </c>
    </row>
    <row r="417" spans="1:8" ht="22" customHeight="1">
      <c r="A417" s="1" t="str">
        <f>IF(AND('Loan Inputs'!$B$12,411&lt;=IF('Loan Inputs'!$B$12,'Loan Inputs'!$B$7,0)*'Loan Inputs'!$B$14+0,ISNUMBER(G416),G416&gt;0),411,"")</f>
        <v/>
      </c>
      <c r="B417" s="4" t="str">
        <f>IF(A417="","",IF('Loan Inputs'!$B$14=12,DATE(YEAR('Loan Inputs'!$B$8),MONTH('Loan Inputs'!$B$8)+A417,DAY('Loan Inputs'!$B$8)),'Loan Inputs'!$B$8+A417*IF('Loan Inputs'!$B$14=26,14,7)))</f>
        <v/>
      </c>
      <c r="C417" s="2" t="str">
        <f t="shared" si="20"/>
        <v/>
      </c>
      <c r="D417" s="2" t="str">
        <f>IF(A417="","",MIN('Loan Inputs'!$B$17,C417+E417)+H417)</f>
        <v/>
      </c>
      <c r="E417" s="2" t="str">
        <f>IF(A417="","",C417*'Loan Inputs'!$B$15)</f>
        <v/>
      </c>
      <c r="F417" s="2" t="str">
        <f t="shared" si="18"/>
        <v/>
      </c>
      <c r="G417" s="2" t="str">
        <f t="shared" si="19"/>
        <v/>
      </c>
      <c r="H417" s="2" t="str">
        <f>IF(A417="","",MIN(0,MAX(0,C417+E417-'Loan Inputs'!$B$17)))</f>
        <v/>
      </c>
    </row>
    <row r="418" spans="1:8" ht="22" customHeight="1">
      <c r="A418" s="1" t="str">
        <f>IF(AND('Loan Inputs'!$B$12,412&lt;=IF('Loan Inputs'!$B$12,'Loan Inputs'!$B$7,0)*'Loan Inputs'!$B$14+0,ISNUMBER(G417),G417&gt;0),412,"")</f>
        <v/>
      </c>
      <c r="B418" s="4" t="str">
        <f>IF(A418="","",IF('Loan Inputs'!$B$14=12,DATE(YEAR('Loan Inputs'!$B$8),MONTH('Loan Inputs'!$B$8)+A418,DAY('Loan Inputs'!$B$8)),'Loan Inputs'!$B$8+A418*IF('Loan Inputs'!$B$14=26,14,7)))</f>
        <v/>
      </c>
      <c r="C418" s="2" t="str">
        <f t="shared" si="20"/>
        <v/>
      </c>
      <c r="D418" s="2" t="str">
        <f>IF(A418="","",MIN('Loan Inputs'!$B$17,C418+E418)+H418)</f>
        <v/>
      </c>
      <c r="E418" s="2" t="str">
        <f>IF(A418="","",C418*'Loan Inputs'!$B$15)</f>
        <v/>
      </c>
      <c r="F418" s="2" t="str">
        <f t="shared" si="18"/>
        <v/>
      </c>
      <c r="G418" s="2" t="str">
        <f t="shared" si="19"/>
        <v/>
      </c>
      <c r="H418" s="2" t="str">
        <f>IF(A418="","",MIN(0,MAX(0,C418+E418-'Loan Inputs'!$B$17)))</f>
        <v/>
      </c>
    </row>
    <row r="419" spans="1:8" ht="22" customHeight="1">
      <c r="A419" s="1" t="str">
        <f>IF(AND('Loan Inputs'!$B$12,413&lt;=IF('Loan Inputs'!$B$12,'Loan Inputs'!$B$7,0)*'Loan Inputs'!$B$14+0,ISNUMBER(G418),G418&gt;0),413,"")</f>
        <v/>
      </c>
      <c r="B419" s="4" t="str">
        <f>IF(A419="","",IF('Loan Inputs'!$B$14=12,DATE(YEAR('Loan Inputs'!$B$8),MONTH('Loan Inputs'!$B$8)+A419,DAY('Loan Inputs'!$B$8)),'Loan Inputs'!$B$8+A419*IF('Loan Inputs'!$B$14=26,14,7)))</f>
        <v/>
      </c>
      <c r="C419" s="2" t="str">
        <f t="shared" si="20"/>
        <v/>
      </c>
      <c r="D419" s="2" t="str">
        <f>IF(A419="","",MIN('Loan Inputs'!$B$17,C419+E419)+H419)</f>
        <v/>
      </c>
      <c r="E419" s="2" t="str">
        <f>IF(A419="","",C419*'Loan Inputs'!$B$15)</f>
        <v/>
      </c>
      <c r="F419" s="2" t="str">
        <f t="shared" si="18"/>
        <v/>
      </c>
      <c r="G419" s="2" t="str">
        <f t="shared" si="19"/>
        <v/>
      </c>
      <c r="H419" s="2" t="str">
        <f>IF(A419="","",MIN(0,MAX(0,C419+E419-'Loan Inputs'!$B$17)))</f>
        <v/>
      </c>
    </row>
    <row r="420" spans="1:8" ht="22" customHeight="1">
      <c r="A420" s="1" t="str">
        <f>IF(AND('Loan Inputs'!$B$12,414&lt;=IF('Loan Inputs'!$B$12,'Loan Inputs'!$B$7,0)*'Loan Inputs'!$B$14+0,ISNUMBER(G419),G419&gt;0),414,"")</f>
        <v/>
      </c>
      <c r="B420" s="4" t="str">
        <f>IF(A420="","",IF('Loan Inputs'!$B$14=12,DATE(YEAR('Loan Inputs'!$B$8),MONTH('Loan Inputs'!$B$8)+A420,DAY('Loan Inputs'!$B$8)),'Loan Inputs'!$B$8+A420*IF('Loan Inputs'!$B$14=26,14,7)))</f>
        <v/>
      </c>
      <c r="C420" s="2" t="str">
        <f t="shared" si="20"/>
        <v/>
      </c>
      <c r="D420" s="2" t="str">
        <f>IF(A420="","",MIN('Loan Inputs'!$B$17,C420+E420)+H420)</f>
        <v/>
      </c>
      <c r="E420" s="2" t="str">
        <f>IF(A420="","",C420*'Loan Inputs'!$B$15)</f>
        <v/>
      </c>
      <c r="F420" s="2" t="str">
        <f t="shared" si="18"/>
        <v/>
      </c>
      <c r="G420" s="2" t="str">
        <f t="shared" si="19"/>
        <v/>
      </c>
      <c r="H420" s="2" t="str">
        <f>IF(A420="","",MIN(0,MAX(0,C420+E420-'Loan Inputs'!$B$17)))</f>
        <v/>
      </c>
    </row>
    <row r="421" spans="1:8" ht="22" customHeight="1">
      <c r="A421" s="1" t="str">
        <f>IF(AND('Loan Inputs'!$B$12,415&lt;=IF('Loan Inputs'!$B$12,'Loan Inputs'!$B$7,0)*'Loan Inputs'!$B$14+0,ISNUMBER(G420),G420&gt;0),415,"")</f>
        <v/>
      </c>
      <c r="B421" s="4" t="str">
        <f>IF(A421="","",IF('Loan Inputs'!$B$14=12,DATE(YEAR('Loan Inputs'!$B$8),MONTH('Loan Inputs'!$B$8)+A421,DAY('Loan Inputs'!$B$8)),'Loan Inputs'!$B$8+A421*IF('Loan Inputs'!$B$14=26,14,7)))</f>
        <v/>
      </c>
      <c r="C421" s="2" t="str">
        <f t="shared" si="20"/>
        <v/>
      </c>
      <c r="D421" s="2" t="str">
        <f>IF(A421="","",MIN('Loan Inputs'!$B$17,C421+E421)+H421)</f>
        <v/>
      </c>
      <c r="E421" s="2" t="str">
        <f>IF(A421="","",C421*'Loan Inputs'!$B$15)</f>
        <v/>
      </c>
      <c r="F421" s="2" t="str">
        <f t="shared" si="18"/>
        <v/>
      </c>
      <c r="G421" s="2" t="str">
        <f t="shared" si="19"/>
        <v/>
      </c>
      <c r="H421" s="2" t="str">
        <f>IF(A421="","",MIN(0,MAX(0,C421+E421-'Loan Inputs'!$B$17)))</f>
        <v/>
      </c>
    </row>
    <row r="422" spans="1:8" ht="22" customHeight="1">
      <c r="A422" s="1" t="str">
        <f>IF(AND('Loan Inputs'!$B$12,416&lt;=IF('Loan Inputs'!$B$12,'Loan Inputs'!$B$7,0)*'Loan Inputs'!$B$14+0,ISNUMBER(G421),G421&gt;0),416,"")</f>
        <v/>
      </c>
      <c r="B422" s="4" t="str">
        <f>IF(A422="","",IF('Loan Inputs'!$B$14=12,DATE(YEAR('Loan Inputs'!$B$8),MONTH('Loan Inputs'!$B$8)+A422,DAY('Loan Inputs'!$B$8)),'Loan Inputs'!$B$8+A422*IF('Loan Inputs'!$B$14=26,14,7)))</f>
        <v/>
      </c>
      <c r="C422" s="2" t="str">
        <f t="shared" si="20"/>
        <v/>
      </c>
      <c r="D422" s="2" t="str">
        <f>IF(A422="","",MIN('Loan Inputs'!$B$17,C422+E422)+H422)</f>
        <v/>
      </c>
      <c r="E422" s="2" t="str">
        <f>IF(A422="","",C422*'Loan Inputs'!$B$15)</f>
        <v/>
      </c>
      <c r="F422" s="2" t="str">
        <f t="shared" si="18"/>
        <v/>
      </c>
      <c r="G422" s="2" t="str">
        <f t="shared" si="19"/>
        <v/>
      </c>
      <c r="H422" s="2" t="str">
        <f>IF(A422="","",MIN(0,MAX(0,C422+E422-'Loan Inputs'!$B$17)))</f>
        <v/>
      </c>
    </row>
    <row r="423" spans="1:8" ht="22" customHeight="1">
      <c r="A423" s="1" t="str">
        <f>IF(AND('Loan Inputs'!$B$12,417&lt;=IF('Loan Inputs'!$B$12,'Loan Inputs'!$B$7,0)*'Loan Inputs'!$B$14+0,ISNUMBER(G422),G422&gt;0),417,"")</f>
        <v/>
      </c>
      <c r="B423" s="4" t="str">
        <f>IF(A423="","",IF('Loan Inputs'!$B$14=12,DATE(YEAR('Loan Inputs'!$B$8),MONTH('Loan Inputs'!$B$8)+A423,DAY('Loan Inputs'!$B$8)),'Loan Inputs'!$B$8+A423*IF('Loan Inputs'!$B$14=26,14,7)))</f>
        <v/>
      </c>
      <c r="C423" s="2" t="str">
        <f t="shared" si="20"/>
        <v/>
      </c>
      <c r="D423" s="2" t="str">
        <f>IF(A423="","",MIN('Loan Inputs'!$B$17,C423+E423)+H423)</f>
        <v/>
      </c>
      <c r="E423" s="2" t="str">
        <f>IF(A423="","",C423*'Loan Inputs'!$B$15)</f>
        <v/>
      </c>
      <c r="F423" s="2" t="str">
        <f t="shared" si="18"/>
        <v/>
      </c>
      <c r="G423" s="2" t="str">
        <f t="shared" si="19"/>
        <v/>
      </c>
      <c r="H423" s="2" t="str">
        <f>IF(A423="","",MIN(0,MAX(0,C423+E423-'Loan Inputs'!$B$17)))</f>
        <v/>
      </c>
    </row>
    <row r="424" spans="1:8" ht="22" customHeight="1">
      <c r="A424" s="1" t="str">
        <f>IF(AND('Loan Inputs'!$B$12,418&lt;=IF('Loan Inputs'!$B$12,'Loan Inputs'!$B$7,0)*'Loan Inputs'!$B$14+0,ISNUMBER(G423),G423&gt;0),418,"")</f>
        <v/>
      </c>
      <c r="B424" s="4" t="str">
        <f>IF(A424="","",IF('Loan Inputs'!$B$14=12,DATE(YEAR('Loan Inputs'!$B$8),MONTH('Loan Inputs'!$B$8)+A424,DAY('Loan Inputs'!$B$8)),'Loan Inputs'!$B$8+A424*IF('Loan Inputs'!$B$14=26,14,7)))</f>
        <v/>
      </c>
      <c r="C424" s="2" t="str">
        <f t="shared" si="20"/>
        <v/>
      </c>
      <c r="D424" s="2" t="str">
        <f>IF(A424="","",MIN('Loan Inputs'!$B$17,C424+E424)+H424)</f>
        <v/>
      </c>
      <c r="E424" s="2" t="str">
        <f>IF(A424="","",C424*'Loan Inputs'!$B$15)</f>
        <v/>
      </c>
      <c r="F424" s="2" t="str">
        <f t="shared" si="18"/>
        <v/>
      </c>
      <c r="G424" s="2" t="str">
        <f t="shared" si="19"/>
        <v/>
      </c>
      <c r="H424" s="2" t="str">
        <f>IF(A424="","",MIN(0,MAX(0,C424+E424-'Loan Inputs'!$B$17)))</f>
        <v/>
      </c>
    </row>
    <row r="425" spans="1:8" ht="22" customHeight="1">
      <c r="A425" s="1" t="str">
        <f>IF(AND('Loan Inputs'!$B$12,419&lt;=IF('Loan Inputs'!$B$12,'Loan Inputs'!$B$7,0)*'Loan Inputs'!$B$14+0,ISNUMBER(G424),G424&gt;0),419,"")</f>
        <v/>
      </c>
      <c r="B425" s="4" t="str">
        <f>IF(A425="","",IF('Loan Inputs'!$B$14=12,DATE(YEAR('Loan Inputs'!$B$8),MONTH('Loan Inputs'!$B$8)+A425,DAY('Loan Inputs'!$B$8)),'Loan Inputs'!$B$8+A425*IF('Loan Inputs'!$B$14=26,14,7)))</f>
        <v/>
      </c>
      <c r="C425" s="2" t="str">
        <f t="shared" si="20"/>
        <v/>
      </c>
      <c r="D425" s="2" t="str">
        <f>IF(A425="","",MIN('Loan Inputs'!$B$17,C425+E425)+H425)</f>
        <v/>
      </c>
      <c r="E425" s="2" t="str">
        <f>IF(A425="","",C425*'Loan Inputs'!$B$15)</f>
        <v/>
      </c>
      <c r="F425" s="2" t="str">
        <f t="shared" si="18"/>
        <v/>
      </c>
      <c r="G425" s="2" t="str">
        <f t="shared" si="19"/>
        <v/>
      </c>
      <c r="H425" s="2" t="str">
        <f>IF(A425="","",MIN(0,MAX(0,C425+E425-'Loan Inputs'!$B$17)))</f>
        <v/>
      </c>
    </row>
    <row r="426" spans="1:8" ht="22" customHeight="1">
      <c r="A426" s="1" t="str">
        <f>IF(AND('Loan Inputs'!$B$12,420&lt;=IF('Loan Inputs'!$B$12,'Loan Inputs'!$B$7,0)*'Loan Inputs'!$B$14+0,ISNUMBER(G425),G425&gt;0),420,"")</f>
        <v/>
      </c>
      <c r="B426" s="4" t="str">
        <f>IF(A426="","",IF('Loan Inputs'!$B$14=12,DATE(YEAR('Loan Inputs'!$B$8),MONTH('Loan Inputs'!$B$8)+A426,DAY('Loan Inputs'!$B$8)),'Loan Inputs'!$B$8+A426*IF('Loan Inputs'!$B$14=26,14,7)))</f>
        <v/>
      </c>
      <c r="C426" s="2" t="str">
        <f t="shared" si="20"/>
        <v/>
      </c>
      <c r="D426" s="2" t="str">
        <f>IF(A426="","",MIN('Loan Inputs'!$B$17,C426+E426)+H426)</f>
        <v/>
      </c>
      <c r="E426" s="2" t="str">
        <f>IF(A426="","",C426*'Loan Inputs'!$B$15)</f>
        <v/>
      </c>
      <c r="F426" s="2" t="str">
        <f t="shared" si="18"/>
        <v/>
      </c>
      <c r="G426" s="2" t="str">
        <f t="shared" si="19"/>
        <v/>
      </c>
      <c r="H426" s="2" t="str">
        <f>IF(A426="","",MIN(0,MAX(0,C426+E426-'Loan Inputs'!$B$17)))</f>
        <v/>
      </c>
    </row>
    <row r="427" spans="1:8" ht="22" customHeight="1">
      <c r="A427" s="1" t="str">
        <f>IF(AND('Loan Inputs'!$B$12,421&lt;=IF('Loan Inputs'!$B$12,'Loan Inputs'!$B$7,0)*'Loan Inputs'!$B$14+0,ISNUMBER(G426),G426&gt;0),421,"")</f>
        <v/>
      </c>
      <c r="B427" s="4" t="str">
        <f>IF(A427="","",IF('Loan Inputs'!$B$14=12,DATE(YEAR('Loan Inputs'!$B$8),MONTH('Loan Inputs'!$B$8)+A427,DAY('Loan Inputs'!$B$8)),'Loan Inputs'!$B$8+A427*IF('Loan Inputs'!$B$14=26,14,7)))</f>
        <v/>
      </c>
      <c r="C427" s="2" t="str">
        <f t="shared" si="20"/>
        <v/>
      </c>
      <c r="D427" s="2" t="str">
        <f>IF(A427="","",MIN('Loan Inputs'!$B$17,C427+E427)+H427)</f>
        <v/>
      </c>
      <c r="E427" s="2" t="str">
        <f>IF(A427="","",C427*'Loan Inputs'!$B$15)</f>
        <v/>
      </c>
      <c r="F427" s="2" t="str">
        <f t="shared" si="18"/>
        <v/>
      </c>
      <c r="G427" s="2" t="str">
        <f t="shared" si="19"/>
        <v/>
      </c>
      <c r="H427" s="2" t="str">
        <f>IF(A427="","",MIN(0,MAX(0,C427+E427-'Loan Inputs'!$B$17)))</f>
        <v/>
      </c>
    </row>
    <row r="428" spans="1:8" ht="22" customHeight="1">
      <c r="A428" s="1" t="str">
        <f>IF(AND('Loan Inputs'!$B$12,422&lt;=IF('Loan Inputs'!$B$12,'Loan Inputs'!$B$7,0)*'Loan Inputs'!$B$14+0,ISNUMBER(G427),G427&gt;0),422,"")</f>
        <v/>
      </c>
      <c r="B428" s="4" t="str">
        <f>IF(A428="","",IF('Loan Inputs'!$B$14=12,DATE(YEAR('Loan Inputs'!$B$8),MONTH('Loan Inputs'!$B$8)+A428,DAY('Loan Inputs'!$B$8)),'Loan Inputs'!$B$8+A428*IF('Loan Inputs'!$B$14=26,14,7)))</f>
        <v/>
      </c>
      <c r="C428" s="2" t="str">
        <f t="shared" si="20"/>
        <v/>
      </c>
      <c r="D428" s="2" t="str">
        <f>IF(A428="","",MIN('Loan Inputs'!$B$17,C428+E428)+H428)</f>
        <v/>
      </c>
      <c r="E428" s="2" t="str">
        <f>IF(A428="","",C428*'Loan Inputs'!$B$15)</f>
        <v/>
      </c>
      <c r="F428" s="2" t="str">
        <f t="shared" si="18"/>
        <v/>
      </c>
      <c r="G428" s="2" t="str">
        <f t="shared" si="19"/>
        <v/>
      </c>
      <c r="H428" s="2" t="str">
        <f>IF(A428="","",MIN(0,MAX(0,C428+E428-'Loan Inputs'!$B$17)))</f>
        <v/>
      </c>
    </row>
    <row r="429" spans="1:8" ht="22" customHeight="1">
      <c r="A429" s="1" t="str">
        <f>IF(AND('Loan Inputs'!$B$12,423&lt;=IF('Loan Inputs'!$B$12,'Loan Inputs'!$B$7,0)*'Loan Inputs'!$B$14+0,ISNUMBER(G428),G428&gt;0),423,"")</f>
        <v/>
      </c>
      <c r="B429" s="4" t="str">
        <f>IF(A429="","",IF('Loan Inputs'!$B$14=12,DATE(YEAR('Loan Inputs'!$B$8),MONTH('Loan Inputs'!$B$8)+A429,DAY('Loan Inputs'!$B$8)),'Loan Inputs'!$B$8+A429*IF('Loan Inputs'!$B$14=26,14,7)))</f>
        <v/>
      </c>
      <c r="C429" s="2" t="str">
        <f t="shared" si="20"/>
        <v/>
      </c>
      <c r="D429" s="2" t="str">
        <f>IF(A429="","",MIN('Loan Inputs'!$B$17,C429+E429)+H429)</f>
        <v/>
      </c>
      <c r="E429" s="2" t="str">
        <f>IF(A429="","",C429*'Loan Inputs'!$B$15)</f>
        <v/>
      </c>
      <c r="F429" s="2" t="str">
        <f t="shared" si="18"/>
        <v/>
      </c>
      <c r="G429" s="2" t="str">
        <f t="shared" si="19"/>
        <v/>
      </c>
      <c r="H429" s="2" t="str">
        <f>IF(A429="","",MIN(0,MAX(0,C429+E429-'Loan Inputs'!$B$17)))</f>
        <v/>
      </c>
    </row>
    <row r="430" spans="1:8" ht="22" customHeight="1">
      <c r="A430" s="1" t="str">
        <f>IF(AND('Loan Inputs'!$B$12,424&lt;=IF('Loan Inputs'!$B$12,'Loan Inputs'!$B$7,0)*'Loan Inputs'!$B$14+0,ISNUMBER(G429),G429&gt;0),424,"")</f>
        <v/>
      </c>
      <c r="B430" s="4" t="str">
        <f>IF(A430="","",IF('Loan Inputs'!$B$14=12,DATE(YEAR('Loan Inputs'!$B$8),MONTH('Loan Inputs'!$B$8)+A430,DAY('Loan Inputs'!$B$8)),'Loan Inputs'!$B$8+A430*IF('Loan Inputs'!$B$14=26,14,7)))</f>
        <v/>
      </c>
      <c r="C430" s="2" t="str">
        <f t="shared" si="20"/>
        <v/>
      </c>
      <c r="D430" s="2" t="str">
        <f>IF(A430="","",MIN('Loan Inputs'!$B$17,C430+E430)+H430)</f>
        <v/>
      </c>
      <c r="E430" s="2" t="str">
        <f>IF(A430="","",C430*'Loan Inputs'!$B$15)</f>
        <v/>
      </c>
      <c r="F430" s="2" t="str">
        <f t="shared" si="18"/>
        <v/>
      </c>
      <c r="G430" s="2" t="str">
        <f t="shared" si="19"/>
        <v/>
      </c>
      <c r="H430" s="2" t="str">
        <f>IF(A430="","",MIN(0,MAX(0,C430+E430-'Loan Inputs'!$B$17)))</f>
        <v/>
      </c>
    </row>
    <row r="431" spans="1:8" ht="22" customHeight="1">
      <c r="A431" s="1" t="str">
        <f>IF(AND('Loan Inputs'!$B$12,425&lt;=IF('Loan Inputs'!$B$12,'Loan Inputs'!$B$7,0)*'Loan Inputs'!$B$14+0,ISNUMBER(G430),G430&gt;0),425,"")</f>
        <v/>
      </c>
      <c r="B431" s="4" t="str">
        <f>IF(A431="","",IF('Loan Inputs'!$B$14=12,DATE(YEAR('Loan Inputs'!$B$8),MONTH('Loan Inputs'!$B$8)+A431,DAY('Loan Inputs'!$B$8)),'Loan Inputs'!$B$8+A431*IF('Loan Inputs'!$B$14=26,14,7)))</f>
        <v/>
      </c>
      <c r="C431" s="2" t="str">
        <f t="shared" si="20"/>
        <v/>
      </c>
      <c r="D431" s="2" t="str">
        <f>IF(A431="","",MIN('Loan Inputs'!$B$17,C431+E431)+H431)</f>
        <v/>
      </c>
      <c r="E431" s="2" t="str">
        <f>IF(A431="","",C431*'Loan Inputs'!$B$15)</f>
        <v/>
      </c>
      <c r="F431" s="2" t="str">
        <f t="shared" si="18"/>
        <v/>
      </c>
      <c r="G431" s="2" t="str">
        <f t="shared" si="19"/>
        <v/>
      </c>
      <c r="H431" s="2" t="str">
        <f>IF(A431="","",MIN(0,MAX(0,C431+E431-'Loan Inputs'!$B$17)))</f>
        <v/>
      </c>
    </row>
    <row r="432" spans="1:8" ht="22" customHeight="1">
      <c r="A432" s="1" t="str">
        <f>IF(AND('Loan Inputs'!$B$12,426&lt;=IF('Loan Inputs'!$B$12,'Loan Inputs'!$B$7,0)*'Loan Inputs'!$B$14+0,ISNUMBER(G431),G431&gt;0),426,"")</f>
        <v/>
      </c>
      <c r="B432" s="4" t="str">
        <f>IF(A432="","",IF('Loan Inputs'!$B$14=12,DATE(YEAR('Loan Inputs'!$B$8),MONTH('Loan Inputs'!$B$8)+A432,DAY('Loan Inputs'!$B$8)),'Loan Inputs'!$B$8+A432*IF('Loan Inputs'!$B$14=26,14,7)))</f>
        <v/>
      </c>
      <c r="C432" s="2" t="str">
        <f t="shared" si="20"/>
        <v/>
      </c>
      <c r="D432" s="2" t="str">
        <f>IF(A432="","",MIN('Loan Inputs'!$B$17,C432+E432)+H432)</f>
        <v/>
      </c>
      <c r="E432" s="2" t="str">
        <f>IF(A432="","",C432*'Loan Inputs'!$B$15)</f>
        <v/>
      </c>
      <c r="F432" s="2" t="str">
        <f t="shared" si="18"/>
        <v/>
      </c>
      <c r="G432" s="2" t="str">
        <f t="shared" si="19"/>
        <v/>
      </c>
      <c r="H432" s="2" t="str">
        <f>IF(A432="","",MIN(0,MAX(0,C432+E432-'Loan Inputs'!$B$17)))</f>
        <v/>
      </c>
    </row>
    <row r="433" spans="1:8" ht="22" customHeight="1">
      <c r="A433" s="1" t="str">
        <f>IF(AND('Loan Inputs'!$B$12,427&lt;=IF('Loan Inputs'!$B$12,'Loan Inputs'!$B$7,0)*'Loan Inputs'!$B$14+0,ISNUMBER(G432),G432&gt;0),427,"")</f>
        <v/>
      </c>
      <c r="B433" s="4" t="str">
        <f>IF(A433="","",IF('Loan Inputs'!$B$14=12,DATE(YEAR('Loan Inputs'!$B$8),MONTH('Loan Inputs'!$B$8)+A433,DAY('Loan Inputs'!$B$8)),'Loan Inputs'!$B$8+A433*IF('Loan Inputs'!$B$14=26,14,7)))</f>
        <v/>
      </c>
      <c r="C433" s="2" t="str">
        <f t="shared" si="20"/>
        <v/>
      </c>
      <c r="D433" s="2" t="str">
        <f>IF(A433="","",MIN('Loan Inputs'!$B$17,C433+E433)+H433)</f>
        <v/>
      </c>
      <c r="E433" s="2" t="str">
        <f>IF(A433="","",C433*'Loan Inputs'!$B$15)</f>
        <v/>
      </c>
      <c r="F433" s="2" t="str">
        <f t="shared" si="18"/>
        <v/>
      </c>
      <c r="G433" s="2" t="str">
        <f t="shared" si="19"/>
        <v/>
      </c>
      <c r="H433" s="2" t="str">
        <f>IF(A433="","",MIN(0,MAX(0,C433+E433-'Loan Inputs'!$B$17)))</f>
        <v/>
      </c>
    </row>
    <row r="434" spans="1:8" ht="22" customHeight="1">
      <c r="A434" s="1" t="str">
        <f>IF(AND('Loan Inputs'!$B$12,428&lt;=IF('Loan Inputs'!$B$12,'Loan Inputs'!$B$7,0)*'Loan Inputs'!$B$14+0,ISNUMBER(G433),G433&gt;0),428,"")</f>
        <v/>
      </c>
      <c r="B434" s="4" t="str">
        <f>IF(A434="","",IF('Loan Inputs'!$B$14=12,DATE(YEAR('Loan Inputs'!$B$8),MONTH('Loan Inputs'!$B$8)+A434,DAY('Loan Inputs'!$B$8)),'Loan Inputs'!$B$8+A434*IF('Loan Inputs'!$B$14=26,14,7)))</f>
        <v/>
      </c>
      <c r="C434" s="2" t="str">
        <f t="shared" si="20"/>
        <v/>
      </c>
      <c r="D434" s="2" t="str">
        <f>IF(A434="","",MIN('Loan Inputs'!$B$17,C434+E434)+H434)</f>
        <v/>
      </c>
      <c r="E434" s="2" t="str">
        <f>IF(A434="","",C434*'Loan Inputs'!$B$15)</f>
        <v/>
      </c>
      <c r="F434" s="2" t="str">
        <f t="shared" si="18"/>
        <v/>
      </c>
      <c r="G434" s="2" t="str">
        <f t="shared" si="19"/>
        <v/>
      </c>
      <c r="H434" s="2" t="str">
        <f>IF(A434="","",MIN(0,MAX(0,C434+E434-'Loan Inputs'!$B$17)))</f>
        <v/>
      </c>
    </row>
    <row r="435" spans="1:8" ht="22" customHeight="1">
      <c r="A435" s="1" t="str">
        <f>IF(AND('Loan Inputs'!$B$12,429&lt;=IF('Loan Inputs'!$B$12,'Loan Inputs'!$B$7,0)*'Loan Inputs'!$B$14+0,ISNUMBER(G434),G434&gt;0),429,"")</f>
        <v/>
      </c>
      <c r="B435" s="4" t="str">
        <f>IF(A435="","",IF('Loan Inputs'!$B$14=12,DATE(YEAR('Loan Inputs'!$B$8),MONTH('Loan Inputs'!$B$8)+A435,DAY('Loan Inputs'!$B$8)),'Loan Inputs'!$B$8+A435*IF('Loan Inputs'!$B$14=26,14,7)))</f>
        <v/>
      </c>
      <c r="C435" s="2" t="str">
        <f t="shared" si="20"/>
        <v/>
      </c>
      <c r="D435" s="2" t="str">
        <f>IF(A435="","",MIN('Loan Inputs'!$B$17,C435+E435)+H435)</f>
        <v/>
      </c>
      <c r="E435" s="2" t="str">
        <f>IF(A435="","",C435*'Loan Inputs'!$B$15)</f>
        <v/>
      </c>
      <c r="F435" s="2" t="str">
        <f t="shared" si="18"/>
        <v/>
      </c>
      <c r="G435" s="2" t="str">
        <f t="shared" si="19"/>
        <v/>
      </c>
      <c r="H435" s="2" t="str">
        <f>IF(A435="","",MIN(0,MAX(0,C435+E435-'Loan Inputs'!$B$17)))</f>
        <v/>
      </c>
    </row>
    <row r="436" spans="1:8" ht="22" customHeight="1">
      <c r="A436" s="1" t="str">
        <f>IF(AND('Loan Inputs'!$B$12,430&lt;=IF('Loan Inputs'!$B$12,'Loan Inputs'!$B$7,0)*'Loan Inputs'!$B$14+0,ISNUMBER(G435),G435&gt;0),430,"")</f>
        <v/>
      </c>
      <c r="B436" s="4" t="str">
        <f>IF(A436="","",IF('Loan Inputs'!$B$14=12,DATE(YEAR('Loan Inputs'!$B$8),MONTH('Loan Inputs'!$B$8)+A436,DAY('Loan Inputs'!$B$8)),'Loan Inputs'!$B$8+A436*IF('Loan Inputs'!$B$14=26,14,7)))</f>
        <v/>
      </c>
      <c r="C436" s="2" t="str">
        <f t="shared" si="20"/>
        <v/>
      </c>
      <c r="D436" s="2" t="str">
        <f>IF(A436="","",MIN('Loan Inputs'!$B$17,C436+E436)+H436)</f>
        <v/>
      </c>
      <c r="E436" s="2" t="str">
        <f>IF(A436="","",C436*'Loan Inputs'!$B$15)</f>
        <v/>
      </c>
      <c r="F436" s="2" t="str">
        <f t="shared" si="18"/>
        <v/>
      </c>
      <c r="G436" s="2" t="str">
        <f t="shared" si="19"/>
        <v/>
      </c>
      <c r="H436" s="2" t="str">
        <f>IF(A436="","",MIN(0,MAX(0,C436+E436-'Loan Inputs'!$B$17)))</f>
        <v/>
      </c>
    </row>
    <row r="437" spans="1:8" ht="22" customHeight="1">
      <c r="A437" s="1" t="str">
        <f>IF(AND('Loan Inputs'!$B$12,431&lt;=IF('Loan Inputs'!$B$12,'Loan Inputs'!$B$7,0)*'Loan Inputs'!$B$14+0,ISNUMBER(G436),G436&gt;0),431,"")</f>
        <v/>
      </c>
      <c r="B437" s="4" t="str">
        <f>IF(A437="","",IF('Loan Inputs'!$B$14=12,DATE(YEAR('Loan Inputs'!$B$8),MONTH('Loan Inputs'!$B$8)+A437,DAY('Loan Inputs'!$B$8)),'Loan Inputs'!$B$8+A437*IF('Loan Inputs'!$B$14=26,14,7)))</f>
        <v/>
      </c>
      <c r="C437" s="2" t="str">
        <f t="shared" si="20"/>
        <v/>
      </c>
      <c r="D437" s="2" t="str">
        <f>IF(A437="","",MIN('Loan Inputs'!$B$17,C437+E437)+H437)</f>
        <v/>
      </c>
      <c r="E437" s="2" t="str">
        <f>IF(A437="","",C437*'Loan Inputs'!$B$15)</f>
        <v/>
      </c>
      <c r="F437" s="2" t="str">
        <f t="shared" si="18"/>
        <v/>
      </c>
      <c r="G437" s="2" t="str">
        <f t="shared" si="19"/>
        <v/>
      </c>
      <c r="H437" s="2" t="str">
        <f>IF(A437="","",MIN(0,MAX(0,C437+E437-'Loan Inputs'!$B$17)))</f>
        <v/>
      </c>
    </row>
    <row r="438" spans="1:8" ht="22" customHeight="1">
      <c r="A438" s="1" t="str">
        <f>IF(AND('Loan Inputs'!$B$12,432&lt;=IF('Loan Inputs'!$B$12,'Loan Inputs'!$B$7,0)*'Loan Inputs'!$B$14+0,ISNUMBER(G437),G437&gt;0),432,"")</f>
        <v/>
      </c>
      <c r="B438" s="4" t="str">
        <f>IF(A438="","",IF('Loan Inputs'!$B$14=12,DATE(YEAR('Loan Inputs'!$B$8),MONTH('Loan Inputs'!$B$8)+A438,DAY('Loan Inputs'!$B$8)),'Loan Inputs'!$B$8+A438*IF('Loan Inputs'!$B$14=26,14,7)))</f>
        <v/>
      </c>
      <c r="C438" s="2" t="str">
        <f t="shared" si="20"/>
        <v/>
      </c>
      <c r="D438" s="2" t="str">
        <f>IF(A438="","",MIN('Loan Inputs'!$B$17,C438+E438)+H438)</f>
        <v/>
      </c>
      <c r="E438" s="2" t="str">
        <f>IF(A438="","",C438*'Loan Inputs'!$B$15)</f>
        <v/>
      </c>
      <c r="F438" s="2" t="str">
        <f t="shared" si="18"/>
        <v/>
      </c>
      <c r="G438" s="2" t="str">
        <f t="shared" si="19"/>
        <v/>
      </c>
      <c r="H438" s="2" t="str">
        <f>IF(A438="","",MIN(0,MAX(0,C438+E438-'Loan Inputs'!$B$17)))</f>
        <v/>
      </c>
    </row>
    <row r="439" spans="1:8" ht="22" customHeight="1">
      <c r="A439" s="1" t="str">
        <f>IF(AND('Loan Inputs'!$B$12,433&lt;=IF('Loan Inputs'!$B$12,'Loan Inputs'!$B$7,0)*'Loan Inputs'!$B$14+0,ISNUMBER(G438),G438&gt;0),433,"")</f>
        <v/>
      </c>
      <c r="B439" s="4" t="str">
        <f>IF(A439="","",IF('Loan Inputs'!$B$14=12,DATE(YEAR('Loan Inputs'!$B$8),MONTH('Loan Inputs'!$B$8)+A439,DAY('Loan Inputs'!$B$8)),'Loan Inputs'!$B$8+A439*IF('Loan Inputs'!$B$14=26,14,7)))</f>
        <v/>
      </c>
      <c r="C439" s="2" t="str">
        <f t="shared" si="20"/>
        <v/>
      </c>
      <c r="D439" s="2" t="str">
        <f>IF(A439="","",MIN('Loan Inputs'!$B$17,C439+E439)+H439)</f>
        <v/>
      </c>
      <c r="E439" s="2" t="str">
        <f>IF(A439="","",C439*'Loan Inputs'!$B$15)</f>
        <v/>
      </c>
      <c r="F439" s="2" t="str">
        <f t="shared" si="18"/>
        <v/>
      </c>
      <c r="G439" s="2" t="str">
        <f t="shared" si="19"/>
        <v/>
      </c>
      <c r="H439" s="2" t="str">
        <f>IF(A439="","",MIN(0,MAX(0,C439+E439-'Loan Inputs'!$B$17)))</f>
        <v/>
      </c>
    </row>
    <row r="440" spans="1:8" ht="22" customHeight="1">
      <c r="A440" s="1" t="str">
        <f>IF(AND('Loan Inputs'!$B$12,434&lt;=IF('Loan Inputs'!$B$12,'Loan Inputs'!$B$7,0)*'Loan Inputs'!$B$14+0,ISNUMBER(G439),G439&gt;0),434,"")</f>
        <v/>
      </c>
      <c r="B440" s="4" t="str">
        <f>IF(A440="","",IF('Loan Inputs'!$B$14=12,DATE(YEAR('Loan Inputs'!$B$8),MONTH('Loan Inputs'!$B$8)+A440,DAY('Loan Inputs'!$B$8)),'Loan Inputs'!$B$8+A440*IF('Loan Inputs'!$B$14=26,14,7)))</f>
        <v/>
      </c>
      <c r="C440" s="2" t="str">
        <f t="shared" si="20"/>
        <v/>
      </c>
      <c r="D440" s="2" t="str">
        <f>IF(A440="","",MIN('Loan Inputs'!$B$17,C440+E440)+H440)</f>
        <v/>
      </c>
      <c r="E440" s="2" t="str">
        <f>IF(A440="","",C440*'Loan Inputs'!$B$15)</f>
        <v/>
      </c>
      <c r="F440" s="2" t="str">
        <f t="shared" si="18"/>
        <v/>
      </c>
      <c r="G440" s="2" t="str">
        <f t="shared" si="19"/>
        <v/>
      </c>
      <c r="H440" s="2" t="str">
        <f>IF(A440="","",MIN(0,MAX(0,C440+E440-'Loan Inputs'!$B$17)))</f>
        <v/>
      </c>
    </row>
    <row r="441" spans="1:8" ht="22" customHeight="1">
      <c r="A441" s="1" t="str">
        <f>IF(AND('Loan Inputs'!$B$12,435&lt;=IF('Loan Inputs'!$B$12,'Loan Inputs'!$B$7,0)*'Loan Inputs'!$B$14+0,ISNUMBER(G440),G440&gt;0),435,"")</f>
        <v/>
      </c>
      <c r="B441" s="4" t="str">
        <f>IF(A441="","",IF('Loan Inputs'!$B$14=12,DATE(YEAR('Loan Inputs'!$B$8),MONTH('Loan Inputs'!$B$8)+A441,DAY('Loan Inputs'!$B$8)),'Loan Inputs'!$B$8+A441*IF('Loan Inputs'!$B$14=26,14,7)))</f>
        <v/>
      </c>
      <c r="C441" s="2" t="str">
        <f t="shared" si="20"/>
        <v/>
      </c>
      <c r="D441" s="2" t="str">
        <f>IF(A441="","",MIN('Loan Inputs'!$B$17,C441+E441)+H441)</f>
        <v/>
      </c>
      <c r="E441" s="2" t="str">
        <f>IF(A441="","",C441*'Loan Inputs'!$B$15)</f>
        <v/>
      </c>
      <c r="F441" s="2" t="str">
        <f t="shared" si="18"/>
        <v/>
      </c>
      <c r="G441" s="2" t="str">
        <f t="shared" si="19"/>
        <v/>
      </c>
      <c r="H441" s="2" t="str">
        <f>IF(A441="","",MIN(0,MAX(0,C441+E441-'Loan Inputs'!$B$17)))</f>
        <v/>
      </c>
    </row>
    <row r="442" spans="1:8" ht="22" customHeight="1">
      <c r="A442" s="1" t="str">
        <f>IF(AND('Loan Inputs'!$B$12,436&lt;=IF('Loan Inputs'!$B$12,'Loan Inputs'!$B$7,0)*'Loan Inputs'!$B$14+0,ISNUMBER(G441),G441&gt;0),436,"")</f>
        <v/>
      </c>
      <c r="B442" s="4" t="str">
        <f>IF(A442="","",IF('Loan Inputs'!$B$14=12,DATE(YEAR('Loan Inputs'!$B$8),MONTH('Loan Inputs'!$B$8)+A442,DAY('Loan Inputs'!$B$8)),'Loan Inputs'!$B$8+A442*IF('Loan Inputs'!$B$14=26,14,7)))</f>
        <v/>
      </c>
      <c r="C442" s="2" t="str">
        <f t="shared" si="20"/>
        <v/>
      </c>
      <c r="D442" s="2" t="str">
        <f>IF(A442="","",MIN('Loan Inputs'!$B$17,C442+E442)+H442)</f>
        <v/>
      </c>
      <c r="E442" s="2" t="str">
        <f>IF(A442="","",C442*'Loan Inputs'!$B$15)</f>
        <v/>
      </c>
      <c r="F442" s="2" t="str">
        <f t="shared" si="18"/>
        <v/>
      </c>
      <c r="G442" s="2" t="str">
        <f t="shared" si="19"/>
        <v/>
      </c>
      <c r="H442" s="2" t="str">
        <f>IF(A442="","",MIN(0,MAX(0,C442+E442-'Loan Inputs'!$B$17)))</f>
        <v/>
      </c>
    </row>
    <row r="443" spans="1:8" ht="22" customHeight="1">
      <c r="A443" s="1" t="str">
        <f>IF(AND('Loan Inputs'!$B$12,437&lt;=IF('Loan Inputs'!$B$12,'Loan Inputs'!$B$7,0)*'Loan Inputs'!$B$14+0,ISNUMBER(G442),G442&gt;0),437,"")</f>
        <v/>
      </c>
      <c r="B443" s="4" t="str">
        <f>IF(A443="","",IF('Loan Inputs'!$B$14=12,DATE(YEAR('Loan Inputs'!$B$8),MONTH('Loan Inputs'!$B$8)+A443,DAY('Loan Inputs'!$B$8)),'Loan Inputs'!$B$8+A443*IF('Loan Inputs'!$B$14=26,14,7)))</f>
        <v/>
      </c>
      <c r="C443" s="2" t="str">
        <f t="shared" si="20"/>
        <v/>
      </c>
      <c r="D443" s="2" t="str">
        <f>IF(A443="","",MIN('Loan Inputs'!$B$17,C443+E443)+H443)</f>
        <v/>
      </c>
      <c r="E443" s="2" t="str">
        <f>IF(A443="","",C443*'Loan Inputs'!$B$15)</f>
        <v/>
      </c>
      <c r="F443" s="2" t="str">
        <f t="shared" si="18"/>
        <v/>
      </c>
      <c r="G443" s="2" t="str">
        <f t="shared" si="19"/>
        <v/>
      </c>
      <c r="H443" s="2" t="str">
        <f>IF(A443="","",MIN(0,MAX(0,C443+E443-'Loan Inputs'!$B$17)))</f>
        <v/>
      </c>
    </row>
    <row r="444" spans="1:8" ht="22" customHeight="1">
      <c r="A444" s="1" t="str">
        <f>IF(AND('Loan Inputs'!$B$12,438&lt;=IF('Loan Inputs'!$B$12,'Loan Inputs'!$B$7,0)*'Loan Inputs'!$B$14+0,ISNUMBER(G443),G443&gt;0),438,"")</f>
        <v/>
      </c>
      <c r="B444" s="4" t="str">
        <f>IF(A444="","",IF('Loan Inputs'!$B$14=12,DATE(YEAR('Loan Inputs'!$B$8),MONTH('Loan Inputs'!$B$8)+A444,DAY('Loan Inputs'!$B$8)),'Loan Inputs'!$B$8+A444*IF('Loan Inputs'!$B$14=26,14,7)))</f>
        <v/>
      </c>
      <c r="C444" s="2" t="str">
        <f t="shared" si="20"/>
        <v/>
      </c>
      <c r="D444" s="2" t="str">
        <f>IF(A444="","",MIN('Loan Inputs'!$B$17,C444+E444)+H444)</f>
        <v/>
      </c>
      <c r="E444" s="2" t="str">
        <f>IF(A444="","",C444*'Loan Inputs'!$B$15)</f>
        <v/>
      </c>
      <c r="F444" s="2" t="str">
        <f t="shared" si="18"/>
        <v/>
      </c>
      <c r="G444" s="2" t="str">
        <f t="shared" si="19"/>
        <v/>
      </c>
      <c r="H444" s="2" t="str">
        <f>IF(A444="","",MIN(0,MAX(0,C444+E444-'Loan Inputs'!$B$17)))</f>
        <v/>
      </c>
    </row>
    <row r="445" spans="1:8" ht="22" customHeight="1">
      <c r="A445" s="1" t="str">
        <f>IF(AND('Loan Inputs'!$B$12,439&lt;=IF('Loan Inputs'!$B$12,'Loan Inputs'!$B$7,0)*'Loan Inputs'!$B$14+0,ISNUMBER(G444),G444&gt;0),439,"")</f>
        <v/>
      </c>
      <c r="B445" s="4" t="str">
        <f>IF(A445="","",IF('Loan Inputs'!$B$14=12,DATE(YEAR('Loan Inputs'!$B$8),MONTH('Loan Inputs'!$B$8)+A445,DAY('Loan Inputs'!$B$8)),'Loan Inputs'!$B$8+A445*IF('Loan Inputs'!$B$14=26,14,7)))</f>
        <v/>
      </c>
      <c r="C445" s="2" t="str">
        <f t="shared" si="20"/>
        <v/>
      </c>
      <c r="D445" s="2" t="str">
        <f>IF(A445="","",MIN('Loan Inputs'!$B$17,C445+E445)+H445)</f>
        <v/>
      </c>
      <c r="E445" s="2" t="str">
        <f>IF(A445="","",C445*'Loan Inputs'!$B$15)</f>
        <v/>
      </c>
      <c r="F445" s="2" t="str">
        <f t="shared" si="18"/>
        <v/>
      </c>
      <c r="G445" s="2" t="str">
        <f t="shared" si="19"/>
        <v/>
      </c>
      <c r="H445" s="2" t="str">
        <f>IF(A445="","",MIN(0,MAX(0,C445+E445-'Loan Inputs'!$B$17)))</f>
        <v/>
      </c>
    </row>
    <row r="446" spans="1:8" ht="22" customHeight="1">
      <c r="A446" s="1" t="str">
        <f>IF(AND('Loan Inputs'!$B$12,440&lt;=IF('Loan Inputs'!$B$12,'Loan Inputs'!$B$7,0)*'Loan Inputs'!$B$14+0,ISNUMBER(G445),G445&gt;0),440,"")</f>
        <v/>
      </c>
      <c r="B446" s="4" t="str">
        <f>IF(A446="","",IF('Loan Inputs'!$B$14=12,DATE(YEAR('Loan Inputs'!$B$8),MONTH('Loan Inputs'!$B$8)+A446,DAY('Loan Inputs'!$B$8)),'Loan Inputs'!$B$8+A446*IF('Loan Inputs'!$B$14=26,14,7)))</f>
        <v/>
      </c>
      <c r="C446" s="2" t="str">
        <f t="shared" si="20"/>
        <v/>
      </c>
      <c r="D446" s="2" t="str">
        <f>IF(A446="","",MIN('Loan Inputs'!$B$17,C446+E446)+H446)</f>
        <v/>
      </c>
      <c r="E446" s="2" t="str">
        <f>IF(A446="","",C446*'Loan Inputs'!$B$15)</f>
        <v/>
      </c>
      <c r="F446" s="2" t="str">
        <f t="shared" si="18"/>
        <v/>
      </c>
      <c r="G446" s="2" t="str">
        <f t="shared" si="19"/>
        <v/>
      </c>
      <c r="H446" s="2" t="str">
        <f>IF(A446="","",MIN(0,MAX(0,C446+E446-'Loan Inputs'!$B$17)))</f>
        <v/>
      </c>
    </row>
    <row r="447" spans="1:8" ht="22" customHeight="1">
      <c r="A447" s="1" t="str">
        <f>IF(AND('Loan Inputs'!$B$12,441&lt;=IF('Loan Inputs'!$B$12,'Loan Inputs'!$B$7,0)*'Loan Inputs'!$B$14+0,ISNUMBER(G446),G446&gt;0),441,"")</f>
        <v/>
      </c>
      <c r="B447" s="4" t="str">
        <f>IF(A447="","",IF('Loan Inputs'!$B$14=12,DATE(YEAR('Loan Inputs'!$B$8),MONTH('Loan Inputs'!$B$8)+A447,DAY('Loan Inputs'!$B$8)),'Loan Inputs'!$B$8+A447*IF('Loan Inputs'!$B$14=26,14,7)))</f>
        <v/>
      </c>
      <c r="C447" s="2" t="str">
        <f t="shared" si="20"/>
        <v/>
      </c>
      <c r="D447" s="2" t="str">
        <f>IF(A447="","",MIN('Loan Inputs'!$B$17,C447+E447)+H447)</f>
        <v/>
      </c>
      <c r="E447" s="2" t="str">
        <f>IF(A447="","",C447*'Loan Inputs'!$B$15)</f>
        <v/>
      </c>
      <c r="F447" s="2" t="str">
        <f t="shared" si="18"/>
        <v/>
      </c>
      <c r="G447" s="2" t="str">
        <f t="shared" si="19"/>
        <v/>
      </c>
      <c r="H447" s="2" t="str">
        <f>IF(A447="","",MIN(0,MAX(0,C447+E447-'Loan Inputs'!$B$17)))</f>
        <v/>
      </c>
    </row>
    <row r="448" spans="1:8" ht="22" customHeight="1">
      <c r="A448" s="1" t="str">
        <f>IF(AND('Loan Inputs'!$B$12,442&lt;=IF('Loan Inputs'!$B$12,'Loan Inputs'!$B$7,0)*'Loan Inputs'!$B$14+0,ISNUMBER(G447),G447&gt;0),442,"")</f>
        <v/>
      </c>
      <c r="B448" s="4" t="str">
        <f>IF(A448="","",IF('Loan Inputs'!$B$14=12,DATE(YEAR('Loan Inputs'!$B$8),MONTH('Loan Inputs'!$B$8)+A448,DAY('Loan Inputs'!$B$8)),'Loan Inputs'!$B$8+A448*IF('Loan Inputs'!$B$14=26,14,7)))</f>
        <v/>
      </c>
      <c r="C448" s="2" t="str">
        <f t="shared" si="20"/>
        <v/>
      </c>
      <c r="D448" s="2" t="str">
        <f>IF(A448="","",MIN('Loan Inputs'!$B$17,C448+E448)+H448)</f>
        <v/>
      </c>
      <c r="E448" s="2" t="str">
        <f>IF(A448="","",C448*'Loan Inputs'!$B$15)</f>
        <v/>
      </c>
      <c r="F448" s="2" t="str">
        <f t="shared" si="18"/>
        <v/>
      </c>
      <c r="G448" s="2" t="str">
        <f t="shared" si="19"/>
        <v/>
      </c>
      <c r="H448" s="2" t="str">
        <f>IF(A448="","",MIN(0,MAX(0,C448+E448-'Loan Inputs'!$B$17)))</f>
        <v/>
      </c>
    </row>
    <row r="449" spans="1:8" ht="22" customHeight="1">
      <c r="A449" s="1" t="str">
        <f>IF(AND('Loan Inputs'!$B$12,443&lt;=IF('Loan Inputs'!$B$12,'Loan Inputs'!$B$7,0)*'Loan Inputs'!$B$14+0,ISNUMBER(G448),G448&gt;0),443,"")</f>
        <v/>
      </c>
      <c r="B449" s="4" t="str">
        <f>IF(A449="","",IF('Loan Inputs'!$B$14=12,DATE(YEAR('Loan Inputs'!$B$8),MONTH('Loan Inputs'!$B$8)+A449,DAY('Loan Inputs'!$B$8)),'Loan Inputs'!$B$8+A449*IF('Loan Inputs'!$B$14=26,14,7)))</f>
        <v/>
      </c>
      <c r="C449" s="2" t="str">
        <f t="shared" si="20"/>
        <v/>
      </c>
      <c r="D449" s="2" t="str">
        <f>IF(A449="","",MIN('Loan Inputs'!$B$17,C449+E449)+H449)</f>
        <v/>
      </c>
      <c r="E449" s="2" t="str">
        <f>IF(A449="","",C449*'Loan Inputs'!$B$15)</f>
        <v/>
      </c>
      <c r="F449" s="2" t="str">
        <f t="shared" si="18"/>
        <v/>
      </c>
      <c r="G449" s="2" t="str">
        <f t="shared" si="19"/>
        <v/>
      </c>
      <c r="H449" s="2" t="str">
        <f>IF(A449="","",MIN(0,MAX(0,C449+E449-'Loan Inputs'!$B$17)))</f>
        <v/>
      </c>
    </row>
    <row r="450" spans="1:8" ht="22" customHeight="1">
      <c r="A450" s="1" t="str">
        <f>IF(AND('Loan Inputs'!$B$12,444&lt;=IF('Loan Inputs'!$B$12,'Loan Inputs'!$B$7,0)*'Loan Inputs'!$B$14+0,ISNUMBER(G449),G449&gt;0),444,"")</f>
        <v/>
      </c>
      <c r="B450" s="4" t="str">
        <f>IF(A450="","",IF('Loan Inputs'!$B$14=12,DATE(YEAR('Loan Inputs'!$B$8),MONTH('Loan Inputs'!$B$8)+A450,DAY('Loan Inputs'!$B$8)),'Loan Inputs'!$B$8+A450*IF('Loan Inputs'!$B$14=26,14,7)))</f>
        <v/>
      </c>
      <c r="C450" s="2" t="str">
        <f t="shared" si="20"/>
        <v/>
      </c>
      <c r="D450" s="2" t="str">
        <f>IF(A450="","",MIN('Loan Inputs'!$B$17,C450+E450)+H450)</f>
        <v/>
      </c>
      <c r="E450" s="2" t="str">
        <f>IF(A450="","",C450*'Loan Inputs'!$B$15)</f>
        <v/>
      </c>
      <c r="F450" s="2" t="str">
        <f t="shared" si="18"/>
        <v/>
      </c>
      <c r="G450" s="2" t="str">
        <f t="shared" si="19"/>
        <v/>
      </c>
      <c r="H450" s="2" t="str">
        <f>IF(A450="","",MIN(0,MAX(0,C450+E450-'Loan Inputs'!$B$17)))</f>
        <v/>
      </c>
    </row>
    <row r="451" spans="1:8" ht="22" customHeight="1">
      <c r="A451" s="1" t="str">
        <f>IF(AND('Loan Inputs'!$B$12,445&lt;=IF('Loan Inputs'!$B$12,'Loan Inputs'!$B$7,0)*'Loan Inputs'!$B$14+0,ISNUMBER(G450),G450&gt;0),445,"")</f>
        <v/>
      </c>
      <c r="B451" s="4" t="str">
        <f>IF(A451="","",IF('Loan Inputs'!$B$14=12,DATE(YEAR('Loan Inputs'!$B$8),MONTH('Loan Inputs'!$B$8)+A451,DAY('Loan Inputs'!$B$8)),'Loan Inputs'!$B$8+A451*IF('Loan Inputs'!$B$14=26,14,7)))</f>
        <v/>
      </c>
      <c r="C451" s="2" t="str">
        <f t="shared" si="20"/>
        <v/>
      </c>
      <c r="D451" s="2" t="str">
        <f>IF(A451="","",MIN('Loan Inputs'!$B$17,C451+E451)+H451)</f>
        <v/>
      </c>
      <c r="E451" s="2" t="str">
        <f>IF(A451="","",C451*'Loan Inputs'!$B$15)</f>
        <v/>
      </c>
      <c r="F451" s="2" t="str">
        <f t="shared" si="18"/>
        <v/>
      </c>
      <c r="G451" s="2" t="str">
        <f t="shared" si="19"/>
        <v/>
      </c>
      <c r="H451" s="2" t="str">
        <f>IF(A451="","",MIN(0,MAX(0,C451+E451-'Loan Inputs'!$B$17)))</f>
        <v/>
      </c>
    </row>
    <row r="452" spans="1:8" ht="22" customHeight="1">
      <c r="A452" s="1" t="str">
        <f>IF(AND('Loan Inputs'!$B$12,446&lt;=IF('Loan Inputs'!$B$12,'Loan Inputs'!$B$7,0)*'Loan Inputs'!$B$14+0,ISNUMBER(G451),G451&gt;0),446,"")</f>
        <v/>
      </c>
      <c r="B452" s="4" t="str">
        <f>IF(A452="","",IF('Loan Inputs'!$B$14=12,DATE(YEAR('Loan Inputs'!$B$8),MONTH('Loan Inputs'!$B$8)+A452,DAY('Loan Inputs'!$B$8)),'Loan Inputs'!$B$8+A452*IF('Loan Inputs'!$B$14=26,14,7)))</f>
        <v/>
      </c>
      <c r="C452" s="2" t="str">
        <f t="shared" si="20"/>
        <v/>
      </c>
      <c r="D452" s="2" t="str">
        <f>IF(A452="","",MIN('Loan Inputs'!$B$17,C452+E452)+H452)</f>
        <v/>
      </c>
      <c r="E452" s="2" t="str">
        <f>IF(A452="","",C452*'Loan Inputs'!$B$15)</f>
        <v/>
      </c>
      <c r="F452" s="2" t="str">
        <f t="shared" si="18"/>
        <v/>
      </c>
      <c r="G452" s="2" t="str">
        <f t="shared" si="19"/>
        <v/>
      </c>
      <c r="H452" s="2" t="str">
        <f>IF(A452="","",MIN(0,MAX(0,C452+E452-'Loan Inputs'!$B$17)))</f>
        <v/>
      </c>
    </row>
    <row r="453" spans="1:8" ht="22" customHeight="1">
      <c r="A453" s="1" t="str">
        <f>IF(AND('Loan Inputs'!$B$12,447&lt;=IF('Loan Inputs'!$B$12,'Loan Inputs'!$B$7,0)*'Loan Inputs'!$B$14+0,ISNUMBER(G452),G452&gt;0),447,"")</f>
        <v/>
      </c>
      <c r="B453" s="4" t="str">
        <f>IF(A453="","",IF('Loan Inputs'!$B$14=12,DATE(YEAR('Loan Inputs'!$B$8),MONTH('Loan Inputs'!$B$8)+A453,DAY('Loan Inputs'!$B$8)),'Loan Inputs'!$B$8+A453*IF('Loan Inputs'!$B$14=26,14,7)))</f>
        <v/>
      </c>
      <c r="C453" s="2" t="str">
        <f t="shared" si="20"/>
        <v/>
      </c>
      <c r="D453" s="2" t="str">
        <f>IF(A453="","",MIN('Loan Inputs'!$B$17,C453+E453)+H453)</f>
        <v/>
      </c>
      <c r="E453" s="2" t="str">
        <f>IF(A453="","",C453*'Loan Inputs'!$B$15)</f>
        <v/>
      </c>
      <c r="F453" s="2" t="str">
        <f t="shared" si="18"/>
        <v/>
      </c>
      <c r="G453" s="2" t="str">
        <f t="shared" si="19"/>
        <v/>
      </c>
      <c r="H453" s="2" t="str">
        <f>IF(A453="","",MIN(0,MAX(0,C453+E453-'Loan Inputs'!$B$17)))</f>
        <v/>
      </c>
    </row>
    <row r="454" spans="1:8" ht="22" customHeight="1">
      <c r="A454" s="1" t="str">
        <f>IF(AND('Loan Inputs'!$B$12,448&lt;=IF('Loan Inputs'!$B$12,'Loan Inputs'!$B$7,0)*'Loan Inputs'!$B$14+0,ISNUMBER(G453),G453&gt;0),448,"")</f>
        <v/>
      </c>
      <c r="B454" s="4" t="str">
        <f>IF(A454="","",IF('Loan Inputs'!$B$14=12,DATE(YEAR('Loan Inputs'!$B$8),MONTH('Loan Inputs'!$B$8)+A454,DAY('Loan Inputs'!$B$8)),'Loan Inputs'!$B$8+A454*IF('Loan Inputs'!$B$14=26,14,7)))</f>
        <v/>
      </c>
      <c r="C454" s="2" t="str">
        <f t="shared" si="20"/>
        <v/>
      </c>
      <c r="D454" s="2" t="str">
        <f>IF(A454="","",MIN('Loan Inputs'!$B$17,C454+E454)+H454)</f>
        <v/>
      </c>
      <c r="E454" s="2" t="str">
        <f>IF(A454="","",C454*'Loan Inputs'!$B$15)</f>
        <v/>
      </c>
      <c r="F454" s="2" t="str">
        <f t="shared" si="18"/>
        <v/>
      </c>
      <c r="G454" s="2" t="str">
        <f t="shared" si="19"/>
        <v/>
      </c>
      <c r="H454" s="2" t="str">
        <f>IF(A454="","",MIN(0,MAX(0,C454+E454-'Loan Inputs'!$B$17)))</f>
        <v/>
      </c>
    </row>
    <row r="455" spans="1:8" ht="22" customHeight="1">
      <c r="A455" s="1" t="str">
        <f>IF(AND('Loan Inputs'!$B$12,449&lt;=IF('Loan Inputs'!$B$12,'Loan Inputs'!$B$7,0)*'Loan Inputs'!$B$14+0,ISNUMBER(G454),G454&gt;0),449,"")</f>
        <v/>
      </c>
      <c r="B455" s="4" t="str">
        <f>IF(A455="","",IF('Loan Inputs'!$B$14=12,DATE(YEAR('Loan Inputs'!$B$8),MONTH('Loan Inputs'!$B$8)+A455,DAY('Loan Inputs'!$B$8)),'Loan Inputs'!$B$8+A455*IF('Loan Inputs'!$B$14=26,14,7)))</f>
        <v/>
      </c>
      <c r="C455" s="2" t="str">
        <f t="shared" si="20"/>
        <v/>
      </c>
      <c r="D455" s="2" t="str">
        <f>IF(A455="","",MIN('Loan Inputs'!$B$17,C455+E455)+H455)</f>
        <v/>
      </c>
      <c r="E455" s="2" t="str">
        <f>IF(A455="","",C455*'Loan Inputs'!$B$15)</f>
        <v/>
      </c>
      <c r="F455" s="2" t="str">
        <f t="shared" ref="F455:F518" si="21">IF(A455="","",MIN(C455,D455-E455))</f>
        <v/>
      </c>
      <c r="G455" s="2" t="str">
        <f t="shared" ref="G455:G518" si="22">IF(A455="","",IF(C455-F455&lt;0.01,0,MAX(0,C455-F455)))</f>
        <v/>
      </c>
      <c r="H455" s="2" t="str">
        <f>IF(A455="","",MIN(0,MAX(0,C455+E455-'Loan Inputs'!$B$17)))</f>
        <v/>
      </c>
    </row>
    <row r="456" spans="1:8" ht="22" customHeight="1">
      <c r="A456" s="1" t="str">
        <f>IF(AND('Loan Inputs'!$B$12,450&lt;=IF('Loan Inputs'!$B$12,'Loan Inputs'!$B$7,0)*'Loan Inputs'!$B$14+0,ISNUMBER(G455),G455&gt;0),450,"")</f>
        <v/>
      </c>
      <c r="B456" s="4" t="str">
        <f>IF(A456="","",IF('Loan Inputs'!$B$14=12,DATE(YEAR('Loan Inputs'!$B$8),MONTH('Loan Inputs'!$B$8)+A456,DAY('Loan Inputs'!$B$8)),'Loan Inputs'!$B$8+A456*IF('Loan Inputs'!$B$14=26,14,7)))</f>
        <v/>
      </c>
      <c r="C456" s="2" t="str">
        <f t="shared" ref="C456:C519" si="23">IF(A456="","",G455)</f>
        <v/>
      </c>
      <c r="D456" s="2" t="str">
        <f>IF(A456="","",MIN('Loan Inputs'!$B$17,C456+E456)+H456)</f>
        <v/>
      </c>
      <c r="E456" s="2" t="str">
        <f>IF(A456="","",C456*'Loan Inputs'!$B$15)</f>
        <v/>
      </c>
      <c r="F456" s="2" t="str">
        <f t="shared" si="21"/>
        <v/>
      </c>
      <c r="G456" s="2" t="str">
        <f t="shared" si="22"/>
        <v/>
      </c>
      <c r="H456" s="2" t="str">
        <f>IF(A456="","",MIN(0,MAX(0,C456+E456-'Loan Inputs'!$B$17)))</f>
        <v/>
      </c>
    </row>
    <row r="457" spans="1:8" ht="22" customHeight="1">
      <c r="A457" s="1" t="str">
        <f>IF(AND('Loan Inputs'!$B$12,451&lt;=IF('Loan Inputs'!$B$12,'Loan Inputs'!$B$7,0)*'Loan Inputs'!$B$14+0,ISNUMBER(G456),G456&gt;0),451,"")</f>
        <v/>
      </c>
      <c r="B457" s="4" t="str">
        <f>IF(A457="","",IF('Loan Inputs'!$B$14=12,DATE(YEAR('Loan Inputs'!$B$8),MONTH('Loan Inputs'!$B$8)+A457,DAY('Loan Inputs'!$B$8)),'Loan Inputs'!$B$8+A457*IF('Loan Inputs'!$B$14=26,14,7)))</f>
        <v/>
      </c>
      <c r="C457" s="2" t="str">
        <f t="shared" si="23"/>
        <v/>
      </c>
      <c r="D457" s="2" t="str">
        <f>IF(A457="","",MIN('Loan Inputs'!$B$17,C457+E457)+H457)</f>
        <v/>
      </c>
      <c r="E457" s="2" t="str">
        <f>IF(A457="","",C457*'Loan Inputs'!$B$15)</f>
        <v/>
      </c>
      <c r="F457" s="2" t="str">
        <f t="shared" si="21"/>
        <v/>
      </c>
      <c r="G457" s="2" t="str">
        <f t="shared" si="22"/>
        <v/>
      </c>
      <c r="H457" s="2" t="str">
        <f>IF(A457="","",MIN(0,MAX(0,C457+E457-'Loan Inputs'!$B$17)))</f>
        <v/>
      </c>
    </row>
    <row r="458" spans="1:8" ht="22" customHeight="1">
      <c r="A458" s="1" t="str">
        <f>IF(AND('Loan Inputs'!$B$12,452&lt;=IF('Loan Inputs'!$B$12,'Loan Inputs'!$B$7,0)*'Loan Inputs'!$B$14+0,ISNUMBER(G457),G457&gt;0),452,"")</f>
        <v/>
      </c>
      <c r="B458" s="4" t="str">
        <f>IF(A458="","",IF('Loan Inputs'!$B$14=12,DATE(YEAR('Loan Inputs'!$B$8),MONTH('Loan Inputs'!$B$8)+A458,DAY('Loan Inputs'!$B$8)),'Loan Inputs'!$B$8+A458*IF('Loan Inputs'!$B$14=26,14,7)))</f>
        <v/>
      </c>
      <c r="C458" s="2" t="str">
        <f t="shared" si="23"/>
        <v/>
      </c>
      <c r="D458" s="2" t="str">
        <f>IF(A458="","",MIN('Loan Inputs'!$B$17,C458+E458)+H458)</f>
        <v/>
      </c>
      <c r="E458" s="2" t="str">
        <f>IF(A458="","",C458*'Loan Inputs'!$B$15)</f>
        <v/>
      </c>
      <c r="F458" s="2" t="str">
        <f t="shared" si="21"/>
        <v/>
      </c>
      <c r="G458" s="2" t="str">
        <f t="shared" si="22"/>
        <v/>
      </c>
      <c r="H458" s="2" t="str">
        <f>IF(A458="","",MIN(0,MAX(0,C458+E458-'Loan Inputs'!$B$17)))</f>
        <v/>
      </c>
    </row>
    <row r="459" spans="1:8" ht="22" customHeight="1">
      <c r="A459" s="1" t="str">
        <f>IF(AND('Loan Inputs'!$B$12,453&lt;=IF('Loan Inputs'!$B$12,'Loan Inputs'!$B$7,0)*'Loan Inputs'!$B$14+0,ISNUMBER(G458),G458&gt;0),453,"")</f>
        <v/>
      </c>
      <c r="B459" s="4" t="str">
        <f>IF(A459="","",IF('Loan Inputs'!$B$14=12,DATE(YEAR('Loan Inputs'!$B$8),MONTH('Loan Inputs'!$B$8)+A459,DAY('Loan Inputs'!$B$8)),'Loan Inputs'!$B$8+A459*IF('Loan Inputs'!$B$14=26,14,7)))</f>
        <v/>
      </c>
      <c r="C459" s="2" t="str">
        <f t="shared" si="23"/>
        <v/>
      </c>
      <c r="D459" s="2" t="str">
        <f>IF(A459="","",MIN('Loan Inputs'!$B$17,C459+E459)+H459)</f>
        <v/>
      </c>
      <c r="E459" s="2" t="str">
        <f>IF(A459="","",C459*'Loan Inputs'!$B$15)</f>
        <v/>
      </c>
      <c r="F459" s="2" t="str">
        <f t="shared" si="21"/>
        <v/>
      </c>
      <c r="G459" s="2" t="str">
        <f t="shared" si="22"/>
        <v/>
      </c>
      <c r="H459" s="2" t="str">
        <f>IF(A459="","",MIN(0,MAX(0,C459+E459-'Loan Inputs'!$B$17)))</f>
        <v/>
      </c>
    </row>
    <row r="460" spans="1:8" ht="22" customHeight="1">
      <c r="A460" s="1" t="str">
        <f>IF(AND('Loan Inputs'!$B$12,454&lt;=IF('Loan Inputs'!$B$12,'Loan Inputs'!$B$7,0)*'Loan Inputs'!$B$14+0,ISNUMBER(G459),G459&gt;0),454,"")</f>
        <v/>
      </c>
      <c r="B460" s="4" t="str">
        <f>IF(A460="","",IF('Loan Inputs'!$B$14=12,DATE(YEAR('Loan Inputs'!$B$8),MONTH('Loan Inputs'!$B$8)+A460,DAY('Loan Inputs'!$B$8)),'Loan Inputs'!$B$8+A460*IF('Loan Inputs'!$B$14=26,14,7)))</f>
        <v/>
      </c>
      <c r="C460" s="2" t="str">
        <f t="shared" si="23"/>
        <v/>
      </c>
      <c r="D460" s="2" t="str">
        <f>IF(A460="","",MIN('Loan Inputs'!$B$17,C460+E460)+H460)</f>
        <v/>
      </c>
      <c r="E460" s="2" t="str">
        <f>IF(A460="","",C460*'Loan Inputs'!$B$15)</f>
        <v/>
      </c>
      <c r="F460" s="2" t="str">
        <f t="shared" si="21"/>
        <v/>
      </c>
      <c r="G460" s="2" t="str">
        <f t="shared" si="22"/>
        <v/>
      </c>
      <c r="H460" s="2" t="str">
        <f>IF(A460="","",MIN(0,MAX(0,C460+E460-'Loan Inputs'!$B$17)))</f>
        <v/>
      </c>
    </row>
    <row r="461" spans="1:8" ht="22" customHeight="1">
      <c r="A461" s="1" t="str">
        <f>IF(AND('Loan Inputs'!$B$12,455&lt;=IF('Loan Inputs'!$B$12,'Loan Inputs'!$B$7,0)*'Loan Inputs'!$B$14+0,ISNUMBER(G460),G460&gt;0),455,"")</f>
        <v/>
      </c>
      <c r="B461" s="4" t="str">
        <f>IF(A461="","",IF('Loan Inputs'!$B$14=12,DATE(YEAR('Loan Inputs'!$B$8),MONTH('Loan Inputs'!$B$8)+A461,DAY('Loan Inputs'!$B$8)),'Loan Inputs'!$B$8+A461*IF('Loan Inputs'!$B$14=26,14,7)))</f>
        <v/>
      </c>
      <c r="C461" s="2" t="str">
        <f t="shared" si="23"/>
        <v/>
      </c>
      <c r="D461" s="2" t="str">
        <f>IF(A461="","",MIN('Loan Inputs'!$B$17,C461+E461)+H461)</f>
        <v/>
      </c>
      <c r="E461" s="2" t="str">
        <f>IF(A461="","",C461*'Loan Inputs'!$B$15)</f>
        <v/>
      </c>
      <c r="F461" s="2" t="str">
        <f t="shared" si="21"/>
        <v/>
      </c>
      <c r="G461" s="2" t="str">
        <f t="shared" si="22"/>
        <v/>
      </c>
      <c r="H461" s="2" t="str">
        <f>IF(A461="","",MIN(0,MAX(0,C461+E461-'Loan Inputs'!$B$17)))</f>
        <v/>
      </c>
    </row>
    <row r="462" spans="1:8" ht="22" customHeight="1">
      <c r="A462" s="1" t="str">
        <f>IF(AND('Loan Inputs'!$B$12,456&lt;=IF('Loan Inputs'!$B$12,'Loan Inputs'!$B$7,0)*'Loan Inputs'!$B$14+0,ISNUMBER(G461),G461&gt;0),456,"")</f>
        <v/>
      </c>
      <c r="B462" s="4" t="str">
        <f>IF(A462="","",IF('Loan Inputs'!$B$14=12,DATE(YEAR('Loan Inputs'!$B$8),MONTH('Loan Inputs'!$B$8)+A462,DAY('Loan Inputs'!$B$8)),'Loan Inputs'!$B$8+A462*IF('Loan Inputs'!$B$14=26,14,7)))</f>
        <v/>
      </c>
      <c r="C462" s="2" t="str">
        <f t="shared" si="23"/>
        <v/>
      </c>
      <c r="D462" s="2" t="str">
        <f>IF(A462="","",MIN('Loan Inputs'!$B$17,C462+E462)+H462)</f>
        <v/>
      </c>
      <c r="E462" s="2" t="str">
        <f>IF(A462="","",C462*'Loan Inputs'!$B$15)</f>
        <v/>
      </c>
      <c r="F462" s="2" t="str">
        <f t="shared" si="21"/>
        <v/>
      </c>
      <c r="G462" s="2" t="str">
        <f t="shared" si="22"/>
        <v/>
      </c>
      <c r="H462" s="2" t="str">
        <f>IF(A462="","",MIN(0,MAX(0,C462+E462-'Loan Inputs'!$B$17)))</f>
        <v/>
      </c>
    </row>
    <row r="463" spans="1:8" ht="22" customHeight="1">
      <c r="A463" s="1" t="str">
        <f>IF(AND('Loan Inputs'!$B$12,457&lt;=IF('Loan Inputs'!$B$12,'Loan Inputs'!$B$7,0)*'Loan Inputs'!$B$14+0,ISNUMBER(G462),G462&gt;0),457,"")</f>
        <v/>
      </c>
      <c r="B463" s="4" t="str">
        <f>IF(A463="","",IF('Loan Inputs'!$B$14=12,DATE(YEAR('Loan Inputs'!$B$8),MONTH('Loan Inputs'!$B$8)+A463,DAY('Loan Inputs'!$B$8)),'Loan Inputs'!$B$8+A463*IF('Loan Inputs'!$B$14=26,14,7)))</f>
        <v/>
      </c>
      <c r="C463" s="2" t="str">
        <f t="shared" si="23"/>
        <v/>
      </c>
      <c r="D463" s="2" t="str">
        <f>IF(A463="","",MIN('Loan Inputs'!$B$17,C463+E463)+H463)</f>
        <v/>
      </c>
      <c r="E463" s="2" t="str">
        <f>IF(A463="","",C463*'Loan Inputs'!$B$15)</f>
        <v/>
      </c>
      <c r="F463" s="2" t="str">
        <f t="shared" si="21"/>
        <v/>
      </c>
      <c r="G463" s="2" t="str">
        <f t="shared" si="22"/>
        <v/>
      </c>
      <c r="H463" s="2" t="str">
        <f>IF(A463="","",MIN(0,MAX(0,C463+E463-'Loan Inputs'!$B$17)))</f>
        <v/>
      </c>
    </row>
    <row r="464" spans="1:8" ht="22" customHeight="1">
      <c r="A464" s="1" t="str">
        <f>IF(AND('Loan Inputs'!$B$12,458&lt;=IF('Loan Inputs'!$B$12,'Loan Inputs'!$B$7,0)*'Loan Inputs'!$B$14+0,ISNUMBER(G463),G463&gt;0),458,"")</f>
        <v/>
      </c>
      <c r="B464" s="4" t="str">
        <f>IF(A464="","",IF('Loan Inputs'!$B$14=12,DATE(YEAR('Loan Inputs'!$B$8),MONTH('Loan Inputs'!$B$8)+A464,DAY('Loan Inputs'!$B$8)),'Loan Inputs'!$B$8+A464*IF('Loan Inputs'!$B$14=26,14,7)))</f>
        <v/>
      </c>
      <c r="C464" s="2" t="str">
        <f t="shared" si="23"/>
        <v/>
      </c>
      <c r="D464" s="2" t="str">
        <f>IF(A464="","",MIN('Loan Inputs'!$B$17,C464+E464)+H464)</f>
        <v/>
      </c>
      <c r="E464" s="2" t="str">
        <f>IF(A464="","",C464*'Loan Inputs'!$B$15)</f>
        <v/>
      </c>
      <c r="F464" s="2" t="str">
        <f t="shared" si="21"/>
        <v/>
      </c>
      <c r="G464" s="2" t="str">
        <f t="shared" si="22"/>
        <v/>
      </c>
      <c r="H464" s="2" t="str">
        <f>IF(A464="","",MIN(0,MAX(0,C464+E464-'Loan Inputs'!$B$17)))</f>
        <v/>
      </c>
    </row>
    <row r="465" spans="1:8" ht="22" customHeight="1">
      <c r="A465" s="1" t="str">
        <f>IF(AND('Loan Inputs'!$B$12,459&lt;=IF('Loan Inputs'!$B$12,'Loan Inputs'!$B$7,0)*'Loan Inputs'!$B$14+0,ISNUMBER(G464),G464&gt;0),459,"")</f>
        <v/>
      </c>
      <c r="B465" s="4" t="str">
        <f>IF(A465="","",IF('Loan Inputs'!$B$14=12,DATE(YEAR('Loan Inputs'!$B$8),MONTH('Loan Inputs'!$B$8)+A465,DAY('Loan Inputs'!$B$8)),'Loan Inputs'!$B$8+A465*IF('Loan Inputs'!$B$14=26,14,7)))</f>
        <v/>
      </c>
      <c r="C465" s="2" t="str">
        <f t="shared" si="23"/>
        <v/>
      </c>
      <c r="D465" s="2" t="str">
        <f>IF(A465="","",MIN('Loan Inputs'!$B$17,C465+E465)+H465)</f>
        <v/>
      </c>
      <c r="E465" s="2" t="str">
        <f>IF(A465="","",C465*'Loan Inputs'!$B$15)</f>
        <v/>
      </c>
      <c r="F465" s="2" t="str">
        <f t="shared" si="21"/>
        <v/>
      </c>
      <c r="G465" s="2" t="str">
        <f t="shared" si="22"/>
        <v/>
      </c>
      <c r="H465" s="2" t="str">
        <f>IF(A465="","",MIN(0,MAX(0,C465+E465-'Loan Inputs'!$B$17)))</f>
        <v/>
      </c>
    </row>
    <row r="466" spans="1:8" ht="22" customHeight="1">
      <c r="A466" s="1" t="str">
        <f>IF(AND('Loan Inputs'!$B$12,460&lt;=IF('Loan Inputs'!$B$12,'Loan Inputs'!$B$7,0)*'Loan Inputs'!$B$14+0,ISNUMBER(G465),G465&gt;0),460,"")</f>
        <v/>
      </c>
      <c r="B466" s="4" t="str">
        <f>IF(A466="","",IF('Loan Inputs'!$B$14=12,DATE(YEAR('Loan Inputs'!$B$8),MONTH('Loan Inputs'!$B$8)+A466,DAY('Loan Inputs'!$B$8)),'Loan Inputs'!$B$8+A466*IF('Loan Inputs'!$B$14=26,14,7)))</f>
        <v/>
      </c>
      <c r="C466" s="2" t="str">
        <f t="shared" si="23"/>
        <v/>
      </c>
      <c r="D466" s="2" t="str">
        <f>IF(A466="","",MIN('Loan Inputs'!$B$17,C466+E466)+H466)</f>
        <v/>
      </c>
      <c r="E466" s="2" t="str">
        <f>IF(A466="","",C466*'Loan Inputs'!$B$15)</f>
        <v/>
      </c>
      <c r="F466" s="2" t="str">
        <f t="shared" si="21"/>
        <v/>
      </c>
      <c r="G466" s="2" t="str">
        <f t="shared" si="22"/>
        <v/>
      </c>
      <c r="H466" s="2" t="str">
        <f>IF(A466="","",MIN(0,MAX(0,C466+E466-'Loan Inputs'!$B$17)))</f>
        <v/>
      </c>
    </row>
    <row r="467" spans="1:8" ht="22" customHeight="1">
      <c r="A467" s="1" t="str">
        <f>IF(AND('Loan Inputs'!$B$12,461&lt;=IF('Loan Inputs'!$B$12,'Loan Inputs'!$B$7,0)*'Loan Inputs'!$B$14+0,ISNUMBER(G466),G466&gt;0),461,"")</f>
        <v/>
      </c>
      <c r="B467" s="4" t="str">
        <f>IF(A467="","",IF('Loan Inputs'!$B$14=12,DATE(YEAR('Loan Inputs'!$B$8),MONTH('Loan Inputs'!$B$8)+A467,DAY('Loan Inputs'!$B$8)),'Loan Inputs'!$B$8+A467*IF('Loan Inputs'!$B$14=26,14,7)))</f>
        <v/>
      </c>
      <c r="C467" s="2" t="str">
        <f t="shared" si="23"/>
        <v/>
      </c>
      <c r="D467" s="2" t="str">
        <f>IF(A467="","",MIN('Loan Inputs'!$B$17,C467+E467)+H467)</f>
        <v/>
      </c>
      <c r="E467" s="2" t="str">
        <f>IF(A467="","",C467*'Loan Inputs'!$B$15)</f>
        <v/>
      </c>
      <c r="F467" s="2" t="str">
        <f t="shared" si="21"/>
        <v/>
      </c>
      <c r="G467" s="2" t="str">
        <f t="shared" si="22"/>
        <v/>
      </c>
      <c r="H467" s="2" t="str">
        <f>IF(A467="","",MIN(0,MAX(0,C467+E467-'Loan Inputs'!$B$17)))</f>
        <v/>
      </c>
    </row>
    <row r="468" spans="1:8" ht="22" customHeight="1">
      <c r="A468" s="1" t="str">
        <f>IF(AND('Loan Inputs'!$B$12,462&lt;=IF('Loan Inputs'!$B$12,'Loan Inputs'!$B$7,0)*'Loan Inputs'!$B$14+0,ISNUMBER(G467),G467&gt;0),462,"")</f>
        <v/>
      </c>
      <c r="B468" s="4" t="str">
        <f>IF(A468="","",IF('Loan Inputs'!$B$14=12,DATE(YEAR('Loan Inputs'!$B$8),MONTH('Loan Inputs'!$B$8)+A468,DAY('Loan Inputs'!$B$8)),'Loan Inputs'!$B$8+A468*IF('Loan Inputs'!$B$14=26,14,7)))</f>
        <v/>
      </c>
      <c r="C468" s="2" t="str">
        <f t="shared" si="23"/>
        <v/>
      </c>
      <c r="D468" s="2" t="str">
        <f>IF(A468="","",MIN('Loan Inputs'!$B$17,C468+E468)+H468)</f>
        <v/>
      </c>
      <c r="E468" s="2" t="str">
        <f>IF(A468="","",C468*'Loan Inputs'!$B$15)</f>
        <v/>
      </c>
      <c r="F468" s="2" t="str">
        <f t="shared" si="21"/>
        <v/>
      </c>
      <c r="G468" s="2" t="str">
        <f t="shared" si="22"/>
        <v/>
      </c>
      <c r="H468" s="2" t="str">
        <f>IF(A468="","",MIN(0,MAX(0,C468+E468-'Loan Inputs'!$B$17)))</f>
        <v/>
      </c>
    </row>
    <row r="469" spans="1:8" ht="22" customHeight="1">
      <c r="A469" s="1" t="str">
        <f>IF(AND('Loan Inputs'!$B$12,463&lt;=IF('Loan Inputs'!$B$12,'Loan Inputs'!$B$7,0)*'Loan Inputs'!$B$14+0,ISNUMBER(G468),G468&gt;0),463,"")</f>
        <v/>
      </c>
      <c r="B469" s="4" t="str">
        <f>IF(A469="","",IF('Loan Inputs'!$B$14=12,DATE(YEAR('Loan Inputs'!$B$8),MONTH('Loan Inputs'!$B$8)+A469,DAY('Loan Inputs'!$B$8)),'Loan Inputs'!$B$8+A469*IF('Loan Inputs'!$B$14=26,14,7)))</f>
        <v/>
      </c>
      <c r="C469" s="2" t="str">
        <f t="shared" si="23"/>
        <v/>
      </c>
      <c r="D469" s="2" t="str">
        <f>IF(A469="","",MIN('Loan Inputs'!$B$17,C469+E469)+H469)</f>
        <v/>
      </c>
      <c r="E469" s="2" t="str">
        <f>IF(A469="","",C469*'Loan Inputs'!$B$15)</f>
        <v/>
      </c>
      <c r="F469" s="2" t="str">
        <f t="shared" si="21"/>
        <v/>
      </c>
      <c r="G469" s="2" t="str">
        <f t="shared" si="22"/>
        <v/>
      </c>
      <c r="H469" s="2" t="str">
        <f>IF(A469="","",MIN(0,MAX(0,C469+E469-'Loan Inputs'!$B$17)))</f>
        <v/>
      </c>
    </row>
    <row r="470" spans="1:8" ht="22" customHeight="1">
      <c r="A470" s="1" t="str">
        <f>IF(AND('Loan Inputs'!$B$12,464&lt;=IF('Loan Inputs'!$B$12,'Loan Inputs'!$B$7,0)*'Loan Inputs'!$B$14+0,ISNUMBER(G469),G469&gt;0),464,"")</f>
        <v/>
      </c>
      <c r="B470" s="4" t="str">
        <f>IF(A470="","",IF('Loan Inputs'!$B$14=12,DATE(YEAR('Loan Inputs'!$B$8),MONTH('Loan Inputs'!$B$8)+A470,DAY('Loan Inputs'!$B$8)),'Loan Inputs'!$B$8+A470*IF('Loan Inputs'!$B$14=26,14,7)))</f>
        <v/>
      </c>
      <c r="C470" s="2" t="str">
        <f t="shared" si="23"/>
        <v/>
      </c>
      <c r="D470" s="2" t="str">
        <f>IF(A470="","",MIN('Loan Inputs'!$B$17,C470+E470)+H470)</f>
        <v/>
      </c>
      <c r="E470" s="2" t="str">
        <f>IF(A470="","",C470*'Loan Inputs'!$B$15)</f>
        <v/>
      </c>
      <c r="F470" s="2" t="str">
        <f t="shared" si="21"/>
        <v/>
      </c>
      <c r="G470" s="2" t="str">
        <f t="shared" si="22"/>
        <v/>
      </c>
      <c r="H470" s="2" t="str">
        <f>IF(A470="","",MIN(0,MAX(0,C470+E470-'Loan Inputs'!$B$17)))</f>
        <v/>
      </c>
    </row>
    <row r="471" spans="1:8" ht="22" customHeight="1">
      <c r="A471" s="1" t="str">
        <f>IF(AND('Loan Inputs'!$B$12,465&lt;=IF('Loan Inputs'!$B$12,'Loan Inputs'!$B$7,0)*'Loan Inputs'!$B$14+0,ISNUMBER(G470),G470&gt;0),465,"")</f>
        <v/>
      </c>
      <c r="B471" s="4" t="str">
        <f>IF(A471="","",IF('Loan Inputs'!$B$14=12,DATE(YEAR('Loan Inputs'!$B$8),MONTH('Loan Inputs'!$B$8)+A471,DAY('Loan Inputs'!$B$8)),'Loan Inputs'!$B$8+A471*IF('Loan Inputs'!$B$14=26,14,7)))</f>
        <v/>
      </c>
      <c r="C471" s="2" t="str">
        <f t="shared" si="23"/>
        <v/>
      </c>
      <c r="D471" s="2" t="str">
        <f>IF(A471="","",MIN('Loan Inputs'!$B$17,C471+E471)+H471)</f>
        <v/>
      </c>
      <c r="E471" s="2" t="str">
        <f>IF(A471="","",C471*'Loan Inputs'!$B$15)</f>
        <v/>
      </c>
      <c r="F471" s="2" t="str">
        <f t="shared" si="21"/>
        <v/>
      </c>
      <c r="G471" s="2" t="str">
        <f t="shared" si="22"/>
        <v/>
      </c>
      <c r="H471" s="2" t="str">
        <f>IF(A471="","",MIN(0,MAX(0,C471+E471-'Loan Inputs'!$B$17)))</f>
        <v/>
      </c>
    </row>
    <row r="472" spans="1:8" ht="22" customHeight="1">
      <c r="A472" s="1" t="str">
        <f>IF(AND('Loan Inputs'!$B$12,466&lt;=IF('Loan Inputs'!$B$12,'Loan Inputs'!$B$7,0)*'Loan Inputs'!$B$14+0,ISNUMBER(G471),G471&gt;0),466,"")</f>
        <v/>
      </c>
      <c r="B472" s="4" t="str">
        <f>IF(A472="","",IF('Loan Inputs'!$B$14=12,DATE(YEAR('Loan Inputs'!$B$8),MONTH('Loan Inputs'!$B$8)+A472,DAY('Loan Inputs'!$B$8)),'Loan Inputs'!$B$8+A472*IF('Loan Inputs'!$B$14=26,14,7)))</f>
        <v/>
      </c>
      <c r="C472" s="2" t="str">
        <f t="shared" si="23"/>
        <v/>
      </c>
      <c r="D472" s="2" t="str">
        <f>IF(A472="","",MIN('Loan Inputs'!$B$17,C472+E472)+H472)</f>
        <v/>
      </c>
      <c r="E472" s="2" t="str">
        <f>IF(A472="","",C472*'Loan Inputs'!$B$15)</f>
        <v/>
      </c>
      <c r="F472" s="2" t="str">
        <f t="shared" si="21"/>
        <v/>
      </c>
      <c r="G472" s="2" t="str">
        <f t="shared" si="22"/>
        <v/>
      </c>
      <c r="H472" s="2" t="str">
        <f>IF(A472="","",MIN(0,MAX(0,C472+E472-'Loan Inputs'!$B$17)))</f>
        <v/>
      </c>
    </row>
    <row r="473" spans="1:8" ht="22" customHeight="1">
      <c r="A473" s="1" t="str">
        <f>IF(AND('Loan Inputs'!$B$12,467&lt;=IF('Loan Inputs'!$B$12,'Loan Inputs'!$B$7,0)*'Loan Inputs'!$B$14+0,ISNUMBER(G472),G472&gt;0),467,"")</f>
        <v/>
      </c>
      <c r="B473" s="4" t="str">
        <f>IF(A473="","",IF('Loan Inputs'!$B$14=12,DATE(YEAR('Loan Inputs'!$B$8),MONTH('Loan Inputs'!$B$8)+A473,DAY('Loan Inputs'!$B$8)),'Loan Inputs'!$B$8+A473*IF('Loan Inputs'!$B$14=26,14,7)))</f>
        <v/>
      </c>
      <c r="C473" s="2" t="str">
        <f t="shared" si="23"/>
        <v/>
      </c>
      <c r="D473" s="2" t="str">
        <f>IF(A473="","",MIN('Loan Inputs'!$B$17,C473+E473)+H473)</f>
        <v/>
      </c>
      <c r="E473" s="2" t="str">
        <f>IF(A473="","",C473*'Loan Inputs'!$B$15)</f>
        <v/>
      </c>
      <c r="F473" s="2" t="str">
        <f t="shared" si="21"/>
        <v/>
      </c>
      <c r="G473" s="2" t="str">
        <f t="shared" si="22"/>
        <v/>
      </c>
      <c r="H473" s="2" t="str">
        <f>IF(A473="","",MIN(0,MAX(0,C473+E473-'Loan Inputs'!$B$17)))</f>
        <v/>
      </c>
    </row>
    <row r="474" spans="1:8" ht="22" customHeight="1">
      <c r="A474" s="1" t="str">
        <f>IF(AND('Loan Inputs'!$B$12,468&lt;=IF('Loan Inputs'!$B$12,'Loan Inputs'!$B$7,0)*'Loan Inputs'!$B$14+0,ISNUMBER(G473),G473&gt;0),468,"")</f>
        <v/>
      </c>
      <c r="B474" s="4" t="str">
        <f>IF(A474="","",IF('Loan Inputs'!$B$14=12,DATE(YEAR('Loan Inputs'!$B$8),MONTH('Loan Inputs'!$B$8)+A474,DAY('Loan Inputs'!$B$8)),'Loan Inputs'!$B$8+A474*IF('Loan Inputs'!$B$14=26,14,7)))</f>
        <v/>
      </c>
      <c r="C474" s="2" t="str">
        <f t="shared" si="23"/>
        <v/>
      </c>
      <c r="D474" s="2" t="str">
        <f>IF(A474="","",MIN('Loan Inputs'!$B$17,C474+E474)+H474)</f>
        <v/>
      </c>
      <c r="E474" s="2" t="str">
        <f>IF(A474="","",C474*'Loan Inputs'!$B$15)</f>
        <v/>
      </c>
      <c r="F474" s="2" t="str">
        <f t="shared" si="21"/>
        <v/>
      </c>
      <c r="G474" s="2" t="str">
        <f t="shared" si="22"/>
        <v/>
      </c>
      <c r="H474" s="2" t="str">
        <f>IF(A474="","",MIN(0,MAX(0,C474+E474-'Loan Inputs'!$B$17)))</f>
        <v/>
      </c>
    </row>
    <row r="475" spans="1:8" ht="22" customHeight="1">
      <c r="A475" s="1" t="str">
        <f>IF(AND('Loan Inputs'!$B$12,469&lt;=IF('Loan Inputs'!$B$12,'Loan Inputs'!$B$7,0)*'Loan Inputs'!$B$14+0,ISNUMBER(G474),G474&gt;0),469,"")</f>
        <v/>
      </c>
      <c r="B475" s="4" t="str">
        <f>IF(A475="","",IF('Loan Inputs'!$B$14=12,DATE(YEAR('Loan Inputs'!$B$8),MONTH('Loan Inputs'!$B$8)+A475,DAY('Loan Inputs'!$B$8)),'Loan Inputs'!$B$8+A475*IF('Loan Inputs'!$B$14=26,14,7)))</f>
        <v/>
      </c>
      <c r="C475" s="2" t="str">
        <f t="shared" si="23"/>
        <v/>
      </c>
      <c r="D475" s="2" t="str">
        <f>IF(A475="","",MIN('Loan Inputs'!$B$17,C475+E475)+H475)</f>
        <v/>
      </c>
      <c r="E475" s="2" t="str">
        <f>IF(A475="","",C475*'Loan Inputs'!$B$15)</f>
        <v/>
      </c>
      <c r="F475" s="2" t="str">
        <f t="shared" si="21"/>
        <v/>
      </c>
      <c r="G475" s="2" t="str">
        <f t="shared" si="22"/>
        <v/>
      </c>
      <c r="H475" s="2" t="str">
        <f>IF(A475="","",MIN(0,MAX(0,C475+E475-'Loan Inputs'!$B$17)))</f>
        <v/>
      </c>
    </row>
    <row r="476" spans="1:8" ht="22" customHeight="1">
      <c r="A476" s="1" t="str">
        <f>IF(AND('Loan Inputs'!$B$12,470&lt;=IF('Loan Inputs'!$B$12,'Loan Inputs'!$B$7,0)*'Loan Inputs'!$B$14+0,ISNUMBER(G475),G475&gt;0),470,"")</f>
        <v/>
      </c>
      <c r="B476" s="4" t="str">
        <f>IF(A476="","",IF('Loan Inputs'!$B$14=12,DATE(YEAR('Loan Inputs'!$B$8),MONTH('Loan Inputs'!$B$8)+A476,DAY('Loan Inputs'!$B$8)),'Loan Inputs'!$B$8+A476*IF('Loan Inputs'!$B$14=26,14,7)))</f>
        <v/>
      </c>
      <c r="C476" s="2" t="str">
        <f t="shared" si="23"/>
        <v/>
      </c>
      <c r="D476" s="2" t="str">
        <f>IF(A476="","",MIN('Loan Inputs'!$B$17,C476+E476)+H476)</f>
        <v/>
      </c>
      <c r="E476" s="2" t="str">
        <f>IF(A476="","",C476*'Loan Inputs'!$B$15)</f>
        <v/>
      </c>
      <c r="F476" s="2" t="str">
        <f t="shared" si="21"/>
        <v/>
      </c>
      <c r="G476" s="2" t="str">
        <f t="shared" si="22"/>
        <v/>
      </c>
      <c r="H476" s="2" t="str">
        <f>IF(A476="","",MIN(0,MAX(0,C476+E476-'Loan Inputs'!$B$17)))</f>
        <v/>
      </c>
    </row>
    <row r="477" spans="1:8" ht="22" customHeight="1">
      <c r="A477" s="1" t="str">
        <f>IF(AND('Loan Inputs'!$B$12,471&lt;=IF('Loan Inputs'!$B$12,'Loan Inputs'!$B$7,0)*'Loan Inputs'!$B$14+0,ISNUMBER(G476),G476&gt;0),471,"")</f>
        <v/>
      </c>
      <c r="B477" s="4" t="str">
        <f>IF(A477="","",IF('Loan Inputs'!$B$14=12,DATE(YEAR('Loan Inputs'!$B$8),MONTH('Loan Inputs'!$B$8)+A477,DAY('Loan Inputs'!$B$8)),'Loan Inputs'!$B$8+A477*IF('Loan Inputs'!$B$14=26,14,7)))</f>
        <v/>
      </c>
      <c r="C477" s="2" t="str">
        <f t="shared" si="23"/>
        <v/>
      </c>
      <c r="D477" s="2" t="str">
        <f>IF(A477="","",MIN('Loan Inputs'!$B$17,C477+E477)+H477)</f>
        <v/>
      </c>
      <c r="E477" s="2" t="str">
        <f>IF(A477="","",C477*'Loan Inputs'!$B$15)</f>
        <v/>
      </c>
      <c r="F477" s="2" t="str">
        <f t="shared" si="21"/>
        <v/>
      </c>
      <c r="G477" s="2" t="str">
        <f t="shared" si="22"/>
        <v/>
      </c>
      <c r="H477" s="2" t="str">
        <f>IF(A477="","",MIN(0,MAX(0,C477+E477-'Loan Inputs'!$B$17)))</f>
        <v/>
      </c>
    </row>
    <row r="478" spans="1:8" ht="22" customHeight="1">
      <c r="A478" s="1" t="str">
        <f>IF(AND('Loan Inputs'!$B$12,472&lt;=IF('Loan Inputs'!$B$12,'Loan Inputs'!$B$7,0)*'Loan Inputs'!$B$14+0,ISNUMBER(G477),G477&gt;0),472,"")</f>
        <v/>
      </c>
      <c r="B478" s="4" t="str">
        <f>IF(A478="","",IF('Loan Inputs'!$B$14=12,DATE(YEAR('Loan Inputs'!$B$8),MONTH('Loan Inputs'!$B$8)+A478,DAY('Loan Inputs'!$B$8)),'Loan Inputs'!$B$8+A478*IF('Loan Inputs'!$B$14=26,14,7)))</f>
        <v/>
      </c>
      <c r="C478" s="2" t="str">
        <f t="shared" si="23"/>
        <v/>
      </c>
      <c r="D478" s="2" t="str">
        <f>IF(A478="","",MIN('Loan Inputs'!$B$17,C478+E478)+H478)</f>
        <v/>
      </c>
      <c r="E478" s="2" t="str">
        <f>IF(A478="","",C478*'Loan Inputs'!$B$15)</f>
        <v/>
      </c>
      <c r="F478" s="2" t="str">
        <f t="shared" si="21"/>
        <v/>
      </c>
      <c r="G478" s="2" t="str">
        <f t="shared" si="22"/>
        <v/>
      </c>
      <c r="H478" s="2" t="str">
        <f>IF(A478="","",MIN(0,MAX(0,C478+E478-'Loan Inputs'!$B$17)))</f>
        <v/>
      </c>
    </row>
    <row r="479" spans="1:8" ht="22" customHeight="1">
      <c r="A479" s="1" t="str">
        <f>IF(AND('Loan Inputs'!$B$12,473&lt;=IF('Loan Inputs'!$B$12,'Loan Inputs'!$B$7,0)*'Loan Inputs'!$B$14+0,ISNUMBER(G478),G478&gt;0),473,"")</f>
        <v/>
      </c>
      <c r="B479" s="4" t="str">
        <f>IF(A479="","",IF('Loan Inputs'!$B$14=12,DATE(YEAR('Loan Inputs'!$B$8),MONTH('Loan Inputs'!$B$8)+A479,DAY('Loan Inputs'!$B$8)),'Loan Inputs'!$B$8+A479*IF('Loan Inputs'!$B$14=26,14,7)))</f>
        <v/>
      </c>
      <c r="C479" s="2" t="str">
        <f t="shared" si="23"/>
        <v/>
      </c>
      <c r="D479" s="2" t="str">
        <f>IF(A479="","",MIN('Loan Inputs'!$B$17,C479+E479)+H479)</f>
        <v/>
      </c>
      <c r="E479" s="2" t="str">
        <f>IF(A479="","",C479*'Loan Inputs'!$B$15)</f>
        <v/>
      </c>
      <c r="F479" s="2" t="str">
        <f t="shared" si="21"/>
        <v/>
      </c>
      <c r="G479" s="2" t="str">
        <f t="shared" si="22"/>
        <v/>
      </c>
      <c r="H479" s="2" t="str">
        <f>IF(A479="","",MIN(0,MAX(0,C479+E479-'Loan Inputs'!$B$17)))</f>
        <v/>
      </c>
    </row>
    <row r="480" spans="1:8" ht="22" customHeight="1">
      <c r="A480" s="1" t="str">
        <f>IF(AND('Loan Inputs'!$B$12,474&lt;=IF('Loan Inputs'!$B$12,'Loan Inputs'!$B$7,0)*'Loan Inputs'!$B$14+0,ISNUMBER(G479),G479&gt;0),474,"")</f>
        <v/>
      </c>
      <c r="B480" s="4" t="str">
        <f>IF(A480="","",IF('Loan Inputs'!$B$14=12,DATE(YEAR('Loan Inputs'!$B$8),MONTH('Loan Inputs'!$B$8)+A480,DAY('Loan Inputs'!$B$8)),'Loan Inputs'!$B$8+A480*IF('Loan Inputs'!$B$14=26,14,7)))</f>
        <v/>
      </c>
      <c r="C480" s="2" t="str">
        <f t="shared" si="23"/>
        <v/>
      </c>
      <c r="D480" s="2" t="str">
        <f>IF(A480="","",MIN('Loan Inputs'!$B$17,C480+E480)+H480)</f>
        <v/>
      </c>
      <c r="E480" s="2" t="str">
        <f>IF(A480="","",C480*'Loan Inputs'!$B$15)</f>
        <v/>
      </c>
      <c r="F480" s="2" t="str">
        <f t="shared" si="21"/>
        <v/>
      </c>
      <c r="G480" s="2" t="str">
        <f t="shared" si="22"/>
        <v/>
      </c>
      <c r="H480" s="2" t="str">
        <f>IF(A480="","",MIN(0,MAX(0,C480+E480-'Loan Inputs'!$B$17)))</f>
        <v/>
      </c>
    </row>
    <row r="481" spans="1:8" ht="22" customHeight="1">
      <c r="A481" s="1" t="str">
        <f>IF(AND('Loan Inputs'!$B$12,475&lt;=IF('Loan Inputs'!$B$12,'Loan Inputs'!$B$7,0)*'Loan Inputs'!$B$14+0,ISNUMBER(G480),G480&gt;0),475,"")</f>
        <v/>
      </c>
      <c r="B481" s="4" t="str">
        <f>IF(A481="","",IF('Loan Inputs'!$B$14=12,DATE(YEAR('Loan Inputs'!$B$8),MONTH('Loan Inputs'!$B$8)+A481,DAY('Loan Inputs'!$B$8)),'Loan Inputs'!$B$8+A481*IF('Loan Inputs'!$B$14=26,14,7)))</f>
        <v/>
      </c>
      <c r="C481" s="2" t="str">
        <f t="shared" si="23"/>
        <v/>
      </c>
      <c r="D481" s="2" t="str">
        <f>IF(A481="","",MIN('Loan Inputs'!$B$17,C481+E481)+H481)</f>
        <v/>
      </c>
      <c r="E481" s="2" t="str">
        <f>IF(A481="","",C481*'Loan Inputs'!$B$15)</f>
        <v/>
      </c>
      <c r="F481" s="2" t="str">
        <f t="shared" si="21"/>
        <v/>
      </c>
      <c r="G481" s="2" t="str">
        <f t="shared" si="22"/>
        <v/>
      </c>
      <c r="H481" s="2" t="str">
        <f>IF(A481="","",MIN(0,MAX(0,C481+E481-'Loan Inputs'!$B$17)))</f>
        <v/>
      </c>
    </row>
    <row r="482" spans="1:8" ht="22" customHeight="1">
      <c r="A482" s="1" t="str">
        <f>IF(AND('Loan Inputs'!$B$12,476&lt;=IF('Loan Inputs'!$B$12,'Loan Inputs'!$B$7,0)*'Loan Inputs'!$B$14+0,ISNUMBER(G481),G481&gt;0),476,"")</f>
        <v/>
      </c>
      <c r="B482" s="4" t="str">
        <f>IF(A482="","",IF('Loan Inputs'!$B$14=12,DATE(YEAR('Loan Inputs'!$B$8),MONTH('Loan Inputs'!$B$8)+A482,DAY('Loan Inputs'!$B$8)),'Loan Inputs'!$B$8+A482*IF('Loan Inputs'!$B$14=26,14,7)))</f>
        <v/>
      </c>
      <c r="C482" s="2" t="str">
        <f t="shared" si="23"/>
        <v/>
      </c>
      <c r="D482" s="2" t="str">
        <f>IF(A482="","",MIN('Loan Inputs'!$B$17,C482+E482)+H482)</f>
        <v/>
      </c>
      <c r="E482" s="2" t="str">
        <f>IF(A482="","",C482*'Loan Inputs'!$B$15)</f>
        <v/>
      </c>
      <c r="F482" s="2" t="str">
        <f t="shared" si="21"/>
        <v/>
      </c>
      <c r="G482" s="2" t="str">
        <f t="shared" si="22"/>
        <v/>
      </c>
      <c r="H482" s="2" t="str">
        <f>IF(A482="","",MIN(0,MAX(0,C482+E482-'Loan Inputs'!$B$17)))</f>
        <v/>
      </c>
    </row>
    <row r="483" spans="1:8" ht="22" customHeight="1">
      <c r="A483" s="1" t="str">
        <f>IF(AND('Loan Inputs'!$B$12,477&lt;=IF('Loan Inputs'!$B$12,'Loan Inputs'!$B$7,0)*'Loan Inputs'!$B$14+0,ISNUMBER(G482),G482&gt;0),477,"")</f>
        <v/>
      </c>
      <c r="B483" s="4" t="str">
        <f>IF(A483="","",IF('Loan Inputs'!$B$14=12,DATE(YEAR('Loan Inputs'!$B$8),MONTH('Loan Inputs'!$B$8)+A483,DAY('Loan Inputs'!$B$8)),'Loan Inputs'!$B$8+A483*IF('Loan Inputs'!$B$14=26,14,7)))</f>
        <v/>
      </c>
      <c r="C483" s="2" t="str">
        <f t="shared" si="23"/>
        <v/>
      </c>
      <c r="D483" s="2" t="str">
        <f>IF(A483="","",MIN('Loan Inputs'!$B$17,C483+E483)+H483)</f>
        <v/>
      </c>
      <c r="E483" s="2" t="str">
        <f>IF(A483="","",C483*'Loan Inputs'!$B$15)</f>
        <v/>
      </c>
      <c r="F483" s="2" t="str">
        <f t="shared" si="21"/>
        <v/>
      </c>
      <c r="G483" s="2" t="str">
        <f t="shared" si="22"/>
        <v/>
      </c>
      <c r="H483" s="2" t="str">
        <f>IF(A483="","",MIN(0,MAX(0,C483+E483-'Loan Inputs'!$B$17)))</f>
        <v/>
      </c>
    </row>
    <row r="484" spans="1:8" ht="22" customHeight="1">
      <c r="A484" s="1" t="str">
        <f>IF(AND('Loan Inputs'!$B$12,478&lt;=IF('Loan Inputs'!$B$12,'Loan Inputs'!$B$7,0)*'Loan Inputs'!$B$14+0,ISNUMBER(G483),G483&gt;0),478,"")</f>
        <v/>
      </c>
      <c r="B484" s="4" t="str">
        <f>IF(A484="","",IF('Loan Inputs'!$B$14=12,DATE(YEAR('Loan Inputs'!$B$8),MONTH('Loan Inputs'!$B$8)+A484,DAY('Loan Inputs'!$B$8)),'Loan Inputs'!$B$8+A484*IF('Loan Inputs'!$B$14=26,14,7)))</f>
        <v/>
      </c>
      <c r="C484" s="2" t="str">
        <f t="shared" si="23"/>
        <v/>
      </c>
      <c r="D484" s="2" t="str">
        <f>IF(A484="","",MIN('Loan Inputs'!$B$17,C484+E484)+H484)</f>
        <v/>
      </c>
      <c r="E484" s="2" t="str">
        <f>IF(A484="","",C484*'Loan Inputs'!$B$15)</f>
        <v/>
      </c>
      <c r="F484" s="2" t="str">
        <f t="shared" si="21"/>
        <v/>
      </c>
      <c r="G484" s="2" t="str">
        <f t="shared" si="22"/>
        <v/>
      </c>
      <c r="H484" s="2" t="str">
        <f>IF(A484="","",MIN(0,MAX(0,C484+E484-'Loan Inputs'!$B$17)))</f>
        <v/>
      </c>
    </row>
    <row r="485" spans="1:8" ht="22" customHeight="1">
      <c r="A485" s="1" t="str">
        <f>IF(AND('Loan Inputs'!$B$12,479&lt;=IF('Loan Inputs'!$B$12,'Loan Inputs'!$B$7,0)*'Loan Inputs'!$B$14+0,ISNUMBER(G484),G484&gt;0),479,"")</f>
        <v/>
      </c>
      <c r="B485" s="4" t="str">
        <f>IF(A485="","",IF('Loan Inputs'!$B$14=12,DATE(YEAR('Loan Inputs'!$B$8),MONTH('Loan Inputs'!$B$8)+A485,DAY('Loan Inputs'!$B$8)),'Loan Inputs'!$B$8+A485*IF('Loan Inputs'!$B$14=26,14,7)))</f>
        <v/>
      </c>
      <c r="C485" s="2" t="str">
        <f t="shared" si="23"/>
        <v/>
      </c>
      <c r="D485" s="2" t="str">
        <f>IF(A485="","",MIN('Loan Inputs'!$B$17,C485+E485)+H485)</f>
        <v/>
      </c>
      <c r="E485" s="2" t="str">
        <f>IF(A485="","",C485*'Loan Inputs'!$B$15)</f>
        <v/>
      </c>
      <c r="F485" s="2" t="str">
        <f t="shared" si="21"/>
        <v/>
      </c>
      <c r="G485" s="2" t="str">
        <f t="shared" si="22"/>
        <v/>
      </c>
      <c r="H485" s="2" t="str">
        <f>IF(A485="","",MIN(0,MAX(0,C485+E485-'Loan Inputs'!$B$17)))</f>
        <v/>
      </c>
    </row>
    <row r="486" spans="1:8" ht="22" customHeight="1">
      <c r="A486" s="1" t="str">
        <f>IF(AND('Loan Inputs'!$B$12,480&lt;=IF('Loan Inputs'!$B$12,'Loan Inputs'!$B$7,0)*'Loan Inputs'!$B$14+0,ISNUMBER(G485),G485&gt;0),480,"")</f>
        <v/>
      </c>
      <c r="B486" s="4" t="str">
        <f>IF(A486="","",IF('Loan Inputs'!$B$14=12,DATE(YEAR('Loan Inputs'!$B$8),MONTH('Loan Inputs'!$B$8)+A486,DAY('Loan Inputs'!$B$8)),'Loan Inputs'!$B$8+A486*IF('Loan Inputs'!$B$14=26,14,7)))</f>
        <v/>
      </c>
      <c r="C486" s="2" t="str">
        <f t="shared" si="23"/>
        <v/>
      </c>
      <c r="D486" s="2" t="str">
        <f>IF(A486="","",MIN('Loan Inputs'!$B$17,C486+E486)+H486)</f>
        <v/>
      </c>
      <c r="E486" s="2" t="str">
        <f>IF(A486="","",C486*'Loan Inputs'!$B$15)</f>
        <v/>
      </c>
      <c r="F486" s="2" t="str">
        <f t="shared" si="21"/>
        <v/>
      </c>
      <c r="G486" s="2" t="str">
        <f t="shared" si="22"/>
        <v/>
      </c>
      <c r="H486" s="2" t="str">
        <f>IF(A486="","",MIN(0,MAX(0,C486+E486-'Loan Inputs'!$B$17)))</f>
        <v/>
      </c>
    </row>
    <row r="487" spans="1:8" ht="22" customHeight="1">
      <c r="A487" s="1" t="str">
        <f>IF(AND('Loan Inputs'!$B$12,481&lt;=IF('Loan Inputs'!$B$12,'Loan Inputs'!$B$7,0)*'Loan Inputs'!$B$14+0,ISNUMBER(G486),G486&gt;0),481,"")</f>
        <v/>
      </c>
      <c r="B487" s="4" t="str">
        <f>IF(A487="","",IF('Loan Inputs'!$B$14=12,DATE(YEAR('Loan Inputs'!$B$8),MONTH('Loan Inputs'!$B$8)+A487,DAY('Loan Inputs'!$B$8)),'Loan Inputs'!$B$8+A487*IF('Loan Inputs'!$B$14=26,14,7)))</f>
        <v/>
      </c>
      <c r="C487" s="2" t="str">
        <f t="shared" si="23"/>
        <v/>
      </c>
      <c r="D487" s="2" t="str">
        <f>IF(A487="","",MIN('Loan Inputs'!$B$17,C487+E487)+H487)</f>
        <v/>
      </c>
      <c r="E487" s="2" t="str">
        <f>IF(A487="","",C487*'Loan Inputs'!$B$15)</f>
        <v/>
      </c>
      <c r="F487" s="2" t="str">
        <f t="shared" si="21"/>
        <v/>
      </c>
      <c r="G487" s="2" t="str">
        <f t="shared" si="22"/>
        <v/>
      </c>
      <c r="H487" s="2" t="str">
        <f>IF(A487="","",MIN(0,MAX(0,C487+E487-'Loan Inputs'!$B$17)))</f>
        <v/>
      </c>
    </row>
    <row r="488" spans="1:8" ht="22" customHeight="1">
      <c r="A488" s="1" t="str">
        <f>IF(AND('Loan Inputs'!$B$12,482&lt;=IF('Loan Inputs'!$B$12,'Loan Inputs'!$B$7,0)*'Loan Inputs'!$B$14+0,ISNUMBER(G487),G487&gt;0),482,"")</f>
        <v/>
      </c>
      <c r="B488" s="4" t="str">
        <f>IF(A488="","",IF('Loan Inputs'!$B$14=12,DATE(YEAR('Loan Inputs'!$B$8),MONTH('Loan Inputs'!$B$8)+A488,DAY('Loan Inputs'!$B$8)),'Loan Inputs'!$B$8+A488*IF('Loan Inputs'!$B$14=26,14,7)))</f>
        <v/>
      </c>
      <c r="C488" s="2" t="str">
        <f t="shared" si="23"/>
        <v/>
      </c>
      <c r="D488" s="2" t="str">
        <f>IF(A488="","",MIN('Loan Inputs'!$B$17,C488+E488)+H488)</f>
        <v/>
      </c>
      <c r="E488" s="2" t="str">
        <f>IF(A488="","",C488*'Loan Inputs'!$B$15)</f>
        <v/>
      </c>
      <c r="F488" s="2" t="str">
        <f t="shared" si="21"/>
        <v/>
      </c>
      <c r="G488" s="2" t="str">
        <f t="shared" si="22"/>
        <v/>
      </c>
      <c r="H488" s="2" t="str">
        <f>IF(A488="","",MIN(0,MAX(0,C488+E488-'Loan Inputs'!$B$17)))</f>
        <v/>
      </c>
    </row>
    <row r="489" spans="1:8" ht="22" customHeight="1">
      <c r="A489" s="1" t="str">
        <f>IF(AND('Loan Inputs'!$B$12,483&lt;=IF('Loan Inputs'!$B$12,'Loan Inputs'!$B$7,0)*'Loan Inputs'!$B$14+0,ISNUMBER(G488),G488&gt;0),483,"")</f>
        <v/>
      </c>
      <c r="B489" s="4" t="str">
        <f>IF(A489="","",IF('Loan Inputs'!$B$14=12,DATE(YEAR('Loan Inputs'!$B$8),MONTH('Loan Inputs'!$B$8)+A489,DAY('Loan Inputs'!$B$8)),'Loan Inputs'!$B$8+A489*IF('Loan Inputs'!$B$14=26,14,7)))</f>
        <v/>
      </c>
      <c r="C489" s="2" t="str">
        <f t="shared" si="23"/>
        <v/>
      </c>
      <c r="D489" s="2" t="str">
        <f>IF(A489="","",MIN('Loan Inputs'!$B$17,C489+E489)+H489)</f>
        <v/>
      </c>
      <c r="E489" s="2" t="str">
        <f>IF(A489="","",C489*'Loan Inputs'!$B$15)</f>
        <v/>
      </c>
      <c r="F489" s="2" t="str">
        <f t="shared" si="21"/>
        <v/>
      </c>
      <c r="G489" s="2" t="str">
        <f t="shared" si="22"/>
        <v/>
      </c>
      <c r="H489" s="2" t="str">
        <f>IF(A489="","",MIN(0,MAX(0,C489+E489-'Loan Inputs'!$B$17)))</f>
        <v/>
      </c>
    </row>
    <row r="490" spans="1:8" ht="22" customHeight="1">
      <c r="A490" s="1" t="str">
        <f>IF(AND('Loan Inputs'!$B$12,484&lt;=IF('Loan Inputs'!$B$12,'Loan Inputs'!$B$7,0)*'Loan Inputs'!$B$14+0,ISNUMBER(G489),G489&gt;0),484,"")</f>
        <v/>
      </c>
      <c r="B490" s="4" t="str">
        <f>IF(A490="","",IF('Loan Inputs'!$B$14=12,DATE(YEAR('Loan Inputs'!$B$8),MONTH('Loan Inputs'!$B$8)+A490,DAY('Loan Inputs'!$B$8)),'Loan Inputs'!$B$8+A490*IF('Loan Inputs'!$B$14=26,14,7)))</f>
        <v/>
      </c>
      <c r="C490" s="2" t="str">
        <f t="shared" si="23"/>
        <v/>
      </c>
      <c r="D490" s="2" t="str">
        <f>IF(A490="","",MIN('Loan Inputs'!$B$17,C490+E490)+H490)</f>
        <v/>
      </c>
      <c r="E490" s="2" t="str">
        <f>IF(A490="","",C490*'Loan Inputs'!$B$15)</f>
        <v/>
      </c>
      <c r="F490" s="2" t="str">
        <f t="shared" si="21"/>
        <v/>
      </c>
      <c r="G490" s="2" t="str">
        <f t="shared" si="22"/>
        <v/>
      </c>
      <c r="H490" s="2" t="str">
        <f>IF(A490="","",MIN(0,MAX(0,C490+E490-'Loan Inputs'!$B$17)))</f>
        <v/>
      </c>
    </row>
    <row r="491" spans="1:8" ht="22" customHeight="1">
      <c r="A491" s="1" t="str">
        <f>IF(AND('Loan Inputs'!$B$12,485&lt;=IF('Loan Inputs'!$B$12,'Loan Inputs'!$B$7,0)*'Loan Inputs'!$B$14+0,ISNUMBER(G490),G490&gt;0),485,"")</f>
        <v/>
      </c>
      <c r="B491" s="4" t="str">
        <f>IF(A491="","",IF('Loan Inputs'!$B$14=12,DATE(YEAR('Loan Inputs'!$B$8),MONTH('Loan Inputs'!$B$8)+A491,DAY('Loan Inputs'!$B$8)),'Loan Inputs'!$B$8+A491*IF('Loan Inputs'!$B$14=26,14,7)))</f>
        <v/>
      </c>
      <c r="C491" s="2" t="str">
        <f t="shared" si="23"/>
        <v/>
      </c>
      <c r="D491" s="2" t="str">
        <f>IF(A491="","",MIN('Loan Inputs'!$B$17,C491+E491)+H491)</f>
        <v/>
      </c>
      <c r="E491" s="2" t="str">
        <f>IF(A491="","",C491*'Loan Inputs'!$B$15)</f>
        <v/>
      </c>
      <c r="F491" s="2" t="str">
        <f t="shared" si="21"/>
        <v/>
      </c>
      <c r="G491" s="2" t="str">
        <f t="shared" si="22"/>
        <v/>
      </c>
      <c r="H491" s="2" t="str">
        <f>IF(A491="","",MIN(0,MAX(0,C491+E491-'Loan Inputs'!$B$17)))</f>
        <v/>
      </c>
    </row>
    <row r="492" spans="1:8" ht="22" customHeight="1">
      <c r="A492" s="1" t="str">
        <f>IF(AND('Loan Inputs'!$B$12,486&lt;=IF('Loan Inputs'!$B$12,'Loan Inputs'!$B$7,0)*'Loan Inputs'!$B$14+0,ISNUMBER(G491),G491&gt;0),486,"")</f>
        <v/>
      </c>
      <c r="B492" s="4" t="str">
        <f>IF(A492="","",IF('Loan Inputs'!$B$14=12,DATE(YEAR('Loan Inputs'!$B$8),MONTH('Loan Inputs'!$B$8)+A492,DAY('Loan Inputs'!$B$8)),'Loan Inputs'!$B$8+A492*IF('Loan Inputs'!$B$14=26,14,7)))</f>
        <v/>
      </c>
      <c r="C492" s="2" t="str">
        <f t="shared" si="23"/>
        <v/>
      </c>
      <c r="D492" s="2" t="str">
        <f>IF(A492="","",MIN('Loan Inputs'!$B$17,C492+E492)+H492)</f>
        <v/>
      </c>
      <c r="E492" s="2" t="str">
        <f>IF(A492="","",C492*'Loan Inputs'!$B$15)</f>
        <v/>
      </c>
      <c r="F492" s="2" t="str">
        <f t="shared" si="21"/>
        <v/>
      </c>
      <c r="G492" s="2" t="str">
        <f t="shared" si="22"/>
        <v/>
      </c>
      <c r="H492" s="2" t="str">
        <f>IF(A492="","",MIN(0,MAX(0,C492+E492-'Loan Inputs'!$B$17)))</f>
        <v/>
      </c>
    </row>
    <row r="493" spans="1:8" ht="22" customHeight="1">
      <c r="A493" s="1" t="str">
        <f>IF(AND('Loan Inputs'!$B$12,487&lt;=IF('Loan Inputs'!$B$12,'Loan Inputs'!$B$7,0)*'Loan Inputs'!$B$14+0,ISNUMBER(G492),G492&gt;0),487,"")</f>
        <v/>
      </c>
      <c r="B493" s="4" t="str">
        <f>IF(A493="","",IF('Loan Inputs'!$B$14=12,DATE(YEAR('Loan Inputs'!$B$8),MONTH('Loan Inputs'!$B$8)+A493,DAY('Loan Inputs'!$B$8)),'Loan Inputs'!$B$8+A493*IF('Loan Inputs'!$B$14=26,14,7)))</f>
        <v/>
      </c>
      <c r="C493" s="2" t="str">
        <f t="shared" si="23"/>
        <v/>
      </c>
      <c r="D493" s="2" t="str">
        <f>IF(A493="","",MIN('Loan Inputs'!$B$17,C493+E493)+H493)</f>
        <v/>
      </c>
      <c r="E493" s="2" t="str">
        <f>IF(A493="","",C493*'Loan Inputs'!$B$15)</f>
        <v/>
      </c>
      <c r="F493" s="2" t="str">
        <f t="shared" si="21"/>
        <v/>
      </c>
      <c r="G493" s="2" t="str">
        <f t="shared" si="22"/>
        <v/>
      </c>
      <c r="H493" s="2" t="str">
        <f>IF(A493="","",MIN(0,MAX(0,C493+E493-'Loan Inputs'!$B$17)))</f>
        <v/>
      </c>
    </row>
    <row r="494" spans="1:8" ht="22" customHeight="1">
      <c r="A494" s="1" t="str">
        <f>IF(AND('Loan Inputs'!$B$12,488&lt;=IF('Loan Inputs'!$B$12,'Loan Inputs'!$B$7,0)*'Loan Inputs'!$B$14+0,ISNUMBER(G493),G493&gt;0),488,"")</f>
        <v/>
      </c>
      <c r="B494" s="4" t="str">
        <f>IF(A494="","",IF('Loan Inputs'!$B$14=12,DATE(YEAR('Loan Inputs'!$B$8),MONTH('Loan Inputs'!$B$8)+A494,DAY('Loan Inputs'!$B$8)),'Loan Inputs'!$B$8+A494*IF('Loan Inputs'!$B$14=26,14,7)))</f>
        <v/>
      </c>
      <c r="C494" s="2" t="str">
        <f t="shared" si="23"/>
        <v/>
      </c>
      <c r="D494" s="2" t="str">
        <f>IF(A494="","",MIN('Loan Inputs'!$B$17,C494+E494)+H494)</f>
        <v/>
      </c>
      <c r="E494" s="2" t="str">
        <f>IF(A494="","",C494*'Loan Inputs'!$B$15)</f>
        <v/>
      </c>
      <c r="F494" s="2" t="str">
        <f t="shared" si="21"/>
        <v/>
      </c>
      <c r="G494" s="2" t="str">
        <f t="shared" si="22"/>
        <v/>
      </c>
      <c r="H494" s="2" t="str">
        <f>IF(A494="","",MIN(0,MAX(0,C494+E494-'Loan Inputs'!$B$17)))</f>
        <v/>
      </c>
    </row>
    <row r="495" spans="1:8" ht="22" customHeight="1">
      <c r="A495" s="1" t="str">
        <f>IF(AND('Loan Inputs'!$B$12,489&lt;=IF('Loan Inputs'!$B$12,'Loan Inputs'!$B$7,0)*'Loan Inputs'!$B$14+0,ISNUMBER(G494),G494&gt;0),489,"")</f>
        <v/>
      </c>
      <c r="B495" s="4" t="str">
        <f>IF(A495="","",IF('Loan Inputs'!$B$14=12,DATE(YEAR('Loan Inputs'!$B$8),MONTH('Loan Inputs'!$B$8)+A495,DAY('Loan Inputs'!$B$8)),'Loan Inputs'!$B$8+A495*IF('Loan Inputs'!$B$14=26,14,7)))</f>
        <v/>
      </c>
      <c r="C495" s="2" t="str">
        <f t="shared" si="23"/>
        <v/>
      </c>
      <c r="D495" s="2" t="str">
        <f>IF(A495="","",MIN('Loan Inputs'!$B$17,C495+E495)+H495)</f>
        <v/>
      </c>
      <c r="E495" s="2" t="str">
        <f>IF(A495="","",C495*'Loan Inputs'!$B$15)</f>
        <v/>
      </c>
      <c r="F495" s="2" t="str">
        <f t="shared" si="21"/>
        <v/>
      </c>
      <c r="G495" s="2" t="str">
        <f t="shared" si="22"/>
        <v/>
      </c>
      <c r="H495" s="2" t="str">
        <f>IF(A495="","",MIN(0,MAX(0,C495+E495-'Loan Inputs'!$B$17)))</f>
        <v/>
      </c>
    </row>
    <row r="496" spans="1:8" ht="22" customHeight="1">
      <c r="A496" s="1" t="str">
        <f>IF(AND('Loan Inputs'!$B$12,490&lt;=IF('Loan Inputs'!$B$12,'Loan Inputs'!$B$7,0)*'Loan Inputs'!$B$14+0,ISNUMBER(G495),G495&gt;0),490,"")</f>
        <v/>
      </c>
      <c r="B496" s="4" t="str">
        <f>IF(A496="","",IF('Loan Inputs'!$B$14=12,DATE(YEAR('Loan Inputs'!$B$8),MONTH('Loan Inputs'!$B$8)+A496,DAY('Loan Inputs'!$B$8)),'Loan Inputs'!$B$8+A496*IF('Loan Inputs'!$B$14=26,14,7)))</f>
        <v/>
      </c>
      <c r="C496" s="2" t="str">
        <f t="shared" si="23"/>
        <v/>
      </c>
      <c r="D496" s="2" t="str">
        <f>IF(A496="","",MIN('Loan Inputs'!$B$17,C496+E496)+H496)</f>
        <v/>
      </c>
      <c r="E496" s="2" t="str">
        <f>IF(A496="","",C496*'Loan Inputs'!$B$15)</f>
        <v/>
      </c>
      <c r="F496" s="2" t="str">
        <f t="shared" si="21"/>
        <v/>
      </c>
      <c r="G496" s="2" t="str">
        <f t="shared" si="22"/>
        <v/>
      </c>
      <c r="H496" s="2" t="str">
        <f>IF(A496="","",MIN(0,MAX(0,C496+E496-'Loan Inputs'!$B$17)))</f>
        <v/>
      </c>
    </row>
    <row r="497" spans="1:8" ht="22" customHeight="1">
      <c r="A497" s="1" t="str">
        <f>IF(AND('Loan Inputs'!$B$12,491&lt;=IF('Loan Inputs'!$B$12,'Loan Inputs'!$B$7,0)*'Loan Inputs'!$B$14+0,ISNUMBER(G496),G496&gt;0),491,"")</f>
        <v/>
      </c>
      <c r="B497" s="4" t="str">
        <f>IF(A497="","",IF('Loan Inputs'!$B$14=12,DATE(YEAR('Loan Inputs'!$B$8),MONTH('Loan Inputs'!$B$8)+A497,DAY('Loan Inputs'!$B$8)),'Loan Inputs'!$B$8+A497*IF('Loan Inputs'!$B$14=26,14,7)))</f>
        <v/>
      </c>
      <c r="C497" s="2" t="str">
        <f t="shared" si="23"/>
        <v/>
      </c>
      <c r="D497" s="2" t="str">
        <f>IF(A497="","",MIN('Loan Inputs'!$B$17,C497+E497)+H497)</f>
        <v/>
      </c>
      <c r="E497" s="2" t="str">
        <f>IF(A497="","",C497*'Loan Inputs'!$B$15)</f>
        <v/>
      </c>
      <c r="F497" s="2" t="str">
        <f t="shared" si="21"/>
        <v/>
      </c>
      <c r="G497" s="2" t="str">
        <f t="shared" si="22"/>
        <v/>
      </c>
      <c r="H497" s="2" t="str">
        <f>IF(A497="","",MIN(0,MAX(0,C497+E497-'Loan Inputs'!$B$17)))</f>
        <v/>
      </c>
    </row>
    <row r="498" spans="1:8" ht="22" customHeight="1">
      <c r="A498" s="1" t="str">
        <f>IF(AND('Loan Inputs'!$B$12,492&lt;=IF('Loan Inputs'!$B$12,'Loan Inputs'!$B$7,0)*'Loan Inputs'!$B$14+0,ISNUMBER(G497),G497&gt;0),492,"")</f>
        <v/>
      </c>
      <c r="B498" s="4" t="str">
        <f>IF(A498="","",IF('Loan Inputs'!$B$14=12,DATE(YEAR('Loan Inputs'!$B$8),MONTH('Loan Inputs'!$B$8)+A498,DAY('Loan Inputs'!$B$8)),'Loan Inputs'!$B$8+A498*IF('Loan Inputs'!$B$14=26,14,7)))</f>
        <v/>
      </c>
      <c r="C498" s="2" t="str">
        <f t="shared" si="23"/>
        <v/>
      </c>
      <c r="D498" s="2" t="str">
        <f>IF(A498="","",MIN('Loan Inputs'!$B$17,C498+E498)+H498)</f>
        <v/>
      </c>
      <c r="E498" s="2" t="str">
        <f>IF(A498="","",C498*'Loan Inputs'!$B$15)</f>
        <v/>
      </c>
      <c r="F498" s="2" t="str">
        <f t="shared" si="21"/>
        <v/>
      </c>
      <c r="G498" s="2" t="str">
        <f t="shared" si="22"/>
        <v/>
      </c>
      <c r="H498" s="2" t="str">
        <f>IF(A498="","",MIN(0,MAX(0,C498+E498-'Loan Inputs'!$B$17)))</f>
        <v/>
      </c>
    </row>
    <row r="499" spans="1:8" ht="22" customHeight="1">
      <c r="A499" s="1" t="str">
        <f>IF(AND('Loan Inputs'!$B$12,493&lt;=IF('Loan Inputs'!$B$12,'Loan Inputs'!$B$7,0)*'Loan Inputs'!$B$14+0,ISNUMBER(G498),G498&gt;0),493,"")</f>
        <v/>
      </c>
      <c r="B499" s="4" t="str">
        <f>IF(A499="","",IF('Loan Inputs'!$B$14=12,DATE(YEAR('Loan Inputs'!$B$8),MONTH('Loan Inputs'!$B$8)+A499,DAY('Loan Inputs'!$B$8)),'Loan Inputs'!$B$8+A499*IF('Loan Inputs'!$B$14=26,14,7)))</f>
        <v/>
      </c>
      <c r="C499" s="2" t="str">
        <f t="shared" si="23"/>
        <v/>
      </c>
      <c r="D499" s="2" t="str">
        <f>IF(A499="","",MIN('Loan Inputs'!$B$17,C499+E499)+H499)</f>
        <v/>
      </c>
      <c r="E499" s="2" t="str">
        <f>IF(A499="","",C499*'Loan Inputs'!$B$15)</f>
        <v/>
      </c>
      <c r="F499" s="2" t="str">
        <f t="shared" si="21"/>
        <v/>
      </c>
      <c r="G499" s="2" t="str">
        <f t="shared" si="22"/>
        <v/>
      </c>
      <c r="H499" s="2" t="str">
        <f>IF(A499="","",MIN(0,MAX(0,C499+E499-'Loan Inputs'!$B$17)))</f>
        <v/>
      </c>
    </row>
    <row r="500" spans="1:8" ht="22" customHeight="1">
      <c r="A500" s="1" t="str">
        <f>IF(AND('Loan Inputs'!$B$12,494&lt;=IF('Loan Inputs'!$B$12,'Loan Inputs'!$B$7,0)*'Loan Inputs'!$B$14+0,ISNUMBER(G499),G499&gt;0),494,"")</f>
        <v/>
      </c>
      <c r="B500" s="4" t="str">
        <f>IF(A500="","",IF('Loan Inputs'!$B$14=12,DATE(YEAR('Loan Inputs'!$B$8),MONTH('Loan Inputs'!$B$8)+A500,DAY('Loan Inputs'!$B$8)),'Loan Inputs'!$B$8+A500*IF('Loan Inputs'!$B$14=26,14,7)))</f>
        <v/>
      </c>
      <c r="C500" s="2" t="str">
        <f t="shared" si="23"/>
        <v/>
      </c>
      <c r="D500" s="2" t="str">
        <f>IF(A500="","",MIN('Loan Inputs'!$B$17,C500+E500)+H500)</f>
        <v/>
      </c>
      <c r="E500" s="2" t="str">
        <f>IF(A500="","",C500*'Loan Inputs'!$B$15)</f>
        <v/>
      </c>
      <c r="F500" s="2" t="str">
        <f t="shared" si="21"/>
        <v/>
      </c>
      <c r="G500" s="2" t="str">
        <f t="shared" si="22"/>
        <v/>
      </c>
      <c r="H500" s="2" t="str">
        <f>IF(A500="","",MIN(0,MAX(0,C500+E500-'Loan Inputs'!$B$17)))</f>
        <v/>
      </c>
    </row>
    <row r="501" spans="1:8" ht="22" customHeight="1">
      <c r="A501" s="1" t="str">
        <f>IF(AND('Loan Inputs'!$B$12,495&lt;=IF('Loan Inputs'!$B$12,'Loan Inputs'!$B$7,0)*'Loan Inputs'!$B$14+0,ISNUMBER(G500),G500&gt;0),495,"")</f>
        <v/>
      </c>
      <c r="B501" s="4" t="str">
        <f>IF(A501="","",IF('Loan Inputs'!$B$14=12,DATE(YEAR('Loan Inputs'!$B$8),MONTH('Loan Inputs'!$B$8)+A501,DAY('Loan Inputs'!$B$8)),'Loan Inputs'!$B$8+A501*IF('Loan Inputs'!$B$14=26,14,7)))</f>
        <v/>
      </c>
      <c r="C501" s="2" t="str">
        <f t="shared" si="23"/>
        <v/>
      </c>
      <c r="D501" s="2" t="str">
        <f>IF(A501="","",MIN('Loan Inputs'!$B$17,C501+E501)+H501)</f>
        <v/>
      </c>
      <c r="E501" s="2" t="str">
        <f>IF(A501="","",C501*'Loan Inputs'!$B$15)</f>
        <v/>
      </c>
      <c r="F501" s="2" t="str">
        <f t="shared" si="21"/>
        <v/>
      </c>
      <c r="G501" s="2" t="str">
        <f t="shared" si="22"/>
        <v/>
      </c>
      <c r="H501" s="2" t="str">
        <f>IF(A501="","",MIN(0,MAX(0,C501+E501-'Loan Inputs'!$B$17)))</f>
        <v/>
      </c>
    </row>
    <row r="502" spans="1:8" ht="22" customHeight="1">
      <c r="A502" s="1" t="str">
        <f>IF(AND('Loan Inputs'!$B$12,496&lt;=IF('Loan Inputs'!$B$12,'Loan Inputs'!$B$7,0)*'Loan Inputs'!$B$14+0,ISNUMBER(G501),G501&gt;0),496,"")</f>
        <v/>
      </c>
      <c r="B502" s="4" t="str">
        <f>IF(A502="","",IF('Loan Inputs'!$B$14=12,DATE(YEAR('Loan Inputs'!$B$8),MONTH('Loan Inputs'!$B$8)+A502,DAY('Loan Inputs'!$B$8)),'Loan Inputs'!$B$8+A502*IF('Loan Inputs'!$B$14=26,14,7)))</f>
        <v/>
      </c>
      <c r="C502" s="2" t="str">
        <f t="shared" si="23"/>
        <v/>
      </c>
      <c r="D502" s="2" t="str">
        <f>IF(A502="","",MIN('Loan Inputs'!$B$17,C502+E502)+H502)</f>
        <v/>
      </c>
      <c r="E502" s="2" t="str">
        <f>IF(A502="","",C502*'Loan Inputs'!$B$15)</f>
        <v/>
      </c>
      <c r="F502" s="2" t="str">
        <f t="shared" si="21"/>
        <v/>
      </c>
      <c r="G502" s="2" t="str">
        <f t="shared" si="22"/>
        <v/>
      </c>
      <c r="H502" s="2" t="str">
        <f>IF(A502="","",MIN(0,MAX(0,C502+E502-'Loan Inputs'!$B$17)))</f>
        <v/>
      </c>
    </row>
    <row r="503" spans="1:8" ht="22" customHeight="1">
      <c r="A503" s="1" t="str">
        <f>IF(AND('Loan Inputs'!$B$12,497&lt;=IF('Loan Inputs'!$B$12,'Loan Inputs'!$B$7,0)*'Loan Inputs'!$B$14+0,ISNUMBER(G502),G502&gt;0),497,"")</f>
        <v/>
      </c>
      <c r="B503" s="4" t="str">
        <f>IF(A503="","",IF('Loan Inputs'!$B$14=12,DATE(YEAR('Loan Inputs'!$B$8),MONTH('Loan Inputs'!$B$8)+A503,DAY('Loan Inputs'!$B$8)),'Loan Inputs'!$B$8+A503*IF('Loan Inputs'!$B$14=26,14,7)))</f>
        <v/>
      </c>
      <c r="C503" s="2" t="str">
        <f t="shared" si="23"/>
        <v/>
      </c>
      <c r="D503" s="2" t="str">
        <f>IF(A503="","",MIN('Loan Inputs'!$B$17,C503+E503)+H503)</f>
        <v/>
      </c>
      <c r="E503" s="2" t="str">
        <f>IF(A503="","",C503*'Loan Inputs'!$B$15)</f>
        <v/>
      </c>
      <c r="F503" s="2" t="str">
        <f t="shared" si="21"/>
        <v/>
      </c>
      <c r="G503" s="2" t="str">
        <f t="shared" si="22"/>
        <v/>
      </c>
      <c r="H503" s="2" t="str">
        <f>IF(A503="","",MIN(0,MAX(0,C503+E503-'Loan Inputs'!$B$17)))</f>
        <v/>
      </c>
    </row>
    <row r="504" spans="1:8" ht="22" customHeight="1">
      <c r="A504" s="1" t="str">
        <f>IF(AND('Loan Inputs'!$B$12,498&lt;=IF('Loan Inputs'!$B$12,'Loan Inputs'!$B$7,0)*'Loan Inputs'!$B$14+0,ISNUMBER(G503),G503&gt;0),498,"")</f>
        <v/>
      </c>
      <c r="B504" s="4" t="str">
        <f>IF(A504="","",IF('Loan Inputs'!$B$14=12,DATE(YEAR('Loan Inputs'!$B$8),MONTH('Loan Inputs'!$B$8)+A504,DAY('Loan Inputs'!$B$8)),'Loan Inputs'!$B$8+A504*IF('Loan Inputs'!$B$14=26,14,7)))</f>
        <v/>
      </c>
      <c r="C504" s="2" t="str">
        <f t="shared" si="23"/>
        <v/>
      </c>
      <c r="D504" s="2" t="str">
        <f>IF(A504="","",MIN('Loan Inputs'!$B$17,C504+E504)+H504)</f>
        <v/>
      </c>
      <c r="E504" s="2" t="str">
        <f>IF(A504="","",C504*'Loan Inputs'!$B$15)</f>
        <v/>
      </c>
      <c r="F504" s="2" t="str">
        <f t="shared" si="21"/>
        <v/>
      </c>
      <c r="G504" s="2" t="str">
        <f t="shared" si="22"/>
        <v/>
      </c>
      <c r="H504" s="2" t="str">
        <f>IF(A504="","",MIN(0,MAX(0,C504+E504-'Loan Inputs'!$B$17)))</f>
        <v/>
      </c>
    </row>
    <row r="505" spans="1:8" ht="22" customHeight="1">
      <c r="A505" s="1" t="str">
        <f>IF(AND('Loan Inputs'!$B$12,499&lt;=IF('Loan Inputs'!$B$12,'Loan Inputs'!$B$7,0)*'Loan Inputs'!$B$14+0,ISNUMBER(G504),G504&gt;0),499,"")</f>
        <v/>
      </c>
      <c r="B505" s="4" t="str">
        <f>IF(A505="","",IF('Loan Inputs'!$B$14=12,DATE(YEAR('Loan Inputs'!$B$8),MONTH('Loan Inputs'!$B$8)+A505,DAY('Loan Inputs'!$B$8)),'Loan Inputs'!$B$8+A505*IF('Loan Inputs'!$B$14=26,14,7)))</f>
        <v/>
      </c>
      <c r="C505" s="2" t="str">
        <f t="shared" si="23"/>
        <v/>
      </c>
      <c r="D505" s="2" t="str">
        <f>IF(A505="","",MIN('Loan Inputs'!$B$17,C505+E505)+H505)</f>
        <v/>
      </c>
      <c r="E505" s="2" t="str">
        <f>IF(A505="","",C505*'Loan Inputs'!$B$15)</f>
        <v/>
      </c>
      <c r="F505" s="2" t="str">
        <f t="shared" si="21"/>
        <v/>
      </c>
      <c r="G505" s="2" t="str">
        <f t="shared" si="22"/>
        <v/>
      </c>
      <c r="H505" s="2" t="str">
        <f>IF(A505="","",MIN(0,MAX(0,C505+E505-'Loan Inputs'!$B$17)))</f>
        <v/>
      </c>
    </row>
    <row r="506" spans="1:8" ht="22" customHeight="1">
      <c r="A506" s="1" t="str">
        <f>IF(AND('Loan Inputs'!$B$12,500&lt;=IF('Loan Inputs'!$B$12,'Loan Inputs'!$B$7,0)*'Loan Inputs'!$B$14+0,ISNUMBER(G505),G505&gt;0),500,"")</f>
        <v/>
      </c>
      <c r="B506" s="4" t="str">
        <f>IF(A506="","",IF('Loan Inputs'!$B$14=12,DATE(YEAR('Loan Inputs'!$B$8),MONTH('Loan Inputs'!$B$8)+A506,DAY('Loan Inputs'!$B$8)),'Loan Inputs'!$B$8+A506*IF('Loan Inputs'!$B$14=26,14,7)))</f>
        <v/>
      </c>
      <c r="C506" s="2" t="str">
        <f t="shared" si="23"/>
        <v/>
      </c>
      <c r="D506" s="2" t="str">
        <f>IF(A506="","",MIN('Loan Inputs'!$B$17,C506+E506)+H506)</f>
        <v/>
      </c>
      <c r="E506" s="2" t="str">
        <f>IF(A506="","",C506*'Loan Inputs'!$B$15)</f>
        <v/>
      </c>
      <c r="F506" s="2" t="str">
        <f t="shared" si="21"/>
        <v/>
      </c>
      <c r="G506" s="2" t="str">
        <f t="shared" si="22"/>
        <v/>
      </c>
      <c r="H506" s="2" t="str">
        <f>IF(A506="","",MIN(0,MAX(0,C506+E506-'Loan Inputs'!$B$17)))</f>
        <v/>
      </c>
    </row>
    <row r="507" spans="1:8" ht="22" customHeight="1">
      <c r="A507" s="1" t="str">
        <f>IF(AND('Loan Inputs'!$B$12,501&lt;=IF('Loan Inputs'!$B$12,'Loan Inputs'!$B$7,0)*'Loan Inputs'!$B$14+0,ISNUMBER(G506),G506&gt;0),501,"")</f>
        <v/>
      </c>
      <c r="B507" s="4" t="str">
        <f>IF(A507="","",IF('Loan Inputs'!$B$14=12,DATE(YEAR('Loan Inputs'!$B$8),MONTH('Loan Inputs'!$B$8)+A507,DAY('Loan Inputs'!$B$8)),'Loan Inputs'!$B$8+A507*IF('Loan Inputs'!$B$14=26,14,7)))</f>
        <v/>
      </c>
      <c r="C507" s="2" t="str">
        <f t="shared" si="23"/>
        <v/>
      </c>
      <c r="D507" s="2" t="str">
        <f>IF(A507="","",MIN('Loan Inputs'!$B$17,C507+E507)+H507)</f>
        <v/>
      </c>
      <c r="E507" s="2" t="str">
        <f>IF(A507="","",C507*'Loan Inputs'!$B$15)</f>
        <v/>
      </c>
      <c r="F507" s="2" t="str">
        <f t="shared" si="21"/>
        <v/>
      </c>
      <c r="G507" s="2" t="str">
        <f t="shared" si="22"/>
        <v/>
      </c>
      <c r="H507" s="2" t="str">
        <f>IF(A507="","",MIN(0,MAX(0,C507+E507-'Loan Inputs'!$B$17)))</f>
        <v/>
      </c>
    </row>
    <row r="508" spans="1:8" ht="22" customHeight="1">
      <c r="A508" s="1" t="str">
        <f>IF(AND('Loan Inputs'!$B$12,502&lt;=IF('Loan Inputs'!$B$12,'Loan Inputs'!$B$7,0)*'Loan Inputs'!$B$14+0,ISNUMBER(G507),G507&gt;0),502,"")</f>
        <v/>
      </c>
      <c r="B508" s="4" t="str">
        <f>IF(A508="","",IF('Loan Inputs'!$B$14=12,DATE(YEAR('Loan Inputs'!$B$8),MONTH('Loan Inputs'!$B$8)+A508,DAY('Loan Inputs'!$B$8)),'Loan Inputs'!$B$8+A508*IF('Loan Inputs'!$B$14=26,14,7)))</f>
        <v/>
      </c>
      <c r="C508" s="2" t="str">
        <f t="shared" si="23"/>
        <v/>
      </c>
      <c r="D508" s="2" t="str">
        <f>IF(A508="","",MIN('Loan Inputs'!$B$17,C508+E508)+H508)</f>
        <v/>
      </c>
      <c r="E508" s="2" t="str">
        <f>IF(A508="","",C508*'Loan Inputs'!$B$15)</f>
        <v/>
      </c>
      <c r="F508" s="2" t="str">
        <f t="shared" si="21"/>
        <v/>
      </c>
      <c r="G508" s="2" t="str">
        <f t="shared" si="22"/>
        <v/>
      </c>
      <c r="H508" s="2" t="str">
        <f>IF(A508="","",MIN(0,MAX(0,C508+E508-'Loan Inputs'!$B$17)))</f>
        <v/>
      </c>
    </row>
    <row r="509" spans="1:8" ht="22" customHeight="1">
      <c r="A509" s="1" t="str">
        <f>IF(AND('Loan Inputs'!$B$12,503&lt;=IF('Loan Inputs'!$B$12,'Loan Inputs'!$B$7,0)*'Loan Inputs'!$B$14+0,ISNUMBER(G508),G508&gt;0),503,"")</f>
        <v/>
      </c>
      <c r="B509" s="4" t="str">
        <f>IF(A509="","",IF('Loan Inputs'!$B$14=12,DATE(YEAR('Loan Inputs'!$B$8),MONTH('Loan Inputs'!$B$8)+A509,DAY('Loan Inputs'!$B$8)),'Loan Inputs'!$B$8+A509*IF('Loan Inputs'!$B$14=26,14,7)))</f>
        <v/>
      </c>
      <c r="C509" s="2" t="str">
        <f t="shared" si="23"/>
        <v/>
      </c>
      <c r="D509" s="2" t="str">
        <f>IF(A509="","",MIN('Loan Inputs'!$B$17,C509+E509)+H509)</f>
        <v/>
      </c>
      <c r="E509" s="2" t="str">
        <f>IF(A509="","",C509*'Loan Inputs'!$B$15)</f>
        <v/>
      </c>
      <c r="F509" s="2" t="str">
        <f t="shared" si="21"/>
        <v/>
      </c>
      <c r="G509" s="2" t="str">
        <f t="shared" si="22"/>
        <v/>
      </c>
      <c r="H509" s="2" t="str">
        <f>IF(A509="","",MIN(0,MAX(0,C509+E509-'Loan Inputs'!$B$17)))</f>
        <v/>
      </c>
    </row>
    <row r="510" spans="1:8" ht="22" customHeight="1">
      <c r="A510" s="1" t="str">
        <f>IF(AND('Loan Inputs'!$B$12,504&lt;=IF('Loan Inputs'!$B$12,'Loan Inputs'!$B$7,0)*'Loan Inputs'!$B$14+0,ISNUMBER(G509),G509&gt;0),504,"")</f>
        <v/>
      </c>
      <c r="B510" s="4" t="str">
        <f>IF(A510="","",IF('Loan Inputs'!$B$14=12,DATE(YEAR('Loan Inputs'!$B$8),MONTH('Loan Inputs'!$B$8)+A510,DAY('Loan Inputs'!$B$8)),'Loan Inputs'!$B$8+A510*IF('Loan Inputs'!$B$14=26,14,7)))</f>
        <v/>
      </c>
      <c r="C510" s="2" t="str">
        <f t="shared" si="23"/>
        <v/>
      </c>
      <c r="D510" s="2" t="str">
        <f>IF(A510="","",MIN('Loan Inputs'!$B$17,C510+E510)+H510)</f>
        <v/>
      </c>
      <c r="E510" s="2" t="str">
        <f>IF(A510="","",C510*'Loan Inputs'!$B$15)</f>
        <v/>
      </c>
      <c r="F510" s="2" t="str">
        <f t="shared" si="21"/>
        <v/>
      </c>
      <c r="G510" s="2" t="str">
        <f t="shared" si="22"/>
        <v/>
      </c>
      <c r="H510" s="2" t="str">
        <f>IF(A510="","",MIN(0,MAX(0,C510+E510-'Loan Inputs'!$B$17)))</f>
        <v/>
      </c>
    </row>
    <row r="511" spans="1:8" ht="22" customHeight="1">
      <c r="A511" s="1" t="str">
        <f>IF(AND('Loan Inputs'!$B$12,505&lt;=IF('Loan Inputs'!$B$12,'Loan Inputs'!$B$7,0)*'Loan Inputs'!$B$14+0,ISNUMBER(G510),G510&gt;0),505,"")</f>
        <v/>
      </c>
      <c r="B511" s="4" t="str">
        <f>IF(A511="","",IF('Loan Inputs'!$B$14=12,DATE(YEAR('Loan Inputs'!$B$8),MONTH('Loan Inputs'!$B$8)+A511,DAY('Loan Inputs'!$B$8)),'Loan Inputs'!$B$8+A511*IF('Loan Inputs'!$B$14=26,14,7)))</f>
        <v/>
      </c>
      <c r="C511" s="2" t="str">
        <f t="shared" si="23"/>
        <v/>
      </c>
      <c r="D511" s="2" t="str">
        <f>IF(A511="","",MIN('Loan Inputs'!$B$17,C511+E511)+H511)</f>
        <v/>
      </c>
      <c r="E511" s="2" t="str">
        <f>IF(A511="","",C511*'Loan Inputs'!$B$15)</f>
        <v/>
      </c>
      <c r="F511" s="2" t="str">
        <f t="shared" si="21"/>
        <v/>
      </c>
      <c r="G511" s="2" t="str">
        <f t="shared" si="22"/>
        <v/>
      </c>
      <c r="H511" s="2" t="str">
        <f>IF(A511="","",MIN(0,MAX(0,C511+E511-'Loan Inputs'!$B$17)))</f>
        <v/>
      </c>
    </row>
    <row r="512" spans="1:8" ht="22" customHeight="1">
      <c r="A512" s="1" t="str">
        <f>IF(AND('Loan Inputs'!$B$12,506&lt;=IF('Loan Inputs'!$B$12,'Loan Inputs'!$B$7,0)*'Loan Inputs'!$B$14+0,ISNUMBER(G511),G511&gt;0),506,"")</f>
        <v/>
      </c>
      <c r="B512" s="4" t="str">
        <f>IF(A512="","",IF('Loan Inputs'!$B$14=12,DATE(YEAR('Loan Inputs'!$B$8),MONTH('Loan Inputs'!$B$8)+A512,DAY('Loan Inputs'!$B$8)),'Loan Inputs'!$B$8+A512*IF('Loan Inputs'!$B$14=26,14,7)))</f>
        <v/>
      </c>
      <c r="C512" s="2" t="str">
        <f t="shared" si="23"/>
        <v/>
      </c>
      <c r="D512" s="2" t="str">
        <f>IF(A512="","",MIN('Loan Inputs'!$B$17,C512+E512)+H512)</f>
        <v/>
      </c>
      <c r="E512" s="2" t="str">
        <f>IF(A512="","",C512*'Loan Inputs'!$B$15)</f>
        <v/>
      </c>
      <c r="F512" s="2" t="str">
        <f t="shared" si="21"/>
        <v/>
      </c>
      <c r="G512" s="2" t="str">
        <f t="shared" si="22"/>
        <v/>
      </c>
      <c r="H512" s="2" t="str">
        <f>IF(A512="","",MIN(0,MAX(0,C512+E512-'Loan Inputs'!$B$17)))</f>
        <v/>
      </c>
    </row>
    <row r="513" spans="1:8" ht="22" customHeight="1">
      <c r="A513" s="1" t="str">
        <f>IF(AND('Loan Inputs'!$B$12,507&lt;=IF('Loan Inputs'!$B$12,'Loan Inputs'!$B$7,0)*'Loan Inputs'!$B$14+0,ISNUMBER(G512),G512&gt;0),507,"")</f>
        <v/>
      </c>
      <c r="B513" s="4" t="str">
        <f>IF(A513="","",IF('Loan Inputs'!$B$14=12,DATE(YEAR('Loan Inputs'!$B$8),MONTH('Loan Inputs'!$B$8)+A513,DAY('Loan Inputs'!$B$8)),'Loan Inputs'!$B$8+A513*IF('Loan Inputs'!$B$14=26,14,7)))</f>
        <v/>
      </c>
      <c r="C513" s="2" t="str">
        <f t="shared" si="23"/>
        <v/>
      </c>
      <c r="D513" s="2" t="str">
        <f>IF(A513="","",MIN('Loan Inputs'!$B$17,C513+E513)+H513)</f>
        <v/>
      </c>
      <c r="E513" s="2" t="str">
        <f>IF(A513="","",C513*'Loan Inputs'!$B$15)</f>
        <v/>
      </c>
      <c r="F513" s="2" t="str">
        <f t="shared" si="21"/>
        <v/>
      </c>
      <c r="G513" s="2" t="str">
        <f t="shared" si="22"/>
        <v/>
      </c>
      <c r="H513" s="2" t="str">
        <f>IF(A513="","",MIN(0,MAX(0,C513+E513-'Loan Inputs'!$B$17)))</f>
        <v/>
      </c>
    </row>
    <row r="514" spans="1:8" ht="22" customHeight="1">
      <c r="A514" s="1" t="str">
        <f>IF(AND('Loan Inputs'!$B$12,508&lt;=IF('Loan Inputs'!$B$12,'Loan Inputs'!$B$7,0)*'Loan Inputs'!$B$14+0,ISNUMBER(G513),G513&gt;0),508,"")</f>
        <v/>
      </c>
      <c r="B514" s="4" t="str">
        <f>IF(A514="","",IF('Loan Inputs'!$B$14=12,DATE(YEAR('Loan Inputs'!$B$8),MONTH('Loan Inputs'!$B$8)+A514,DAY('Loan Inputs'!$B$8)),'Loan Inputs'!$B$8+A514*IF('Loan Inputs'!$B$14=26,14,7)))</f>
        <v/>
      </c>
      <c r="C514" s="2" t="str">
        <f t="shared" si="23"/>
        <v/>
      </c>
      <c r="D514" s="2" t="str">
        <f>IF(A514="","",MIN('Loan Inputs'!$B$17,C514+E514)+H514)</f>
        <v/>
      </c>
      <c r="E514" s="2" t="str">
        <f>IF(A514="","",C514*'Loan Inputs'!$B$15)</f>
        <v/>
      </c>
      <c r="F514" s="2" t="str">
        <f t="shared" si="21"/>
        <v/>
      </c>
      <c r="G514" s="2" t="str">
        <f t="shared" si="22"/>
        <v/>
      </c>
      <c r="H514" s="2" t="str">
        <f>IF(A514="","",MIN(0,MAX(0,C514+E514-'Loan Inputs'!$B$17)))</f>
        <v/>
      </c>
    </row>
    <row r="515" spans="1:8" ht="22" customHeight="1">
      <c r="A515" s="1" t="str">
        <f>IF(AND('Loan Inputs'!$B$12,509&lt;=IF('Loan Inputs'!$B$12,'Loan Inputs'!$B$7,0)*'Loan Inputs'!$B$14+0,ISNUMBER(G514),G514&gt;0),509,"")</f>
        <v/>
      </c>
      <c r="B515" s="4" t="str">
        <f>IF(A515="","",IF('Loan Inputs'!$B$14=12,DATE(YEAR('Loan Inputs'!$B$8),MONTH('Loan Inputs'!$B$8)+A515,DAY('Loan Inputs'!$B$8)),'Loan Inputs'!$B$8+A515*IF('Loan Inputs'!$B$14=26,14,7)))</f>
        <v/>
      </c>
      <c r="C515" s="2" t="str">
        <f t="shared" si="23"/>
        <v/>
      </c>
      <c r="D515" s="2" t="str">
        <f>IF(A515="","",MIN('Loan Inputs'!$B$17,C515+E515)+H515)</f>
        <v/>
      </c>
      <c r="E515" s="2" t="str">
        <f>IF(A515="","",C515*'Loan Inputs'!$B$15)</f>
        <v/>
      </c>
      <c r="F515" s="2" t="str">
        <f t="shared" si="21"/>
        <v/>
      </c>
      <c r="G515" s="2" t="str">
        <f t="shared" si="22"/>
        <v/>
      </c>
      <c r="H515" s="2" t="str">
        <f>IF(A515="","",MIN(0,MAX(0,C515+E515-'Loan Inputs'!$B$17)))</f>
        <v/>
      </c>
    </row>
    <row r="516" spans="1:8" ht="22" customHeight="1">
      <c r="A516" s="1" t="str">
        <f>IF(AND('Loan Inputs'!$B$12,510&lt;=IF('Loan Inputs'!$B$12,'Loan Inputs'!$B$7,0)*'Loan Inputs'!$B$14+0,ISNUMBER(G515),G515&gt;0),510,"")</f>
        <v/>
      </c>
      <c r="B516" s="4" t="str">
        <f>IF(A516="","",IF('Loan Inputs'!$B$14=12,DATE(YEAR('Loan Inputs'!$B$8),MONTH('Loan Inputs'!$B$8)+A516,DAY('Loan Inputs'!$B$8)),'Loan Inputs'!$B$8+A516*IF('Loan Inputs'!$B$14=26,14,7)))</f>
        <v/>
      </c>
      <c r="C516" s="2" t="str">
        <f t="shared" si="23"/>
        <v/>
      </c>
      <c r="D516" s="2" t="str">
        <f>IF(A516="","",MIN('Loan Inputs'!$B$17,C516+E516)+H516)</f>
        <v/>
      </c>
      <c r="E516" s="2" t="str">
        <f>IF(A516="","",C516*'Loan Inputs'!$B$15)</f>
        <v/>
      </c>
      <c r="F516" s="2" t="str">
        <f t="shared" si="21"/>
        <v/>
      </c>
      <c r="G516" s="2" t="str">
        <f t="shared" si="22"/>
        <v/>
      </c>
      <c r="H516" s="2" t="str">
        <f>IF(A516="","",MIN(0,MAX(0,C516+E516-'Loan Inputs'!$B$17)))</f>
        <v/>
      </c>
    </row>
    <row r="517" spans="1:8" ht="22" customHeight="1">
      <c r="A517" s="1" t="str">
        <f>IF(AND('Loan Inputs'!$B$12,511&lt;=IF('Loan Inputs'!$B$12,'Loan Inputs'!$B$7,0)*'Loan Inputs'!$B$14+0,ISNUMBER(G516),G516&gt;0),511,"")</f>
        <v/>
      </c>
      <c r="B517" s="4" t="str">
        <f>IF(A517="","",IF('Loan Inputs'!$B$14=12,DATE(YEAR('Loan Inputs'!$B$8),MONTH('Loan Inputs'!$B$8)+A517,DAY('Loan Inputs'!$B$8)),'Loan Inputs'!$B$8+A517*IF('Loan Inputs'!$B$14=26,14,7)))</f>
        <v/>
      </c>
      <c r="C517" s="2" t="str">
        <f t="shared" si="23"/>
        <v/>
      </c>
      <c r="D517" s="2" t="str">
        <f>IF(A517="","",MIN('Loan Inputs'!$B$17,C517+E517)+H517)</f>
        <v/>
      </c>
      <c r="E517" s="2" t="str">
        <f>IF(A517="","",C517*'Loan Inputs'!$B$15)</f>
        <v/>
      </c>
      <c r="F517" s="2" t="str">
        <f t="shared" si="21"/>
        <v/>
      </c>
      <c r="G517" s="2" t="str">
        <f t="shared" si="22"/>
        <v/>
      </c>
      <c r="H517" s="2" t="str">
        <f>IF(A517="","",MIN(0,MAX(0,C517+E517-'Loan Inputs'!$B$17)))</f>
        <v/>
      </c>
    </row>
    <row r="518" spans="1:8" ht="22" customHeight="1">
      <c r="A518" s="1" t="str">
        <f>IF(AND('Loan Inputs'!$B$12,512&lt;=IF('Loan Inputs'!$B$12,'Loan Inputs'!$B$7,0)*'Loan Inputs'!$B$14+0,ISNUMBER(G517),G517&gt;0),512,"")</f>
        <v/>
      </c>
      <c r="B518" s="4" t="str">
        <f>IF(A518="","",IF('Loan Inputs'!$B$14=12,DATE(YEAR('Loan Inputs'!$B$8),MONTH('Loan Inputs'!$B$8)+A518,DAY('Loan Inputs'!$B$8)),'Loan Inputs'!$B$8+A518*IF('Loan Inputs'!$B$14=26,14,7)))</f>
        <v/>
      </c>
      <c r="C518" s="2" t="str">
        <f t="shared" si="23"/>
        <v/>
      </c>
      <c r="D518" s="2" t="str">
        <f>IF(A518="","",MIN('Loan Inputs'!$B$17,C518+E518)+H518)</f>
        <v/>
      </c>
      <c r="E518" s="2" t="str">
        <f>IF(A518="","",C518*'Loan Inputs'!$B$15)</f>
        <v/>
      </c>
      <c r="F518" s="2" t="str">
        <f t="shared" si="21"/>
        <v/>
      </c>
      <c r="G518" s="2" t="str">
        <f t="shared" si="22"/>
        <v/>
      </c>
      <c r="H518" s="2" t="str">
        <f>IF(A518="","",MIN(0,MAX(0,C518+E518-'Loan Inputs'!$B$17)))</f>
        <v/>
      </c>
    </row>
    <row r="519" spans="1:8" ht="22" customHeight="1">
      <c r="A519" s="1" t="str">
        <f>IF(AND('Loan Inputs'!$B$12,513&lt;=IF('Loan Inputs'!$B$12,'Loan Inputs'!$B$7,0)*'Loan Inputs'!$B$14+0,ISNUMBER(G518),G518&gt;0),513,"")</f>
        <v/>
      </c>
      <c r="B519" s="4" t="str">
        <f>IF(A519="","",IF('Loan Inputs'!$B$14=12,DATE(YEAR('Loan Inputs'!$B$8),MONTH('Loan Inputs'!$B$8)+A519,DAY('Loan Inputs'!$B$8)),'Loan Inputs'!$B$8+A519*IF('Loan Inputs'!$B$14=26,14,7)))</f>
        <v/>
      </c>
      <c r="C519" s="2" t="str">
        <f t="shared" si="23"/>
        <v/>
      </c>
      <c r="D519" s="2" t="str">
        <f>IF(A519="","",MIN('Loan Inputs'!$B$17,C519+E519)+H519)</f>
        <v/>
      </c>
      <c r="E519" s="2" t="str">
        <f>IF(A519="","",C519*'Loan Inputs'!$B$15)</f>
        <v/>
      </c>
      <c r="F519" s="2" t="str">
        <f t="shared" ref="F519:F582" si="24">IF(A519="","",MIN(C519,D519-E519))</f>
        <v/>
      </c>
      <c r="G519" s="2" t="str">
        <f t="shared" ref="G519:G582" si="25">IF(A519="","",IF(C519-F519&lt;0.01,0,MAX(0,C519-F519)))</f>
        <v/>
      </c>
      <c r="H519" s="2" t="str">
        <f>IF(A519="","",MIN(0,MAX(0,C519+E519-'Loan Inputs'!$B$17)))</f>
        <v/>
      </c>
    </row>
    <row r="520" spans="1:8" ht="22" customHeight="1">
      <c r="A520" s="1" t="str">
        <f>IF(AND('Loan Inputs'!$B$12,514&lt;=IF('Loan Inputs'!$B$12,'Loan Inputs'!$B$7,0)*'Loan Inputs'!$B$14+0,ISNUMBER(G519),G519&gt;0),514,"")</f>
        <v/>
      </c>
      <c r="B520" s="4" t="str">
        <f>IF(A520="","",IF('Loan Inputs'!$B$14=12,DATE(YEAR('Loan Inputs'!$B$8),MONTH('Loan Inputs'!$B$8)+A520,DAY('Loan Inputs'!$B$8)),'Loan Inputs'!$B$8+A520*IF('Loan Inputs'!$B$14=26,14,7)))</f>
        <v/>
      </c>
      <c r="C520" s="2" t="str">
        <f t="shared" ref="C520:C583" si="26">IF(A520="","",G519)</f>
        <v/>
      </c>
      <c r="D520" s="2" t="str">
        <f>IF(A520="","",MIN('Loan Inputs'!$B$17,C520+E520)+H520)</f>
        <v/>
      </c>
      <c r="E520" s="2" t="str">
        <f>IF(A520="","",C520*'Loan Inputs'!$B$15)</f>
        <v/>
      </c>
      <c r="F520" s="2" t="str">
        <f t="shared" si="24"/>
        <v/>
      </c>
      <c r="G520" s="2" t="str">
        <f t="shared" si="25"/>
        <v/>
      </c>
      <c r="H520" s="2" t="str">
        <f>IF(A520="","",MIN(0,MAX(0,C520+E520-'Loan Inputs'!$B$17)))</f>
        <v/>
      </c>
    </row>
    <row r="521" spans="1:8" ht="22" customHeight="1">
      <c r="A521" s="1" t="str">
        <f>IF(AND('Loan Inputs'!$B$12,515&lt;=IF('Loan Inputs'!$B$12,'Loan Inputs'!$B$7,0)*'Loan Inputs'!$B$14+0,ISNUMBER(G520),G520&gt;0),515,"")</f>
        <v/>
      </c>
      <c r="B521" s="4" t="str">
        <f>IF(A521="","",IF('Loan Inputs'!$B$14=12,DATE(YEAR('Loan Inputs'!$B$8),MONTH('Loan Inputs'!$B$8)+A521,DAY('Loan Inputs'!$B$8)),'Loan Inputs'!$B$8+A521*IF('Loan Inputs'!$B$14=26,14,7)))</f>
        <v/>
      </c>
      <c r="C521" s="2" t="str">
        <f t="shared" si="26"/>
        <v/>
      </c>
      <c r="D521" s="2" t="str">
        <f>IF(A521="","",MIN('Loan Inputs'!$B$17,C521+E521)+H521)</f>
        <v/>
      </c>
      <c r="E521" s="2" t="str">
        <f>IF(A521="","",C521*'Loan Inputs'!$B$15)</f>
        <v/>
      </c>
      <c r="F521" s="2" t="str">
        <f t="shared" si="24"/>
        <v/>
      </c>
      <c r="G521" s="2" t="str">
        <f t="shared" si="25"/>
        <v/>
      </c>
      <c r="H521" s="2" t="str">
        <f>IF(A521="","",MIN(0,MAX(0,C521+E521-'Loan Inputs'!$B$17)))</f>
        <v/>
      </c>
    </row>
    <row r="522" spans="1:8" ht="22" customHeight="1">
      <c r="A522" s="1" t="str">
        <f>IF(AND('Loan Inputs'!$B$12,516&lt;=IF('Loan Inputs'!$B$12,'Loan Inputs'!$B$7,0)*'Loan Inputs'!$B$14+0,ISNUMBER(G521),G521&gt;0),516,"")</f>
        <v/>
      </c>
      <c r="B522" s="4" t="str">
        <f>IF(A522="","",IF('Loan Inputs'!$B$14=12,DATE(YEAR('Loan Inputs'!$B$8),MONTH('Loan Inputs'!$B$8)+A522,DAY('Loan Inputs'!$B$8)),'Loan Inputs'!$B$8+A522*IF('Loan Inputs'!$B$14=26,14,7)))</f>
        <v/>
      </c>
      <c r="C522" s="2" t="str">
        <f t="shared" si="26"/>
        <v/>
      </c>
      <c r="D522" s="2" t="str">
        <f>IF(A522="","",MIN('Loan Inputs'!$B$17,C522+E522)+H522)</f>
        <v/>
      </c>
      <c r="E522" s="2" t="str">
        <f>IF(A522="","",C522*'Loan Inputs'!$B$15)</f>
        <v/>
      </c>
      <c r="F522" s="2" t="str">
        <f t="shared" si="24"/>
        <v/>
      </c>
      <c r="G522" s="2" t="str">
        <f t="shared" si="25"/>
        <v/>
      </c>
      <c r="H522" s="2" t="str">
        <f>IF(A522="","",MIN(0,MAX(0,C522+E522-'Loan Inputs'!$B$17)))</f>
        <v/>
      </c>
    </row>
    <row r="523" spans="1:8" ht="22" customHeight="1">
      <c r="A523" s="1" t="str">
        <f>IF(AND('Loan Inputs'!$B$12,517&lt;=IF('Loan Inputs'!$B$12,'Loan Inputs'!$B$7,0)*'Loan Inputs'!$B$14+0,ISNUMBER(G522),G522&gt;0),517,"")</f>
        <v/>
      </c>
      <c r="B523" s="4" t="str">
        <f>IF(A523="","",IF('Loan Inputs'!$B$14=12,DATE(YEAR('Loan Inputs'!$B$8),MONTH('Loan Inputs'!$B$8)+A523,DAY('Loan Inputs'!$B$8)),'Loan Inputs'!$B$8+A523*IF('Loan Inputs'!$B$14=26,14,7)))</f>
        <v/>
      </c>
      <c r="C523" s="2" t="str">
        <f t="shared" si="26"/>
        <v/>
      </c>
      <c r="D523" s="2" t="str">
        <f>IF(A523="","",MIN('Loan Inputs'!$B$17,C523+E523)+H523)</f>
        <v/>
      </c>
      <c r="E523" s="2" t="str">
        <f>IF(A523="","",C523*'Loan Inputs'!$B$15)</f>
        <v/>
      </c>
      <c r="F523" s="2" t="str">
        <f t="shared" si="24"/>
        <v/>
      </c>
      <c r="G523" s="2" t="str">
        <f t="shared" si="25"/>
        <v/>
      </c>
      <c r="H523" s="2" t="str">
        <f>IF(A523="","",MIN(0,MAX(0,C523+E523-'Loan Inputs'!$B$17)))</f>
        <v/>
      </c>
    </row>
    <row r="524" spans="1:8" ht="22" customHeight="1">
      <c r="A524" s="1" t="str">
        <f>IF(AND('Loan Inputs'!$B$12,518&lt;=IF('Loan Inputs'!$B$12,'Loan Inputs'!$B$7,0)*'Loan Inputs'!$B$14+0,ISNUMBER(G523),G523&gt;0),518,"")</f>
        <v/>
      </c>
      <c r="B524" s="4" t="str">
        <f>IF(A524="","",IF('Loan Inputs'!$B$14=12,DATE(YEAR('Loan Inputs'!$B$8),MONTH('Loan Inputs'!$B$8)+A524,DAY('Loan Inputs'!$B$8)),'Loan Inputs'!$B$8+A524*IF('Loan Inputs'!$B$14=26,14,7)))</f>
        <v/>
      </c>
      <c r="C524" s="2" t="str">
        <f t="shared" si="26"/>
        <v/>
      </c>
      <c r="D524" s="2" t="str">
        <f>IF(A524="","",MIN('Loan Inputs'!$B$17,C524+E524)+H524)</f>
        <v/>
      </c>
      <c r="E524" s="2" t="str">
        <f>IF(A524="","",C524*'Loan Inputs'!$B$15)</f>
        <v/>
      </c>
      <c r="F524" s="2" t="str">
        <f t="shared" si="24"/>
        <v/>
      </c>
      <c r="G524" s="2" t="str">
        <f t="shared" si="25"/>
        <v/>
      </c>
      <c r="H524" s="2" t="str">
        <f>IF(A524="","",MIN(0,MAX(0,C524+E524-'Loan Inputs'!$B$17)))</f>
        <v/>
      </c>
    </row>
    <row r="525" spans="1:8" ht="22" customHeight="1">
      <c r="A525" s="1" t="str">
        <f>IF(AND('Loan Inputs'!$B$12,519&lt;=IF('Loan Inputs'!$B$12,'Loan Inputs'!$B$7,0)*'Loan Inputs'!$B$14+0,ISNUMBER(G524),G524&gt;0),519,"")</f>
        <v/>
      </c>
      <c r="B525" s="4" t="str">
        <f>IF(A525="","",IF('Loan Inputs'!$B$14=12,DATE(YEAR('Loan Inputs'!$B$8),MONTH('Loan Inputs'!$B$8)+A525,DAY('Loan Inputs'!$B$8)),'Loan Inputs'!$B$8+A525*IF('Loan Inputs'!$B$14=26,14,7)))</f>
        <v/>
      </c>
      <c r="C525" s="2" t="str">
        <f t="shared" si="26"/>
        <v/>
      </c>
      <c r="D525" s="2" t="str">
        <f>IF(A525="","",MIN('Loan Inputs'!$B$17,C525+E525)+H525)</f>
        <v/>
      </c>
      <c r="E525" s="2" t="str">
        <f>IF(A525="","",C525*'Loan Inputs'!$B$15)</f>
        <v/>
      </c>
      <c r="F525" s="2" t="str">
        <f t="shared" si="24"/>
        <v/>
      </c>
      <c r="G525" s="2" t="str">
        <f t="shared" si="25"/>
        <v/>
      </c>
      <c r="H525" s="2" t="str">
        <f>IF(A525="","",MIN(0,MAX(0,C525+E525-'Loan Inputs'!$B$17)))</f>
        <v/>
      </c>
    </row>
    <row r="526" spans="1:8" ht="22" customHeight="1">
      <c r="A526" s="1" t="str">
        <f>IF(AND('Loan Inputs'!$B$12,520&lt;=IF('Loan Inputs'!$B$12,'Loan Inputs'!$B$7,0)*'Loan Inputs'!$B$14+0,ISNUMBER(G525),G525&gt;0),520,"")</f>
        <v/>
      </c>
      <c r="B526" s="4" t="str">
        <f>IF(A526="","",IF('Loan Inputs'!$B$14=12,DATE(YEAR('Loan Inputs'!$B$8),MONTH('Loan Inputs'!$B$8)+A526,DAY('Loan Inputs'!$B$8)),'Loan Inputs'!$B$8+A526*IF('Loan Inputs'!$B$14=26,14,7)))</f>
        <v/>
      </c>
      <c r="C526" s="2" t="str">
        <f t="shared" si="26"/>
        <v/>
      </c>
      <c r="D526" s="2" t="str">
        <f>IF(A526="","",MIN('Loan Inputs'!$B$17,C526+E526)+H526)</f>
        <v/>
      </c>
      <c r="E526" s="2" t="str">
        <f>IF(A526="","",C526*'Loan Inputs'!$B$15)</f>
        <v/>
      </c>
      <c r="F526" s="2" t="str">
        <f t="shared" si="24"/>
        <v/>
      </c>
      <c r="G526" s="2" t="str">
        <f t="shared" si="25"/>
        <v/>
      </c>
      <c r="H526" s="2" t="str">
        <f>IF(A526="","",MIN(0,MAX(0,C526+E526-'Loan Inputs'!$B$17)))</f>
        <v/>
      </c>
    </row>
    <row r="527" spans="1:8" ht="22" customHeight="1">
      <c r="A527" s="1" t="str">
        <f>IF(AND('Loan Inputs'!$B$12,521&lt;=IF('Loan Inputs'!$B$12,'Loan Inputs'!$B$7,0)*'Loan Inputs'!$B$14+0,ISNUMBER(G526),G526&gt;0),521,"")</f>
        <v/>
      </c>
      <c r="B527" s="4" t="str">
        <f>IF(A527="","",IF('Loan Inputs'!$B$14=12,DATE(YEAR('Loan Inputs'!$B$8),MONTH('Loan Inputs'!$B$8)+A527,DAY('Loan Inputs'!$B$8)),'Loan Inputs'!$B$8+A527*IF('Loan Inputs'!$B$14=26,14,7)))</f>
        <v/>
      </c>
      <c r="C527" s="2" t="str">
        <f t="shared" si="26"/>
        <v/>
      </c>
      <c r="D527" s="2" t="str">
        <f>IF(A527="","",MIN('Loan Inputs'!$B$17,C527+E527)+H527)</f>
        <v/>
      </c>
      <c r="E527" s="2" t="str">
        <f>IF(A527="","",C527*'Loan Inputs'!$B$15)</f>
        <v/>
      </c>
      <c r="F527" s="2" t="str">
        <f t="shared" si="24"/>
        <v/>
      </c>
      <c r="G527" s="2" t="str">
        <f t="shared" si="25"/>
        <v/>
      </c>
      <c r="H527" s="2" t="str">
        <f>IF(A527="","",MIN(0,MAX(0,C527+E527-'Loan Inputs'!$B$17)))</f>
        <v/>
      </c>
    </row>
    <row r="528" spans="1:8" ht="22" customHeight="1">
      <c r="A528" s="1" t="str">
        <f>IF(AND('Loan Inputs'!$B$12,522&lt;=IF('Loan Inputs'!$B$12,'Loan Inputs'!$B$7,0)*'Loan Inputs'!$B$14+0,ISNUMBER(G527),G527&gt;0),522,"")</f>
        <v/>
      </c>
      <c r="B528" s="4" t="str">
        <f>IF(A528="","",IF('Loan Inputs'!$B$14=12,DATE(YEAR('Loan Inputs'!$B$8),MONTH('Loan Inputs'!$B$8)+A528,DAY('Loan Inputs'!$B$8)),'Loan Inputs'!$B$8+A528*IF('Loan Inputs'!$B$14=26,14,7)))</f>
        <v/>
      </c>
      <c r="C528" s="2" t="str">
        <f t="shared" si="26"/>
        <v/>
      </c>
      <c r="D528" s="2" t="str">
        <f>IF(A528="","",MIN('Loan Inputs'!$B$17,C528+E528)+H528)</f>
        <v/>
      </c>
      <c r="E528" s="2" t="str">
        <f>IF(A528="","",C528*'Loan Inputs'!$B$15)</f>
        <v/>
      </c>
      <c r="F528" s="2" t="str">
        <f t="shared" si="24"/>
        <v/>
      </c>
      <c r="G528" s="2" t="str">
        <f t="shared" si="25"/>
        <v/>
      </c>
      <c r="H528" s="2" t="str">
        <f>IF(A528="","",MIN(0,MAX(0,C528+E528-'Loan Inputs'!$B$17)))</f>
        <v/>
      </c>
    </row>
    <row r="529" spans="1:8" ht="22" customHeight="1">
      <c r="A529" s="1" t="str">
        <f>IF(AND('Loan Inputs'!$B$12,523&lt;=IF('Loan Inputs'!$B$12,'Loan Inputs'!$B$7,0)*'Loan Inputs'!$B$14+0,ISNUMBER(G528),G528&gt;0),523,"")</f>
        <v/>
      </c>
      <c r="B529" s="4" t="str">
        <f>IF(A529="","",IF('Loan Inputs'!$B$14=12,DATE(YEAR('Loan Inputs'!$B$8),MONTH('Loan Inputs'!$B$8)+A529,DAY('Loan Inputs'!$B$8)),'Loan Inputs'!$B$8+A529*IF('Loan Inputs'!$B$14=26,14,7)))</f>
        <v/>
      </c>
      <c r="C529" s="2" t="str">
        <f t="shared" si="26"/>
        <v/>
      </c>
      <c r="D529" s="2" t="str">
        <f>IF(A529="","",MIN('Loan Inputs'!$B$17,C529+E529)+H529)</f>
        <v/>
      </c>
      <c r="E529" s="2" t="str">
        <f>IF(A529="","",C529*'Loan Inputs'!$B$15)</f>
        <v/>
      </c>
      <c r="F529" s="2" t="str">
        <f t="shared" si="24"/>
        <v/>
      </c>
      <c r="G529" s="2" t="str">
        <f t="shared" si="25"/>
        <v/>
      </c>
      <c r="H529" s="2" t="str">
        <f>IF(A529="","",MIN(0,MAX(0,C529+E529-'Loan Inputs'!$B$17)))</f>
        <v/>
      </c>
    </row>
    <row r="530" spans="1:8" ht="22" customHeight="1">
      <c r="A530" s="1" t="str">
        <f>IF(AND('Loan Inputs'!$B$12,524&lt;=IF('Loan Inputs'!$B$12,'Loan Inputs'!$B$7,0)*'Loan Inputs'!$B$14+0,ISNUMBER(G529),G529&gt;0),524,"")</f>
        <v/>
      </c>
      <c r="B530" s="4" t="str">
        <f>IF(A530="","",IF('Loan Inputs'!$B$14=12,DATE(YEAR('Loan Inputs'!$B$8),MONTH('Loan Inputs'!$B$8)+A530,DAY('Loan Inputs'!$B$8)),'Loan Inputs'!$B$8+A530*IF('Loan Inputs'!$B$14=26,14,7)))</f>
        <v/>
      </c>
      <c r="C530" s="2" t="str">
        <f t="shared" si="26"/>
        <v/>
      </c>
      <c r="D530" s="2" t="str">
        <f>IF(A530="","",MIN('Loan Inputs'!$B$17,C530+E530)+H530)</f>
        <v/>
      </c>
      <c r="E530" s="2" t="str">
        <f>IF(A530="","",C530*'Loan Inputs'!$B$15)</f>
        <v/>
      </c>
      <c r="F530" s="2" t="str">
        <f t="shared" si="24"/>
        <v/>
      </c>
      <c r="G530" s="2" t="str">
        <f t="shared" si="25"/>
        <v/>
      </c>
      <c r="H530" s="2" t="str">
        <f>IF(A530="","",MIN(0,MAX(0,C530+E530-'Loan Inputs'!$B$17)))</f>
        <v/>
      </c>
    </row>
    <row r="531" spans="1:8" ht="22" customHeight="1">
      <c r="A531" s="1" t="str">
        <f>IF(AND('Loan Inputs'!$B$12,525&lt;=IF('Loan Inputs'!$B$12,'Loan Inputs'!$B$7,0)*'Loan Inputs'!$B$14+0,ISNUMBER(G530),G530&gt;0),525,"")</f>
        <v/>
      </c>
      <c r="B531" s="4" t="str">
        <f>IF(A531="","",IF('Loan Inputs'!$B$14=12,DATE(YEAR('Loan Inputs'!$B$8),MONTH('Loan Inputs'!$B$8)+A531,DAY('Loan Inputs'!$B$8)),'Loan Inputs'!$B$8+A531*IF('Loan Inputs'!$B$14=26,14,7)))</f>
        <v/>
      </c>
      <c r="C531" s="2" t="str">
        <f t="shared" si="26"/>
        <v/>
      </c>
      <c r="D531" s="2" t="str">
        <f>IF(A531="","",MIN('Loan Inputs'!$B$17,C531+E531)+H531)</f>
        <v/>
      </c>
      <c r="E531" s="2" t="str">
        <f>IF(A531="","",C531*'Loan Inputs'!$B$15)</f>
        <v/>
      </c>
      <c r="F531" s="2" t="str">
        <f t="shared" si="24"/>
        <v/>
      </c>
      <c r="G531" s="2" t="str">
        <f t="shared" si="25"/>
        <v/>
      </c>
      <c r="H531" s="2" t="str">
        <f>IF(A531="","",MIN(0,MAX(0,C531+E531-'Loan Inputs'!$B$17)))</f>
        <v/>
      </c>
    </row>
    <row r="532" spans="1:8" ht="22" customHeight="1">
      <c r="A532" s="1" t="str">
        <f>IF(AND('Loan Inputs'!$B$12,526&lt;=IF('Loan Inputs'!$B$12,'Loan Inputs'!$B$7,0)*'Loan Inputs'!$B$14+0,ISNUMBER(G531),G531&gt;0),526,"")</f>
        <v/>
      </c>
      <c r="B532" s="4" t="str">
        <f>IF(A532="","",IF('Loan Inputs'!$B$14=12,DATE(YEAR('Loan Inputs'!$B$8),MONTH('Loan Inputs'!$B$8)+A532,DAY('Loan Inputs'!$B$8)),'Loan Inputs'!$B$8+A532*IF('Loan Inputs'!$B$14=26,14,7)))</f>
        <v/>
      </c>
      <c r="C532" s="2" t="str">
        <f t="shared" si="26"/>
        <v/>
      </c>
      <c r="D532" s="2" t="str">
        <f>IF(A532="","",MIN('Loan Inputs'!$B$17,C532+E532)+H532)</f>
        <v/>
      </c>
      <c r="E532" s="2" t="str">
        <f>IF(A532="","",C532*'Loan Inputs'!$B$15)</f>
        <v/>
      </c>
      <c r="F532" s="2" t="str">
        <f t="shared" si="24"/>
        <v/>
      </c>
      <c r="G532" s="2" t="str">
        <f t="shared" si="25"/>
        <v/>
      </c>
      <c r="H532" s="2" t="str">
        <f>IF(A532="","",MIN(0,MAX(0,C532+E532-'Loan Inputs'!$B$17)))</f>
        <v/>
      </c>
    </row>
    <row r="533" spans="1:8" ht="22" customHeight="1">
      <c r="A533" s="1" t="str">
        <f>IF(AND('Loan Inputs'!$B$12,527&lt;=IF('Loan Inputs'!$B$12,'Loan Inputs'!$B$7,0)*'Loan Inputs'!$B$14+0,ISNUMBER(G532),G532&gt;0),527,"")</f>
        <v/>
      </c>
      <c r="B533" s="4" t="str">
        <f>IF(A533="","",IF('Loan Inputs'!$B$14=12,DATE(YEAR('Loan Inputs'!$B$8),MONTH('Loan Inputs'!$B$8)+A533,DAY('Loan Inputs'!$B$8)),'Loan Inputs'!$B$8+A533*IF('Loan Inputs'!$B$14=26,14,7)))</f>
        <v/>
      </c>
      <c r="C533" s="2" t="str">
        <f t="shared" si="26"/>
        <v/>
      </c>
      <c r="D533" s="2" t="str">
        <f>IF(A533="","",MIN('Loan Inputs'!$B$17,C533+E533)+H533)</f>
        <v/>
      </c>
      <c r="E533" s="2" t="str">
        <f>IF(A533="","",C533*'Loan Inputs'!$B$15)</f>
        <v/>
      </c>
      <c r="F533" s="2" t="str">
        <f t="shared" si="24"/>
        <v/>
      </c>
      <c r="G533" s="2" t="str">
        <f t="shared" si="25"/>
        <v/>
      </c>
      <c r="H533" s="2" t="str">
        <f>IF(A533="","",MIN(0,MAX(0,C533+E533-'Loan Inputs'!$B$17)))</f>
        <v/>
      </c>
    </row>
    <row r="534" spans="1:8" ht="22" customHeight="1">
      <c r="A534" s="1" t="str">
        <f>IF(AND('Loan Inputs'!$B$12,528&lt;=IF('Loan Inputs'!$B$12,'Loan Inputs'!$B$7,0)*'Loan Inputs'!$B$14+0,ISNUMBER(G533),G533&gt;0),528,"")</f>
        <v/>
      </c>
      <c r="B534" s="4" t="str">
        <f>IF(A534="","",IF('Loan Inputs'!$B$14=12,DATE(YEAR('Loan Inputs'!$B$8),MONTH('Loan Inputs'!$B$8)+A534,DAY('Loan Inputs'!$B$8)),'Loan Inputs'!$B$8+A534*IF('Loan Inputs'!$B$14=26,14,7)))</f>
        <v/>
      </c>
      <c r="C534" s="2" t="str">
        <f t="shared" si="26"/>
        <v/>
      </c>
      <c r="D534" s="2" t="str">
        <f>IF(A534="","",MIN('Loan Inputs'!$B$17,C534+E534)+H534)</f>
        <v/>
      </c>
      <c r="E534" s="2" t="str">
        <f>IF(A534="","",C534*'Loan Inputs'!$B$15)</f>
        <v/>
      </c>
      <c r="F534" s="2" t="str">
        <f t="shared" si="24"/>
        <v/>
      </c>
      <c r="G534" s="2" t="str">
        <f t="shared" si="25"/>
        <v/>
      </c>
      <c r="H534" s="2" t="str">
        <f>IF(A534="","",MIN(0,MAX(0,C534+E534-'Loan Inputs'!$B$17)))</f>
        <v/>
      </c>
    </row>
    <row r="535" spans="1:8" ht="22" customHeight="1">
      <c r="A535" s="1" t="str">
        <f>IF(AND('Loan Inputs'!$B$12,529&lt;=IF('Loan Inputs'!$B$12,'Loan Inputs'!$B$7,0)*'Loan Inputs'!$B$14+0,ISNUMBER(G534),G534&gt;0),529,"")</f>
        <v/>
      </c>
      <c r="B535" s="4" t="str">
        <f>IF(A535="","",IF('Loan Inputs'!$B$14=12,DATE(YEAR('Loan Inputs'!$B$8),MONTH('Loan Inputs'!$B$8)+A535,DAY('Loan Inputs'!$B$8)),'Loan Inputs'!$B$8+A535*IF('Loan Inputs'!$B$14=26,14,7)))</f>
        <v/>
      </c>
      <c r="C535" s="2" t="str">
        <f t="shared" si="26"/>
        <v/>
      </c>
      <c r="D535" s="2" t="str">
        <f>IF(A535="","",MIN('Loan Inputs'!$B$17,C535+E535)+H535)</f>
        <v/>
      </c>
      <c r="E535" s="2" t="str">
        <f>IF(A535="","",C535*'Loan Inputs'!$B$15)</f>
        <v/>
      </c>
      <c r="F535" s="2" t="str">
        <f t="shared" si="24"/>
        <v/>
      </c>
      <c r="G535" s="2" t="str">
        <f t="shared" si="25"/>
        <v/>
      </c>
      <c r="H535" s="2" t="str">
        <f>IF(A535="","",MIN(0,MAX(0,C535+E535-'Loan Inputs'!$B$17)))</f>
        <v/>
      </c>
    </row>
    <row r="536" spans="1:8" ht="22" customHeight="1">
      <c r="A536" s="1" t="str">
        <f>IF(AND('Loan Inputs'!$B$12,530&lt;=IF('Loan Inputs'!$B$12,'Loan Inputs'!$B$7,0)*'Loan Inputs'!$B$14+0,ISNUMBER(G535),G535&gt;0),530,"")</f>
        <v/>
      </c>
      <c r="B536" s="4" t="str">
        <f>IF(A536="","",IF('Loan Inputs'!$B$14=12,DATE(YEAR('Loan Inputs'!$B$8),MONTH('Loan Inputs'!$B$8)+A536,DAY('Loan Inputs'!$B$8)),'Loan Inputs'!$B$8+A536*IF('Loan Inputs'!$B$14=26,14,7)))</f>
        <v/>
      </c>
      <c r="C536" s="2" t="str">
        <f t="shared" si="26"/>
        <v/>
      </c>
      <c r="D536" s="2" t="str">
        <f>IF(A536="","",MIN('Loan Inputs'!$B$17,C536+E536)+H536)</f>
        <v/>
      </c>
      <c r="E536" s="2" t="str">
        <f>IF(A536="","",C536*'Loan Inputs'!$B$15)</f>
        <v/>
      </c>
      <c r="F536" s="2" t="str">
        <f t="shared" si="24"/>
        <v/>
      </c>
      <c r="G536" s="2" t="str">
        <f t="shared" si="25"/>
        <v/>
      </c>
      <c r="H536" s="2" t="str">
        <f>IF(A536="","",MIN(0,MAX(0,C536+E536-'Loan Inputs'!$B$17)))</f>
        <v/>
      </c>
    </row>
    <row r="537" spans="1:8" ht="22" customHeight="1">
      <c r="A537" s="1" t="str">
        <f>IF(AND('Loan Inputs'!$B$12,531&lt;=IF('Loan Inputs'!$B$12,'Loan Inputs'!$B$7,0)*'Loan Inputs'!$B$14+0,ISNUMBER(G536),G536&gt;0),531,"")</f>
        <v/>
      </c>
      <c r="B537" s="4" t="str">
        <f>IF(A537="","",IF('Loan Inputs'!$B$14=12,DATE(YEAR('Loan Inputs'!$B$8),MONTH('Loan Inputs'!$B$8)+A537,DAY('Loan Inputs'!$B$8)),'Loan Inputs'!$B$8+A537*IF('Loan Inputs'!$B$14=26,14,7)))</f>
        <v/>
      </c>
      <c r="C537" s="2" t="str">
        <f t="shared" si="26"/>
        <v/>
      </c>
      <c r="D537" s="2" t="str">
        <f>IF(A537="","",MIN('Loan Inputs'!$B$17,C537+E537)+H537)</f>
        <v/>
      </c>
      <c r="E537" s="2" t="str">
        <f>IF(A537="","",C537*'Loan Inputs'!$B$15)</f>
        <v/>
      </c>
      <c r="F537" s="2" t="str">
        <f t="shared" si="24"/>
        <v/>
      </c>
      <c r="G537" s="2" t="str">
        <f t="shared" si="25"/>
        <v/>
      </c>
      <c r="H537" s="2" t="str">
        <f>IF(A537="","",MIN(0,MAX(0,C537+E537-'Loan Inputs'!$B$17)))</f>
        <v/>
      </c>
    </row>
    <row r="538" spans="1:8" ht="22" customHeight="1">
      <c r="A538" s="1" t="str">
        <f>IF(AND('Loan Inputs'!$B$12,532&lt;=IF('Loan Inputs'!$B$12,'Loan Inputs'!$B$7,0)*'Loan Inputs'!$B$14+0,ISNUMBER(G537),G537&gt;0),532,"")</f>
        <v/>
      </c>
      <c r="B538" s="4" t="str">
        <f>IF(A538="","",IF('Loan Inputs'!$B$14=12,DATE(YEAR('Loan Inputs'!$B$8),MONTH('Loan Inputs'!$B$8)+A538,DAY('Loan Inputs'!$B$8)),'Loan Inputs'!$B$8+A538*IF('Loan Inputs'!$B$14=26,14,7)))</f>
        <v/>
      </c>
      <c r="C538" s="2" t="str">
        <f t="shared" si="26"/>
        <v/>
      </c>
      <c r="D538" s="2" t="str">
        <f>IF(A538="","",MIN('Loan Inputs'!$B$17,C538+E538)+H538)</f>
        <v/>
      </c>
      <c r="E538" s="2" t="str">
        <f>IF(A538="","",C538*'Loan Inputs'!$B$15)</f>
        <v/>
      </c>
      <c r="F538" s="2" t="str">
        <f t="shared" si="24"/>
        <v/>
      </c>
      <c r="G538" s="2" t="str">
        <f t="shared" si="25"/>
        <v/>
      </c>
      <c r="H538" s="2" t="str">
        <f>IF(A538="","",MIN(0,MAX(0,C538+E538-'Loan Inputs'!$B$17)))</f>
        <v/>
      </c>
    </row>
    <row r="539" spans="1:8" ht="22" customHeight="1">
      <c r="A539" s="1" t="str">
        <f>IF(AND('Loan Inputs'!$B$12,533&lt;=IF('Loan Inputs'!$B$12,'Loan Inputs'!$B$7,0)*'Loan Inputs'!$B$14+0,ISNUMBER(G538),G538&gt;0),533,"")</f>
        <v/>
      </c>
      <c r="B539" s="4" t="str">
        <f>IF(A539="","",IF('Loan Inputs'!$B$14=12,DATE(YEAR('Loan Inputs'!$B$8),MONTH('Loan Inputs'!$B$8)+A539,DAY('Loan Inputs'!$B$8)),'Loan Inputs'!$B$8+A539*IF('Loan Inputs'!$B$14=26,14,7)))</f>
        <v/>
      </c>
      <c r="C539" s="2" t="str">
        <f t="shared" si="26"/>
        <v/>
      </c>
      <c r="D539" s="2" t="str">
        <f>IF(A539="","",MIN('Loan Inputs'!$B$17,C539+E539)+H539)</f>
        <v/>
      </c>
      <c r="E539" s="2" t="str">
        <f>IF(A539="","",C539*'Loan Inputs'!$B$15)</f>
        <v/>
      </c>
      <c r="F539" s="2" t="str">
        <f t="shared" si="24"/>
        <v/>
      </c>
      <c r="G539" s="2" t="str">
        <f t="shared" si="25"/>
        <v/>
      </c>
      <c r="H539" s="2" t="str">
        <f>IF(A539="","",MIN(0,MAX(0,C539+E539-'Loan Inputs'!$B$17)))</f>
        <v/>
      </c>
    </row>
    <row r="540" spans="1:8" ht="22" customHeight="1">
      <c r="A540" s="1" t="str">
        <f>IF(AND('Loan Inputs'!$B$12,534&lt;=IF('Loan Inputs'!$B$12,'Loan Inputs'!$B$7,0)*'Loan Inputs'!$B$14+0,ISNUMBER(G539),G539&gt;0),534,"")</f>
        <v/>
      </c>
      <c r="B540" s="4" t="str">
        <f>IF(A540="","",IF('Loan Inputs'!$B$14=12,DATE(YEAR('Loan Inputs'!$B$8),MONTH('Loan Inputs'!$B$8)+A540,DAY('Loan Inputs'!$B$8)),'Loan Inputs'!$B$8+A540*IF('Loan Inputs'!$B$14=26,14,7)))</f>
        <v/>
      </c>
      <c r="C540" s="2" t="str">
        <f t="shared" si="26"/>
        <v/>
      </c>
      <c r="D540" s="2" t="str">
        <f>IF(A540="","",MIN('Loan Inputs'!$B$17,C540+E540)+H540)</f>
        <v/>
      </c>
      <c r="E540" s="2" t="str">
        <f>IF(A540="","",C540*'Loan Inputs'!$B$15)</f>
        <v/>
      </c>
      <c r="F540" s="2" t="str">
        <f t="shared" si="24"/>
        <v/>
      </c>
      <c r="G540" s="2" t="str">
        <f t="shared" si="25"/>
        <v/>
      </c>
      <c r="H540" s="2" t="str">
        <f>IF(A540="","",MIN(0,MAX(0,C540+E540-'Loan Inputs'!$B$17)))</f>
        <v/>
      </c>
    </row>
    <row r="541" spans="1:8" ht="22" customHeight="1">
      <c r="A541" s="1" t="str">
        <f>IF(AND('Loan Inputs'!$B$12,535&lt;=IF('Loan Inputs'!$B$12,'Loan Inputs'!$B$7,0)*'Loan Inputs'!$B$14+0,ISNUMBER(G540),G540&gt;0),535,"")</f>
        <v/>
      </c>
      <c r="B541" s="4" t="str">
        <f>IF(A541="","",IF('Loan Inputs'!$B$14=12,DATE(YEAR('Loan Inputs'!$B$8),MONTH('Loan Inputs'!$B$8)+A541,DAY('Loan Inputs'!$B$8)),'Loan Inputs'!$B$8+A541*IF('Loan Inputs'!$B$14=26,14,7)))</f>
        <v/>
      </c>
      <c r="C541" s="2" t="str">
        <f t="shared" si="26"/>
        <v/>
      </c>
      <c r="D541" s="2" t="str">
        <f>IF(A541="","",MIN('Loan Inputs'!$B$17,C541+E541)+H541)</f>
        <v/>
      </c>
      <c r="E541" s="2" t="str">
        <f>IF(A541="","",C541*'Loan Inputs'!$B$15)</f>
        <v/>
      </c>
      <c r="F541" s="2" t="str">
        <f t="shared" si="24"/>
        <v/>
      </c>
      <c r="G541" s="2" t="str">
        <f t="shared" si="25"/>
        <v/>
      </c>
      <c r="H541" s="2" t="str">
        <f>IF(A541="","",MIN(0,MAX(0,C541+E541-'Loan Inputs'!$B$17)))</f>
        <v/>
      </c>
    </row>
    <row r="542" spans="1:8" ht="22" customHeight="1">
      <c r="A542" s="1" t="str">
        <f>IF(AND('Loan Inputs'!$B$12,536&lt;=IF('Loan Inputs'!$B$12,'Loan Inputs'!$B$7,0)*'Loan Inputs'!$B$14+0,ISNUMBER(G541),G541&gt;0),536,"")</f>
        <v/>
      </c>
      <c r="B542" s="4" t="str">
        <f>IF(A542="","",IF('Loan Inputs'!$B$14=12,DATE(YEAR('Loan Inputs'!$B$8),MONTH('Loan Inputs'!$B$8)+A542,DAY('Loan Inputs'!$B$8)),'Loan Inputs'!$B$8+A542*IF('Loan Inputs'!$B$14=26,14,7)))</f>
        <v/>
      </c>
      <c r="C542" s="2" t="str">
        <f t="shared" si="26"/>
        <v/>
      </c>
      <c r="D542" s="2" t="str">
        <f>IF(A542="","",MIN('Loan Inputs'!$B$17,C542+E542)+H542)</f>
        <v/>
      </c>
      <c r="E542" s="2" t="str">
        <f>IF(A542="","",C542*'Loan Inputs'!$B$15)</f>
        <v/>
      </c>
      <c r="F542" s="2" t="str">
        <f t="shared" si="24"/>
        <v/>
      </c>
      <c r="G542" s="2" t="str">
        <f t="shared" si="25"/>
        <v/>
      </c>
      <c r="H542" s="2" t="str">
        <f>IF(A542="","",MIN(0,MAX(0,C542+E542-'Loan Inputs'!$B$17)))</f>
        <v/>
      </c>
    </row>
    <row r="543" spans="1:8" ht="22" customHeight="1">
      <c r="A543" s="1" t="str">
        <f>IF(AND('Loan Inputs'!$B$12,537&lt;=IF('Loan Inputs'!$B$12,'Loan Inputs'!$B$7,0)*'Loan Inputs'!$B$14+0,ISNUMBER(G542),G542&gt;0),537,"")</f>
        <v/>
      </c>
      <c r="B543" s="4" t="str">
        <f>IF(A543="","",IF('Loan Inputs'!$B$14=12,DATE(YEAR('Loan Inputs'!$B$8),MONTH('Loan Inputs'!$B$8)+A543,DAY('Loan Inputs'!$B$8)),'Loan Inputs'!$B$8+A543*IF('Loan Inputs'!$B$14=26,14,7)))</f>
        <v/>
      </c>
      <c r="C543" s="2" t="str">
        <f t="shared" si="26"/>
        <v/>
      </c>
      <c r="D543" s="2" t="str">
        <f>IF(A543="","",MIN('Loan Inputs'!$B$17,C543+E543)+H543)</f>
        <v/>
      </c>
      <c r="E543" s="2" t="str">
        <f>IF(A543="","",C543*'Loan Inputs'!$B$15)</f>
        <v/>
      </c>
      <c r="F543" s="2" t="str">
        <f t="shared" si="24"/>
        <v/>
      </c>
      <c r="G543" s="2" t="str">
        <f t="shared" si="25"/>
        <v/>
      </c>
      <c r="H543" s="2" t="str">
        <f>IF(A543="","",MIN(0,MAX(0,C543+E543-'Loan Inputs'!$B$17)))</f>
        <v/>
      </c>
    </row>
    <row r="544" spans="1:8" ht="22" customHeight="1">
      <c r="A544" s="1" t="str">
        <f>IF(AND('Loan Inputs'!$B$12,538&lt;=IF('Loan Inputs'!$B$12,'Loan Inputs'!$B$7,0)*'Loan Inputs'!$B$14+0,ISNUMBER(G543),G543&gt;0),538,"")</f>
        <v/>
      </c>
      <c r="B544" s="4" t="str">
        <f>IF(A544="","",IF('Loan Inputs'!$B$14=12,DATE(YEAR('Loan Inputs'!$B$8),MONTH('Loan Inputs'!$B$8)+A544,DAY('Loan Inputs'!$B$8)),'Loan Inputs'!$B$8+A544*IF('Loan Inputs'!$B$14=26,14,7)))</f>
        <v/>
      </c>
      <c r="C544" s="2" t="str">
        <f t="shared" si="26"/>
        <v/>
      </c>
      <c r="D544" s="2" t="str">
        <f>IF(A544="","",MIN('Loan Inputs'!$B$17,C544+E544)+H544)</f>
        <v/>
      </c>
      <c r="E544" s="2" t="str">
        <f>IF(A544="","",C544*'Loan Inputs'!$B$15)</f>
        <v/>
      </c>
      <c r="F544" s="2" t="str">
        <f t="shared" si="24"/>
        <v/>
      </c>
      <c r="G544" s="2" t="str">
        <f t="shared" si="25"/>
        <v/>
      </c>
      <c r="H544" s="2" t="str">
        <f>IF(A544="","",MIN(0,MAX(0,C544+E544-'Loan Inputs'!$B$17)))</f>
        <v/>
      </c>
    </row>
    <row r="545" spans="1:8" ht="22" customHeight="1">
      <c r="A545" s="1" t="str">
        <f>IF(AND('Loan Inputs'!$B$12,539&lt;=IF('Loan Inputs'!$B$12,'Loan Inputs'!$B$7,0)*'Loan Inputs'!$B$14+0,ISNUMBER(G544),G544&gt;0),539,"")</f>
        <v/>
      </c>
      <c r="B545" s="4" t="str">
        <f>IF(A545="","",IF('Loan Inputs'!$B$14=12,DATE(YEAR('Loan Inputs'!$B$8),MONTH('Loan Inputs'!$B$8)+A545,DAY('Loan Inputs'!$B$8)),'Loan Inputs'!$B$8+A545*IF('Loan Inputs'!$B$14=26,14,7)))</f>
        <v/>
      </c>
      <c r="C545" s="2" t="str">
        <f t="shared" si="26"/>
        <v/>
      </c>
      <c r="D545" s="2" t="str">
        <f>IF(A545="","",MIN('Loan Inputs'!$B$17,C545+E545)+H545)</f>
        <v/>
      </c>
      <c r="E545" s="2" t="str">
        <f>IF(A545="","",C545*'Loan Inputs'!$B$15)</f>
        <v/>
      </c>
      <c r="F545" s="2" t="str">
        <f t="shared" si="24"/>
        <v/>
      </c>
      <c r="G545" s="2" t="str">
        <f t="shared" si="25"/>
        <v/>
      </c>
      <c r="H545" s="2" t="str">
        <f>IF(A545="","",MIN(0,MAX(0,C545+E545-'Loan Inputs'!$B$17)))</f>
        <v/>
      </c>
    </row>
    <row r="546" spans="1:8" ht="22" customHeight="1">
      <c r="A546" s="1" t="str">
        <f>IF(AND('Loan Inputs'!$B$12,540&lt;=IF('Loan Inputs'!$B$12,'Loan Inputs'!$B$7,0)*'Loan Inputs'!$B$14+0,ISNUMBER(G545),G545&gt;0),540,"")</f>
        <v/>
      </c>
      <c r="B546" s="4" t="str">
        <f>IF(A546="","",IF('Loan Inputs'!$B$14=12,DATE(YEAR('Loan Inputs'!$B$8),MONTH('Loan Inputs'!$B$8)+A546,DAY('Loan Inputs'!$B$8)),'Loan Inputs'!$B$8+A546*IF('Loan Inputs'!$B$14=26,14,7)))</f>
        <v/>
      </c>
      <c r="C546" s="2" t="str">
        <f t="shared" si="26"/>
        <v/>
      </c>
      <c r="D546" s="2" t="str">
        <f>IF(A546="","",MIN('Loan Inputs'!$B$17,C546+E546)+H546)</f>
        <v/>
      </c>
      <c r="E546" s="2" t="str">
        <f>IF(A546="","",C546*'Loan Inputs'!$B$15)</f>
        <v/>
      </c>
      <c r="F546" s="2" t="str">
        <f t="shared" si="24"/>
        <v/>
      </c>
      <c r="G546" s="2" t="str">
        <f t="shared" si="25"/>
        <v/>
      </c>
      <c r="H546" s="2" t="str">
        <f>IF(A546="","",MIN(0,MAX(0,C546+E546-'Loan Inputs'!$B$17)))</f>
        <v/>
      </c>
    </row>
    <row r="547" spans="1:8" ht="22" customHeight="1">
      <c r="A547" s="1" t="str">
        <f>IF(AND('Loan Inputs'!$B$12,541&lt;=IF('Loan Inputs'!$B$12,'Loan Inputs'!$B$7,0)*'Loan Inputs'!$B$14+0,ISNUMBER(G546),G546&gt;0),541,"")</f>
        <v/>
      </c>
      <c r="B547" s="4" t="str">
        <f>IF(A547="","",IF('Loan Inputs'!$B$14=12,DATE(YEAR('Loan Inputs'!$B$8),MONTH('Loan Inputs'!$B$8)+A547,DAY('Loan Inputs'!$B$8)),'Loan Inputs'!$B$8+A547*IF('Loan Inputs'!$B$14=26,14,7)))</f>
        <v/>
      </c>
      <c r="C547" s="2" t="str">
        <f t="shared" si="26"/>
        <v/>
      </c>
      <c r="D547" s="2" t="str">
        <f>IF(A547="","",MIN('Loan Inputs'!$B$17,C547+E547)+H547)</f>
        <v/>
      </c>
      <c r="E547" s="2" t="str">
        <f>IF(A547="","",C547*'Loan Inputs'!$B$15)</f>
        <v/>
      </c>
      <c r="F547" s="2" t="str">
        <f t="shared" si="24"/>
        <v/>
      </c>
      <c r="G547" s="2" t="str">
        <f t="shared" si="25"/>
        <v/>
      </c>
      <c r="H547" s="2" t="str">
        <f>IF(A547="","",MIN(0,MAX(0,C547+E547-'Loan Inputs'!$B$17)))</f>
        <v/>
      </c>
    </row>
    <row r="548" spans="1:8" ht="22" customHeight="1">
      <c r="A548" s="1" t="str">
        <f>IF(AND('Loan Inputs'!$B$12,542&lt;=IF('Loan Inputs'!$B$12,'Loan Inputs'!$B$7,0)*'Loan Inputs'!$B$14+0,ISNUMBER(G547),G547&gt;0),542,"")</f>
        <v/>
      </c>
      <c r="B548" s="4" t="str">
        <f>IF(A548="","",IF('Loan Inputs'!$B$14=12,DATE(YEAR('Loan Inputs'!$B$8),MONTH('Loan Inputs'!$B$8)+A548,DAY('Loan Inputs'!$B$8)),'Loan Inputs'!$B$8+A548*IF('Loan Inputs'!$B$14=26,14,7)))</f>
        <v/>
      </c>
      <c r="C548" s="2" t="str">
        <f t="shared" si="26"/>
        <v/>
      </c>
      <c r="D548" s="2" t="str">
        <f>IF(A548="","",MIN('Loan Inputs'!$B$17,C548+E548)+H548)</f>
        <v/>
      </c>
      <c r="E548" s="2" t="str">
        <f>IF(A548="","",C548*'Loan Inputs'!$B$15)</f>
        <v/>
      </c>
      <c r="F548" s="2" t="str">
        <f t="shared" si="24"/>
        <v/>
      </c>
      <c r="G548" s="2" t="str">
        <f t="shared" si="25"/>
        <v/>
      </c>
      <c r="H548" s="2" t="str">
        <f>IF(A548="","",MIN(0,MAX(0,C548+E548-'Loan Inputs'!$B$17)))</f>
        <v/>
      </c>
    </row>
    <row r="549" spans="1:8" ht="22" customHeight="1">
      <c r="A549" s="1" t="str">
        <f>IF(AND('Loan Inputs'!$B$12,543&lt;=IF('Loan Inputs'!$B$12,'Loan Inputs'!$B$7,0)*'Loan Inputs'!$B$14+0,ISNUMBER(G548),G548&gt;0),543,"")</f>
        <v/>
      </c>
      <c r="B549" s="4" t="str">
        <f>IF(A549="","",IF('Loan Inputs'!$B$14=12,DATE(YEAR('Loan Inputs'!$B$8),MONTH('Loan Inputs'!$B$8)+A549,DAY('Loan Inputs'!$B$8)),'Loan Inputs'!$B$8+A549*IF('Loan Inputs'!$B$14=26,14,7)))</f>
        <v/>
      </c>
      <c r="C549" s="2" t="str">
        <f t="shared" si="26"/>
        <v/>
      </c>
      <c r="D549" s="2" t="str">
        <f>IF(A549="","",MIN('Loan Inputs'!$B$17,C549+E549)+H549)</f>
        <v/>
      </c>
      <c r="E549" s="2" t="str">
        <f>IF(A549="","",C549*'Loan Inputs'!$B$15)</f>
        <v/>
      </c>
      <c r="F549" s="2" t="str">
        <f t="shared" si="24"/>
        <v/>
      </c>
      <c r="G549" s="2" t="str">
        <f t="shared" si="25"/>
        <v/>
      </c>
      <c r="H549" s="2" t="str">
        <f>IF(A549="","",MIN(0,MAX(0,C549+E549-'Loan Inputs'!$B$17)))</f>
        <v/>
      </c>
    </row>
    <row r="550" spans="1:8" ht="22" customHeight="1">
      <c r="A550" s="1" t="str">
        <f>IF(AND('Loan Inputs'!$B$12,544&lt;=IF('Loan Inputs'!$B$12,'Loan Inputs'!$B$7,0)*'Loan Inputs'!$B$14+0,ISNUMBER(G549),G549&gt;0),544,"")</f>
        <v/>
      </c>
      <c r="B550" s="4" t="str">
        <f>IF(A550="","",IF('Loan Inputs'!$B$14=12,DATE(YEAR('Loan Inputs'!$B$8),MONTH('Loan Inputs'!$B$8)+A550,DAY('Loan Inputs'!$B$8)),'Loan Inputs'!$B$8+A550*IF('Loan Inputs'!$B$14=26,14,7)))</f>
        <v/>
      </c>
      <c r="C550" s="2" t="str">
        <f t="shared" si="26"/>
        <v/>
      </c>
      <c r="D550" s="2" t="str">
        <f>IF(A550="","",MIN('Loan Inputs'!$B$17,C550+E550)+H550)</f>
        <v/>
      </c>
      <c r="E550" s="2" t="str">
        <f>IF(A550="","",C550*'Loan Inputs'!$B$15)</f>
        <v/>
      </c>
      <c r="F550" s="2" t="str">
        <f t="shared" si="24"/>
        <v/>
      </c>
      <c r="G550" s="2" t="str">
        <f t="shared" si="25"/>
        <v/>
      </c>
      <c r="H550" s="2" t="str">
        <f>IF(A550="","",MIN(0,MAX(0,C550+E550-'Loan Inputs'!$B$17)))</f>
        <v/>
      </c>
    </row>
    <row r="551" spans="1:8" ht="22" customHeight="1">
      <c r="A551" s="1" t="str">
        <f>IF(AND('Loan Inputs'!$B$12,545&lt;=IF('Loan Inputs'!$B$12,'Loan Inputs'!$B$7,0)*'Loan Inputs'!$B$14+0,ISNUMBER(G550),G550&gt;0),545,"")</f>
        <v/>
      </c>
      <c r="B551" s="4" t="str">
        <f>IF(A551="","",IF('Loan Inputs'!$B$14=12,DATE(YEAR('Loan Inputs'!$B$8),MONTH('Loan Inputs'!$B$8)+A551,DAY('Loan Inputs'!$B$8)),'Loan Inputs'!$B$8+A551*IF('Loan Inputs'!$B$14=26,14,7)))</f>
        <v/>
      </c>
      <c r="C551" s="2" t="str">
        <f t="shared" si="26"/>
        <v/>
      </c>
      <c r="D551" s="2" t="str">
        <f>IF(A551="","",MIN('Loan Inputs'!$B$17,C551+E551)+H551)</f>
        <v/>
      </c>
      <c r="E551" s="2" t="str">
        <f>IF(A551="","",C551*'Loan Inputs'!$B$15)</f>
        <v/>
      </c>
      <c r="F551" s="2" t="str">
        <f t="shared" si="24"/>
        <v/>
      </c>
      <c r="G551" s="2" t="str">
        <f t="shared" si="25"/>
        <v/>
      </c>
      <c r="H551" s="2" t="str">
        <f>IF(A551="","",MIN(0,MAX(0,C551+E551-'Loan Inputs'!$B$17)))</f>
        <v/>
      </c>
    </row>
    <row r="552" spans="1:8" ht="22" customHeight="1">
      <c r="A552" s="1" t="str">
        <f>IF(AND('Loan Inputs'!$B$12,546&lt;=IF('Loan Inputs'!$B$12,'Loan Inputs'!$B$7,0)*'Loan Inputs'!$B$14+0,ISNUMBER(G551),G551&gt;0),546,"")</f>
        <v/>
      </c>
      <c r="B552" s="4" t="str">
        <f>IF(A552="","",IF('Loan Inputs'!$B$14=12,DATE(YEAR('Loan Inputs'!$B$8),MONTH('Loan Inputs'!$B$8)+A552,DAY('Loan Inputs'!$B$8)),'Loan Inputs'!$B$8+A552*IF('Loan Inputs'!$B$14=26,14,7)))</f>
        <v/>
      </c>
      <c r="C552" s="2" t="str">
        <f t="shared" si="26"/>
        <v/>
      </c>
      <c r="D552" s="2" t="str">
        <f>IF(A552="","",MIN('Loan Inputs'!$B$17,C552+E552)+H552)</f>
        <v/>
      </c>
      <c r="E552" s="2" t="str">
        <f>IF(A552="","",C552*'Loan Inputs'!$B$15)</f>
        <v/>
      </c>
      <c r="F552" s="2" t="str">
        <f t="shared" si="24"/>
        <v/>
      </c>
      <c r="G552" s="2" t="str">
        <f t="shared" si="25"/>
        <v/>
      </c>
      <c r="H552" s="2" t="str">
        <f>IF(A552="","",MIN(0,MAX(0,C552+E552-'Loan Inputs'!$B$17)))</f>
        <v/>
      </c>
    </row>
    <row r="553" spans="1:8" ht="22" customHeight="1">
      <c r="A553" s="1" t="str">
        <f>IF(AND('Loan Inputs'!$B$12,547&lt;=IF('Loan Inputs'!$B$12,'Loan Inputs'!$B$7,0)*'Loan Inputs'!$B$14+0,ISNUMBER(G552),G552&gt;0),547,"")</f>
        <v/>
      </c>
      <c r="B553" s="4" t="str">
        <f>IF(A553="","",IF('Loan Inputs'!$B$14=12,DATE(YEAR('Loan Inputs'!$B$8),MONTH('Loan Inputs'!$B$8)+A553,DAY('Loan Inputs'!$B$8)),'Loan Inputs'!$B$8+A553*IF('Loan Inputs'!$B$14=26,14,7)))</f>
        <v/>
      </c>
      <c r="C553" s="2" t="str">
        <f t="shared" si="26"/>
        <v/>
      </c>
      <c r="D553" s="2" t="str">
        <f>IF(A553="","",MIN('Loan Inputs'!$B$17,C553+E553)+H553)</f>
        <v/>
      </c>
      <c r="E553" s="2" t="str">
        <f>IF(A553="","",C553*'Loan Inputs'!$B$15)</f>
        <v/>
      </c>
      <c r="F553" s="2" t="str">
        <f t="shared" si="24"/>
        <v/>
      </c>
      <c r="G553" s="2" t="str">
        <f t="shared" si="25"/>
        <v/>
      </c>
      <c r="H553" s="2" t="str">
        <f>IF(A553="","",MIN(0,MAX(0,C553+E553-'Loan Inputs'!$B$17)))</f>
        <v/>
      </c>
    </row>
    <row r="554" spans="1:8" ht="22" customHeight="1">
      <c r="A554" s="1" t="str">
        <f>IF(AND('Loan Inputs'!$B$12,548&lt;=IF('Loan Inputs'!$B$12,'Loan Inputs'!$B$7,0)*'Loan Inputs'!$B$14+0,ISNUMBER(G553),G553&gt;0),548,"")</f>
        <v/>
      </c>
      <c r="B554" s="4" t="str">
        <f>IF(A554="","",IF('Loan Inputs'!$B$14=12,DATE(YEAR('Loan Inputs'!$B$8),MONTH('Loan Inputs'!$B$8)+A554,DAY('Loan Inputs'!$B$8)),'Loan Inputs'!$B$8+A554*IF('Loan Inputs'!$B$14=26,14,7)))</f>
        <v/>
      </c>
      <c r="C554" s="2" t="str">
        <f t="shared" si="26"/>
        <v/>
      </c>
      <c r="D554" s="2" t="str">
        <f>IF(A554="","",MIN('Loan Inputs'!$B$17,C554+E554)+H554)</f>
        <v/>
      </c>
      <c r="E554" s="2" t="str">
        <f>IF(A554="","",C554*'Loan Inputs'!$B$15)</f>
        <v/>
      </c>
      <c r="F554" s="2" t="str">
        <f t="shared" si="24"/>
        <v/>
      </c>
      <c r="G554" s="2" t="str">
        <f t="shared" si="25"/>
        <v/>
      </c>
      <c r="H554" s="2" t="str">
        <f>IF(A554="","",MIN(0,MAX(0,C554+E554-'Loan Inputs'!$B$17)))</f>
        <v/>
      </c>
    </row>
    <row r="555" spans="1:8" ht="22" customHeight="1">
      <c r="A555" s="1" t="str">
        <f>IF(AND('Loan Inputs'!$B$12,549&lt;=IF('Loan Inputs'!$B$12,'Loan Inputs'!$B$7,0)*'Loan Inputs'!$B$14+0,ISNUMBER(G554),G554&gt;0),549,"")</f>
        <v/>
      </c>
      <c r="B555" s="4" t="str">
        <f>IF(A555="","",IF('Loan Inputs'!$B$14=12,DATE(YEAR('Loan Inputs'!$B$8),MONTH('Loan Inputs'!$B$8)+A555,DAY('Loan Inputs'!$B$8)),'Loan Inputs'!$B$8+A555*IF('Loan Inputs'!$B$14=26,14,7)))</f>
        <v/>
      </c>
      <c r="C555" s="2" t="str">
        <f t="shared" si="26"/>
        <v/>
      </c>
      <c r="D555" s="2" t="str">
        <f>IF(A555="","",MIN('Loan Inputs'!$B$17,C555+E555)+H555)</f>
        <v/>
      </c>
      <c r="E555" s="2" t="str">
        <f>IF(A555="","",C555*'Loan Inputs'!$B$15)</f>
        <v/>
      </c>
      <c r="F555" s="2" t="str">
        <f t="shared" si="24"/>
        <v/>
      </c>
      <c r="G555" s="2" t="str">
        <f t="shared" si="25"/>
        <v/>
      </c>
      <c r="H555" s="2" t="str">
        <f>IF(A555="","",MIN(0,MAX(0,C555+E555-'Loan Inputs'!$B$17)))</f>
        <v/>
      </c>
    </row>
    <row r="556" spans="1:8" ht="22" customHeight="1">
      <c r="A556" s="1" t="str">
        <f>IF(AND('Loan Inputs'!$B$12,550&lt;=IF('Loan Inputs'!$B$12,'Loan Inputs'!$B$7,0)*'Loan Inputs'!$B$14+0,ISNUMBER(G555),G555&gt;0),550,"")</f>
        <v/>
      </c>
      <c r="B556" s="4" t="str">
        <f>IF(A556="","",IF('Loan Inputs'!$B$14=12,DATE(YEAR('Loan Inputs'!$B$8),MONTH('Loan Inputs'!$B$8)+A556,DAY('Loan Inputs'!$B$8)),'Loan Inputs'!$B$8+A556*IF('Loan Inputs'!$B$14=26,14,7)))</f>
        <v/>
      </c>
      <c r="C556" s="2" t="str">
        <f t="shared" si="26"/>
        <v/>
      </c>
      <c r="D556" s="2" t="str">
        <f>IF(A556="","",MIN('Loan Inputs'!$B$17,C556+E556)+H556)</f>
        <v/>
      </c>
      <c r="E556" s="2" t="str">
        <f>IF(A556="","",C556*'Loan Inputs'!$B$15)</f>
        <v/>
      </c>
      <c r="F556" s="2" t="str">
        <f t="shared" si="24"/>
        <v/>
      </c>
      <c r="G556" s="2" t="str">
        <f t="shared" si="25"/>
        <v/>
      </c>
      <c r="H556" s="2" t="str">
        <f>IF(A556="","",MIN(0,MAX(0,C556+E556-'Loan Inputs'!$B$17)))</f>
        <v/>
      </c>
    </row>
    <row r="557" spans="1:8" ht="22" customHeight="1">
      <c r="A557" s="1" t="str">
        <f>IF(AND('Loan Inputs'!$B$12,551&lt;=IF('Loan Inputs'!$B$12,'Loan Inputs'!$B$7,0)*'Loan Inputs'!$B$14+0,ISNUMBER(G556),G556&gt;0),551,"")</f>
        <v/>
      </c>
      <c r="B557" s="4" t="str">
        <f>IF(A557="","",IF('Loan Inputs'!$B$14=12,DATE(YEAR('Loan Inputs'!$B$8),MONTH('Loan Inputs'!$B$8)+A557,DAY('Loan Inputs'!$B$8)),'Loan Inputs'!$B$8+A557*IF('Loan Inputs'!$B$14=26,14,7)))</f>
        <v/>
      </c>
      <c r="C557" s="2" t="str">
        <f t="shared" si="26"/>
        <v/>
      </c>
      <c r="D557" s="2" t="str">
        <f>IF(A557="","",MIN('Loan Inputs'!$B$17,C557+E557)+H557)</f>
        <v/>
      </c>
      <c r="E557" s="2" t="str">
        <f>IF(A557="","",C557*'Loan Inputs'!$B$15)</f>
        <v/>
      </c>
      <c r="F557" s="2" t="str">
        <f t="shared" si="24"/>
        <v/>
      </c>
      <c r="G557" s="2" t="str">
        <f t="shared" si="25"/>
        <v/>
      </c>
      <c r="H557" s="2" t="str">
        <f>IF(A557="","",MIN(0,MAX(0,C557+E557-'Loan Inputs'!$B$17)))</f>
        <v/>
      </c>
    </row>
    <row r="558" spans="1:8" ht="22" customHeight="1">
      <c r="A558" s="1" t="str">
        <f>IF(AND('Loan Inputs'!$B$12,552&lt;=IF('Loan Inputs'!$B$12,'Loan Inputs'!$B$7,0)*'Loan Inputs'!$B$14+0,ISNUMBER(G557),G557&gt;0),552,"")</f>
        <v/>
      </c>
      <c r="B558" s="4" t="str">
        <f>IF(A558="","",IF('Loan Inputs'!$B$14=12,DATE(YEAR('Loan Inputs'!$B$8),MONTH('Loan Inputs'!$B$8)+A558,DAY('Loan Inputs'!$B$8)),'Loan Inputs'!$B$8+A558*IF('Loan Inputs'!$B$14=26,14,7)))</f>
        <v/>
      </c>
      <c r="C558" s="2" t="str">
        <f t="shared" si="26"/>
        <v/>
      </c>
      <c r="D558" s="2" t="str">
        <f>IF(A558="","",MIN('Loan Inputs'!$B$17,C558+E558)+H558)</f>
        <v/>
      </c>
      <c r="E558" s="2" t="str">
        <f>IF(A558="","",C558*'Loan Inputs'!$B$15)</f>
        <v/>
      </c>
      <c r="F558" s="2" t="str">
        <f t="shared" si="24"/>
        <v/>
      </c>
      <c r="G558" s="2" t="str">
        <f t="shared" si="25"/>
        <v/>
      </c>
      <c r="H558" s="2" t="str">
        <f>IF(A558="","",MIN(0,MAX(0,C558+E558-'Loan Inputs'!$B$17)))</f>
        <v/>
      </c>
    </row>
    <row r="559" spans="1:8" ht="22" customHeight="1">
      <c r="A559" s="1" t="str">
        <f>IF(AND('Loan Inputs'!$B$12,553&lt;=IF('Loan Inputs'!$B$12,'Loan Inputs'!$B$7,0)*'Loan Inputs'!$B$14+0,ISNUMBER(G558),G558&gt;0),553,"")</f>
        <v/>
      </c>
      <c r="B559" s="4" t="str">
        <f>IF(A559="","",IF('Loan Inputs'!$B$14=12,DATE(YEAR('Loan Inputs'!$B$8),MONTH('Loan Inputs'!$B$8)+A559,DAY('Loan Inputs'!$B$8)),'Loan Inputs'!$B$8+A559*IF('Loan Inputs'!$B$14=26,14,7)))</f>
        <v/>
      </c>
      <c r="C559" s="2" t="str">
        <f t="shared" si="26"/>
        <v/>
      </c>
      <c r="D559" s="2" t="str">
        <f>IF(A559="","",MIN('Loan Inputs'!$B$17,C559+E559)+H559)</f>
        <v/>
      </c>
      <c r="E559" s="2" t="str">
        <f>IF(A559="","",C559*'Loan Inputs'!$B$15)</f>
        <v/>
      </c>
      <c r="F559" s="2" t="str">
        <f t="shared" si="24"/>
        <v/>
      </c>
      <c r="G559" s="2" t="str">
        <f t="shared" si="25"/>
        <v/>
      </c>
      <c r="H559" s="2" t="str">
        <f>IF(A559="","",MIN(0,MAX(0,C559+E559-'Loan Inputs'!$B$17)))</f>
        <v/>
      </c>
    </row>
    <row r="560" spans="1:8" ht="22" customHeight="1">
      <c r="A560" s="1" t="str">
        <f>IF(AND('Loan Inputs'!$B$12,554&lt;=IF('Loan Inputs'!$B$12,'Loan Inputs'!$B$7,0)*'Loan Inputs'!$B$14+0,ISNUMBER(G559),G559&gt;0),554,"")</f>
        <v/>
      </c>
      <c r="B560" s="4" t="str">
        <f>IF(A560="","",IF('Loan Inputs'!$B$14=12,DATE(YEAR('Loan Inputs'!$B$8),MONTH('Loan Inputs'!$B$8)+A560,DAY('Loan Inputs'!$B$8)),'Loan Inputs'!$B$8+A560*IF('Loan Inputs'!$B$14=26,14,7)))</f>
        <v/>
      </c>
      <c r="C560" s="2" t="str">
        <f t="shared" si="26"/>
        <v/>
      </c>
      <c r="D560" s="2" t="str">
        <f>IF(A560="","",MIN('Loan Inputs'!$B$17,C560+E560)+H560)</f>
        <v/>
      </c>
      <c r="E560" s="2" t="str">
        <f>IF(A560="","",C560*'Loan Inputs'!$B$15)</f>
        <v/>
      </c>
      <c r="F560" s="2" t="str">
        <f t="shared" si="24"/>
        <v/>
      </c>
      <c r="G560" s="2" t="str">
        <f t="shared" si="25"/>
        <v/>
      </c>
      <c r="H560" s="2" t="str">
        <f>IF(A560="","",MIN(0,MAX(0,C560+E560-'Loan Inputs'!$B$17)))</f>
        <v/>
      </c>
    </row>
    <row r="561" spans="1:8" ht="22" customHeight="1">
      <c r="A561" s="1" t="str">
        <f>IF(AND('Loan Inputs'!$B$12,555&lt;=IF('Loan Inputs'!$B$12,'Loan Inputs'!$B$7,0)*'Loan Inputs'!$B$14+0,ISNUMBER(G560),G560&gt;0),555,"")</f>
        <v/>
      </c>
      <c r="B561" s="4" t="str">
        <f>IF(A561="","",IF('Loan Inputs'!$B$14=12,DATE(YEAR('Loan Inputs'!$B$8),MONTH('Loan Inputs'!$B$8)+A561,DAY('Loan Inputs'!$B$8)),'Loan Inputs'!$B$8+A561*IF('Loan Inputs'!$B$14=26,14,7)))</f>
        <v/>
      </c>
      <c r="C561" s="2" t="str">
        <f t="shared" si="26"/>
        <v/>
      </c>
      <c r="D561" s="2" t="str">
        <f>IF(A561="","",MIN('Loan Inputs'!$B$17,C561+E561)+H561)</f>
        <v/>
      </c>
      <c r="E561" s="2" t="str">
        <f>IF(A561="","",C561*'Loan Inputs'!$B$15)</f>
        <v/>
      </c>
      <c r="F561" s="2" t="str">
        <f t="shared" si="24"/>
        <v/>
      </c>
      <c r="G561" s="2" t="str">
        <f t="shared" si="25"/>
        <v/>
      </c>
      <c r="H561" s="2" t="str">
        <f>IF(A561="","",MIN(0,MAX(0,C561+E561-'Loan Inputs'!$B$17)))</f>
        <v/>
      </c>
    </row>
    <row r="562" spans="1:8" ht="22" customHeight="1">
      <c r="A562" s="1" t="str">
        <f>IF(AND('Loan Inputs'!$B$12,556&lt;=IF('Loan Inputs'!$B$12,'Loan Inputs'!$B$7,0)*'Loan Inputs'!$B$14+0,ISNUMBER(G561),G561&gt;0),556,"")</f>
        <v/>
      </c>
      <c r="B562" s="4" t="str">
        <f>IF(A562="","",IF('Loan Inputs'!$B$14=12,DATE(YEAR('Loan Inputs'!$B$8),MONTH('Loan Inputs'!$B$8)+A562,DAY('Loan Inputs'!$B$8)),'Loan Inputs'!$B$8+A562*IF('Loan Inputs'!$B$14=26,14,7)))</f>
        <v/>
      </c>
      <c r="C562" s="2" t="str">
        <f t="shared" si="26"/>
        <v/>
      </c>
      <c r="D562" s="2" t="str">
        <f>IF(A562="","",MIN('Loan Inputs'!$B$17,C562+E562)+H562)</f>
        <v/>
      </c>
      <c r="E562" s="2" t="str">
        <f>IF(A562="","",C562*'Loan Inputs'!$B$15)</f>
        <v/>
      </c>
      <c r="F562" s="2" t="str">
        <f t="shared" si="24"/>
        <v/>
      </c>
      <c r="G562" s="2" t="str">
        <f t="shared" si="25"/>
        <v/>
      </c>
      <c r="H562" s="2" t="str">
        <f>IF(A562="","",MIN(0,MAX(0,C562+E562-'Loan Inputs'!$B$17)))</f>
        <v/>
      </c>
    </row>
    <row r="563" spans="1:8" ht="22" customHeight="1">
      <c r="A563" s="1" t="str">
        <f>IF(AND('Loan Inputs'!$B$12,557&lt;=IF('Loan Inputs'!$B$12,'Loan Inputs'!$B$7,0)*'Loan Inputs'!$B$14+0,ISNUMBER(G562),G562&gt;0),557,"")</f>
        <v/>
      </c>
      <c r="B563" s="4" t="str">
        <f>IF(A563="","",IF('Loan Inputs'!$B$14=12,DATE(YEAR('Loan Inputs'!$B$8),MONTH('Loan Inputs'!$B$8)+A563,DAY('Loan Inputs'!$B$8)),'Loan Inputs'!$B$8+A563*IF('Loan Inputs'!$B$14=26,14,7)))</f>
        <v/>
      </c>
      <c r="C563" s="2" t="str">
        <f t="shared" si="26"/>
        <v/>
      </c>
      <c r="D563" s="2" t="str">
        <f>IF(A563="","",MIN('Loan Inputs'!$B$17,C563+E563)+H563)</f>
        <v/>
      </c>
      <c r="E563" s="2" t="str">
        <f>IF(A563="","",C563*'Loan Inputs'!$B$15)</f>
        <v/>
      </c>
      <c r="F563" s="2" t="str">
        <f t="shared" si="24"/>
        <v/>
      </c>
      <c r="G563" s="2" t="str">
        <f t="shared" si="25"/>
        <v/>
      </c>
      <c r="H563" s="2" t="str">
        <f>IF(A563="","",MIN(0,MAX(0,C563+E563-'Loan Inputs'!$B$17)))</f>
        <v/>
      </c>
    </row>
    <row r="564" spans="1:8" ht="22" customHeight="1">
      <c r="A564" s="1" t="str">
        <f>IF(AND('Loan Inputs'!$B$12,558&lt;=IF('Loan Inputs'!$B$12,'Loan Inputs'!$B$7,0)*'Loan Inputs'!$B$14+0,ISNUMBER(G563),G563&gt;0),558,"")</f>
        <v/>
      </c>
      <c r="B564" s="4" t="str">
        <f>IF(A564="","",IF('Loan Inputs'!$B$14=12,DATE(YEAR('Loan Inputs'!$B$8),MONTH('Loan Inputs'!$B$8)+A564,DAY('Loan Inputs'!$B$8)),'Loan Inputs'!$B$8+A564*IF('Loan Inputs'!$B$14=26,14,7)))</f>
        <v/>
      </c>
      <c r="C564" s="2" t="str">
        <f t="shared" si="26"/>
        <v/>
      </c>
      <c r="D564" s="2" t="str">
        <f>IF(A564="","",MIN('Loan Inputs'!$B$17,C564+E564)+H564)</f>
        <v/>
      </c>
      <c r="E564" s="2" t="str">
        <f>IF(A564="","",C564*'Loan Inputs'!$B$15)</f>
        <v/>
      </c>
      <c r="F564" s="2" t="str">
        <f t="shared" si="24"/>
        <v/>
      </c>
      <c r="G564" s="2" t="str">
        <f t="shared" si="25"/>
        <v/>
      </c>
      <c r="H564" s="2" t="str">
        <f>IF(A564="","",MIN(0,MAX(0,C564+E564-'Loan Inputs'!$B$17)))</f>
        <v/>
      </c>
    </row>
    <row r="565" spans="1:8" ht="22" customHeight="1">
      <c r="A565" s="1" t="str">
        <f>IF(AND('Loan Inputs'!$B$12,559&lt;=IF('Loan Inputs'!$B$12,'Loan Inputs'!$B$7,0)*'Loan Inputs'!$B$14+0,ISNUMBER(G564),G564&gt;0),559,"")</f>
        <v/>
      </c>
      <c r="B565" s="4" t="str">
        <f>IF(A565="","",IF('Loan Inputs'!$B$14=12,DATE(YEAR('Loan Inputs'!$B$8),MONTH('Loan Inputs'!$B$8)+A565,DAY('Loan Inputs'!$B$8)),'Loan Inputs'!$B$8+A565*IF('Loan Inputs'!$B$14=26,14,7)))</f>
        <v/>
      </c>
      <c r="C565" s="2" t="str">
        <f t="shared" si="26"/>
        <v/>
      </c>
      <c r="D565" s="2" t="str">
        <f>IF(A565="","",MIN('Loan Inputs'!$B$17,C565+E565)+H565)</f>
        <v/>
      </c>
      <c r="E565" s="2" t="str">
        <f>IF(A565="","",C565*'Loan Inputs'!$B$15)</f>
        <v/>
      </c>
      <c r="F565" s="2" t="str">
        <f t="shared" si="24"/>
        <v/>
      </c>
      <c r="G565" s="2" t="str">
        <f t="shared" si="25"/>
        <v/>
      </c>
      <c r="H565" s="2" t="str">
        <f>IF(A565="","",MIN(0,MAX(0,C565+E565-'Loan Inputs'!$B$17)))</f>
        <v/>
      </c>
    </row>
    <row r="566" spans="1:8" ht="22" customHeight="1">
      <c r="A566" s="1" t="str">
        <f>IF(AND('Loan Inputs'!$B$12,560&lt;=IF('Loan Inputs'!$B$12,'Loan Inputs'!$B$7,0)*'Loan Inputs'!$B$14+0,ISNUMBER(G565),G565&gt;0),560,"")</f>
        <v/>
      </c>
      <c r="B566" s="4" t="str">
        <f>IF(A566="","",IF('Loan Inputs'!$B$14=12,DATE(YEAR('Loan Inputs'!$B$8),MONTH('Loan Inputs'!$B$8)+A566,DAY('Loan Inputs'!$B$8)),'Loan Inputs'!$B$8+A566*IF('Loan Inputs'!$B$14=26,14,7)))</f>
        <v/>
      </c>
      <c r="C566" s="2" t="str">
        <f t="shared" si="26"/>
        <v/>
      </c>
      <c r="D566" s="2" t="str">
        <f>IF(A566="","",MIN('Loan Inputs'!$B$17,C566+E566)+H566)</f>
        <v/>
      </c>
      <c r="E566" s="2" t="str">
        <f>IF(A566="","",C566*'Loan Inputs'!$B$15)</f>
        <v/>
      </c>
      <c r="F566" s="2" t="str">
        <f t="shared" si="24"/>
        <v/>
      </c>
      <c r="G566" s="2" t="str">
        <f t="shared" si="25"/>
        <v/>
      </c>
      <c r="H566" s="2" t="str">
        <f>IF(A566="","",MIN(0,MAX(0,C566+E566-'Loan Inputs'!$B$17)))</f>
        <v/>
      </c>
    </row>
    <row r="567" spans="1:8" ht="22" customHeight="1">
      <c r="A567" s="1" t="str">
        <f>IF(AND('Loan Inputs'!$B$12,561&lt;=IF('Loan Inputs'!$B$12,'Loan Inputs'!$B$7,0)*'Loan Inputs'!$B$14+0,ISNUMBER(G566),G566&gt;0),561,"")</f>
        <v/>
      </c>
      <c r="B567" s="4" t="str">
        <f>IF(A567="","",IF('Loan Inputs'!$B$14=12,DATE(YEAR('Loan Inputs'!$B$8),MONTH('Loan Inputs'!$B$8)+A567,DAY('Loan Inputs'!$B$8)),'Loan Inputs'!$B$8+A567*IF('Loan Inputs'!$B$14=26,14,7)))</f>
        <v/>
      </c>
      <c r="C567" s="2" t="str">
        <f t="shared" si="26"/>
        <v/>
      </c>
      <c r="D567" s="2" t="str">
        <f>IF(A567="","",MIN('Loan Inputs'!$B$17,C567+E567)+H567)</f>
        <v/>
      </c>
      <c r="E567" s="2" t="str">
        <f>IF(A567="","",C567*'Loan Inputs'!$B$15)</f>
        <v/>
      </c>
      <c r="F567" s="2" t="str">
        <f t="shared" si="24"/>
        <v/>
      </c>
      <c r="G567" s="2" t="str">
        <f t="shared" si="25"/>
        <v/>
      </c>
      <c r="H567" s="2" t="str">
        <f>IF(A567="","",MIN(0,MAX(0,C567+E567-'Loan Inputs'!$B$17)))</f>
        <v/>
      </c>
    </row>
    <row r="568" spans="1:8" ht="22" customHeight="1">
      <c r="A568" s="1" t="str">
        <f>IF(AND('Loan Inputs'!$B$12,562&lt;=IF('Loan Inputs'!$B$12,'Loan Inputs'!$B$7,0)*'Loan Inputs'!$B$14+0,ISNUMBER(G567),G567&gt;0),562,"")</f>
        <v/>
      </c>
      <c r="B568" s="4" t="str">
        <f>IF(A568="","",IF('Loan Inputs'!$B$14=12,DATE(YEAR('Loan Inputs'!$B$8),MONTH('Loan Inputs'!$B$8)+A568,DAY('Loan Inputs'!$B$8)),'Loan Inputs'!$B$8+A568*IF('Loan Inputs'!$B$14=26,14,7)))</f>
        <v/>
      </c>
      <c r="C568" s="2" t="str">
        <f t="shared" si="26"/>
        <v/>
      </c>
      <c r="D568" s="2" t="str">
        <f>IF(A568="","",MIN('Loan Inputs'!$B$17,C568+E568)+H568)</f>
        <v/>
      </c>
      <c r="E568" s="2" t="str">
        <f>IF(A568="","",C568*'Loan Inputs'!$B$15)</f>
        <v/>
      </c>
      <c r="F568" s="2" t="str">
        <f t="shared" si="24"/>
        <v/>
      </c>
      <c r="G568" s="2" t="str">
        <f t="shared" si="25"/>
        <v/>
      </c>
      <c r="H568" s="2" t="str">
        <f>IF(A568="","",MIN(0,MAX(0,C568+E568-'Loan Inputs'!$B$17)))</f>
        <v/>
      </c>
    </row>
    <row r="569" spans="1:8" ht="22" customHeight="1">
      <c r="A569" s="1" t="str">
        <f>IF(AND('Loan Inputs'!$B$12,563&lt;=IF('Loan Inputs'!$B$12,'Loan Inputs'!$B$7,0)*'Loan Inputs'!$B$14+0,ISNUMBER(G568),G568&gt;0),563,"")</f>
        <v/>
      </c>
      <c r="B569" s="4" t="str">
        <f>IF(A569="","",IF('Loan Inputs'!$B$14=12,DATE(YEAR('Loan Inputs'!$B$8),MONTH('Loan Inputs'!$B$8)+A569,DAY('Loan Inputs'!$B$8)),'Loan Inputs'!$B$8+A569*IF('Loan Inputs'!$B$14=26,14,7)))</f>
        <v/>
      </c>
      <c r="C569" s="2" t="str">
        <f t="shared" si="26"/>
        <v/>
      </c>
      <c r="D569" s="2" t="str">
        <f>IF(A569="","",MIN('Loan Inputs'!$B$17,C569+E569)+H569)</f>
        <v/>
      </c>
      <c r="E569" s="2" t="str">
        <f>IF(A569="","",C569*'Loan Inputs'!$B$15)</f>
        <v/>
      </c>
      <c r="F569" s="2" t="str">
        <f t="shared" si="24"/>
        <v/>
      </c>
      <c r="G569" s="2" t="str">
        <f t="shared" si="25"/>
        <v/>
      </c>
      <c r="H569" s="2" t="str">
        <f>IF(A569="","",MIN(0,MAX(0,C569+E569-'Loan Inputs'!$B$17)))</f>
        <v/>
      </c>
    </row>
    <row r="570" spans="1:8" ht="22" customHeight="1">
      <c r="A570" s="1" t="str">
        <f>IF(AND('Loan Inputs'!$B$12,564&lt;=IF('Loan Inputs'!$B$12,'Loan Inputs'!$B$7,0)*'Loan Inputs'!$B$14+0,ISNUMBER(G569),G569&gt;0),564,"")</f>
        <v/>
      </c>
      <c r="B570" s="4" t="str">
        <f>IF(A570="","",IF('Loan Inputs'!$B$14=12,DATE(YEAR('Loan Inputs'!$B$8),MONTH('Loan Inputs'!$B$8)+A570,DAY('Loan Inputs'!$B$8)),'Loan Inputs'!$B$8+A570*IF('Loan Inputs'!$B$14=26,14,7)))</f>
        <v/>
      </c>
      <c r="C570" s="2" t="str">
        <f t="shared" si="26"/>
        <v/>
      </c>
      <c r="D570" s="2" t="str">
        <f>IF(A570="","",MIN('Loan Inputs'!$B$17,C570+E570)+H570)</f>
        <v/>
      </c>
      <c r="E570" s="2" t="str">
        <f>IF(A570="","",C570*'Loan Inputs'!$B$15)</f>
        <v/>
      </c>
      <c r="F570" s="2" t="str">
        <f t="shared" si="24"/>
        <v/>
      </c>
      <c r="G570" s="2" t="str">
        <f t="shared" si="25"/>
        <v/>
      </c>
      <c r="H570" s="2" t="str">
        <f>IF(A570="","",MIN(0,MAX(0,C570+E570-'Loan Inputs'!$B$17)))</f>
        <v/>
      </c>
    </row>
    <row r="571" spans="1:8" ht="22" customHeight="1">
      <c r="A571" s="1" t="str">
        <f>IF(AND('Loan Inputs'!$B$12,565&lt;=IF('Loan Inputs'!$B$12,'Loan Inputs'!$B$7,0)*'Loan Inputs'!$B$14+0,ISNUMBER(G570),G570&gt;0),565,"")</f>
        <v/>
      </c>
      <c r="B571" s="4" t="str">
        <f>IF(A571="","",IF('Loan Inputs'!$B$14=12,DATE(YEAR('Loan Inputs'!$B$8),MONTH('Loan Inputs'!$B$8)+A571,DAY('Loan Inputs'!$B$8)),'Loan Inputs'!$B$8+A571*IF('Loan Inputs'!$B$14=26,14,7)))</f>
        <v/>
      </c>
      <c r="C571" s="2" t="str">
        <f t="shared" si="26"/>
        <v/>
      </c>
      <c r="D571" s="2" t="str">
        <f>IF(A571="","",MIN('Loan Inputs'!$B$17,C571+E571)+H571)</f>
        <v/>
      </c>
      <c r="E571" s="2" t="str">
        <f>IF(A571="","",C571*'Loan Inputs'!$B$15)</f>
        <v/>
      </c>
      <c r="F571" s="2" t="str">
        <f t="shared" si="24"/>
        <v/>
      </c>
      <c r="G571" s="2" t="str">
        <f t="shared" si="25"/>
        <v/>
      </c>
      <c r="H571" s="2" t="str">
        <f>IF(A571="","",MIN(0,MAX(0,C571+E571-'Loan Inputs'!$B$17)))</f>
        <v/>
      </c>
    </row>
    <row r="572" spans="1:8" ht="22" customHeight="1">
      <c r="A572" s="1" t="str">
        <f>IF(AND('Loan Inputs'!$B$12,566&lt;=IF('Loan Inputs'!$B$12,'Loan Inputs'!$B$7,0)*'Loan Inputs'!$B$14+0,ISNUMBER(G571),G571&gt;0),566,"")</f>
        <v/>
      </c>
      <c r="B572" s="4" t="str">
        <f>IF(A572="","",IF('Loan Inputs'!$B$14=12,DATE(YEAR('Loan Inputs'!$B$8),MONTH('Loan Inputs'!$B$8)+A572,DAY('Loan Inputs'!$B$8)),'Loan Inputs'!$B$8+A572*IF('Loan Inputs'!$B$14=26,14,7)))</f>
        <v/>
      </c>
      <c r="C572" s="2" t="str">
        <f t="shared" si="26"/>
        <v/>
      </c>
      <c r="D572" s="2" t="str">
        <f>IF(A572="","",MIN('Loan Inputs'!$B$17,C572+E572)+H572)</f>
        <v/>
      </c>
      <c r="E572" s="2" t="str">
        <f>IF(A572="","",C572*'Loan Inputs'!$B$15)</f>
        <v/>
      </c>
      <c r="F572" s="2" t="str">
        <f t="shared" si="24"/>
        <v/>
      </c>
      <c r="G572" s="2" t="str">
        <f t="shared" si="25"/>
        <v/>
      </c>
      <c r="H572" s="2" t="str">
        <f>IF(A572="","",MIN(0,MAX(0,C572+E572-'Loan Inputs'!$B$17)))</f>
        <v/>
      </c>
    </row>
    <row r="573" spans="1:8" ht="22" customHeight="1">
      <c r="A573" s="1" t="str">
        <f>IF(AND('Loan Inputs'!$B$12,567&lt;=IF('Loan Inputs'!$B$12,'Loan Inputs'!$B$7,0)*'Loan Inputs'!$B$14+0,ISNUMBER(G572),G572&gt;0),567,"")</f>
        <v/>
      </c>
      <c r="B573" s="4" t="str">
        <f>IF(A573="","",IF('Loan Inputs'!$B$14=12,DATE(YEAR('Loan Inputs'!$B$8),MONTH('Loan Inputs'!$B$8)+A573,DAY('Loan Inputs'!$B$8)),'Loan Inputs'!$B$8+A573*IF('Loan Inputs'!$B$14=26,14,7)))</f>
        <v/>
      </c>
      <c r="C573" s="2" t="str">
        <f t="shared" si="26"/>
        <v/>
      </c>
      <c r="D573" s="2" t="str">
        <f>IF(A573="","",MIN('Loan Inputs'!$B$17,C573+E573)+H573)</f>
        <v/>
      </c>
      <c r="E573" s="2" t="str">
        <f>IF(A573="","",C573*'Loan Inputs'!$B$15)</f>
        <v/>
      </c>
      <c r="F573" s="2" t="str">
        <f t="shared" si="24"/>
        <v/>
      </c>
      <c r="G573" s="2" t="str">
        <f t="shared" si="25"/>
        <v/>
      </c>
      <c r="H573" s="2" t="str">
        <f>IF(A573="","",MIN(0,MAX(0,C573+E573-'Loan Inputs'!$B$17)))</f>
        <v/>
      </c>
    </row>
    <row r="574" spans="1:8" ht="22" customHeight="1">
      <c r="A574" s="1" t="str">
        <f>IF(AND('Loan Inputs'!$B$12,568&lt;=IF('Loan Inputs'!$B$12,'Loan Inputs'!$B$7,0)*'Loan Inputs'!$B$14+0,ISNUMBER(G573),G573&gt;0),568,"")</f>
        <v/>
      </c>
      <c r="B574" s="4" t="str">
        <f>IF(A574="","",IF('Loan Inputs'!$B$14=12,DATE(YEAR('Loan Inputs'!$B$8),MONTH('Loan Inputs'!$B$8)+A574,DAY('Loan Inputs'!$B$8)),'Loan Inputs'!$B$8+A574*IF('Loan Inputs'!$B$14=26,14,7)))</f>
        <v/>
      </c>
      <c r="C574" s="2" t="str">
        <f t="shared" si="26"/>
        <v/>
      </c>
      <c r="D574" s="2" t="str">
        <f>IF(A574="","",MIN('Loan Inputs'!$B$17,C574+E574)+H574)</f>
        <v/>
      </c>
      <c r="E574" s="2" t="str">
        <f>IF(A574="","",C574*'Loan Inputs'!$B$15)</f>
        <v/>
      </c>
      <c r="F574" s="2" t="str">
        <f t="shared" si="24"/>
        <v/>
      </c>
      <c r="G574" s="2" t="str">
        <f t="shared" si="25"/>
        <v/>
      </c>
      <c r="H574" s="2" t="str">
        <f>IF(A574="","",MIN(0,MAX(0,C574+E574-'Loan Inputs'!$B$17)))</f>
        <v/>
      </c>
    </row>
    <row r="575" spans="1:8" ht="22" customHeight="1">
      <c r="A575" s="1" t="str">
        <f>IF(AND('Loan Inputs'!$B$12,569&lt;=IF('Loan Inputs'!$B$12,'Loan Inputs'!$B$7,0)*'Loan Inputs'!$B$14+0,ISNUMBER(G574),G574&gt;0),569,"")</f>
        <v/>
      </c>
      <c r="B575" s="4" t="str">
        <f>IF(A575="","",IF('Loan Inputs'!$B$14=12,DATE(YEAR('Loan Inputs'!$B$8),MONTH('Loan Inputs'!$B$8)+A575,DAY('Loan Inputs'!$B$8)),'Loan Inputs'!$B$8+A575*IF('Loan Inputs'!$B$14=26,14,7)))</f>
        <v/>
      </c>
      <c r="C575" s="2" t="str">
        <f t="shared" si="26"/>
        <v/>
      </c>
      <c r="D575" s="2" t="str">
        <f>IF(A575="","",MIN('Loan Inputs'!$B$17,C575+E575)+H575)</f>
        <v/>
      </c>
      <c r="E575" s="2" t="str">
        <f>IF(A575="","",C575*'Loan Inputs'!$B$15)</f>
        <v/>
      </c>
      <c r="F575" s="2" t="str">
        <f t="shared" si="24"/>
        <v/>
      </c>
      <c r="G575" s="2" t="str">
        <f t="shared" si="25"/>
        <v/>
      </c>
      <c r="H575" s="2" t="str">
        <f>IF(A575="","",MIN(0,MAX(0,C575+E575-'Loan Inputs'!$B$17)))</f>
        <v/>
      </c>
    </row>
    <row r="576" spans="1:8" ht="22" customHeight="1">
      <c r="A576" s="1" t="str">
        <f>IF(AND('Loan Inputs'!$B$12,570&lt;=IF('Loan Inputs'!$B$12,'Loan Inputs'!$B$7,0)*'Loan Inputs'!$B$14+0,ISNUMBER(G575),G575&gt;0),570,"")</f>
        <v/>
      </c>
      <c r="B576" s="4" t="str">
        <f>IF(A576="","",IF('Loan Inputs'!$B$14=12,DATE(YEAR('Loan Inputs'!$B$8),MONTH('Loan Inputs'!$B$8)+A576,DAY('Loan Inputs'!$B$8)),'Loan Inputs'!$B$8+A576*IF('Loan Inputs'!$B$14=26,14,7)))</f>
        <v/>
      </c>
      <c r="C576" s="2" t="str">
        <f t="shared" si="26"/>
        <v/>
      </c>
      <c r="D576" s="2" t="str">
        <f>IF(A576="","",MIN('Loan Inputs'!$B$17,C576+E576)+H576)</f>
        <v/>
      </c>
      <c r="E576" s="2" t="str">
        <f>IF(A576="","",C576*'Loan Inputs'!$B$15)</f>
        <v/>
      </c>
      <c r="F576" s="2" t="str">
        <f t="shared" si="24"/>
        <v/>
      </c>
      <c r="G576" s="2" t="str">
        <f t="shared" si="25"/>
        <v/>
      </c>
      <c r="H576" s="2" t="str">
        <f>IF(A576="","",MIN(0,MAX(0,C576+E576-'Loan Inputs'!$B$17)))</f>
        <v/>
      </c>
    </row>
    <row r="577" spans="1:8" ht="22" customHeight="1">
      <c r="A577" s="1" t="str">
        <f>IF(AND('Loan Inputs'!$B$12,571&lt;=IF('Loan Inputs'!$B$12,'Loan Inputs'!$B$7,0)*'Loan Inputs'!$B$14+0,ISNUMBER(G576),G576&gt;0),571,"")</f>
        <v/>
      </c>
      <c r="B577" s="4" t="str">
        <f>IF(A577="","",IF('Loan Inputs'!$B$14=12,DATE(YEAR('Loan Inputs'!$B$8),MONTH('Loan Inputs'!$B$8)+A577,DAY('Loan Inputs'!$B$8)),'Loan Inputs'!$B$8+A577*IF('Loan Inputs'!$B$14=26,14,7)))</f>
        <v/>
      </c>
      <c r="C577" s="2" t="str">
        <f t="shared" si="26"/>
        <v/>
      </c>
      <c r="D577" s="2" t="str">
        <f>IF(A577="","",MIN('Loan Inputs'!$B$17,C577+E577)+H577)</f>
        <v/>
      </c>
      <c r="E577" s="2" t="str">
        <f>IF(A577="","",C577*'Loan Inputs'!$B$15)</f>
        <v/>
      </c>
      <c r="F577" s="2" t="str">
        <f t="shared" si="24"/>
        <v/>
      </c>
      <c r="G577" s="2" t="str">
        <f t="shared" si="25"/>
        <v/>
      </c>
      <c r="H577" s="2" t="str">
        <f>IF(A577="","",MIN(0,MAX(0,C577+E577-'Loan Inputs'!$B$17)))</f>
        <v/>
      </c>
    </row>
    <row r="578" spans="1:8" ht="22" customHeight="1">
      <c r="A578" s="1" t="str">
        <f>IF(AND('Loan Inputs'!$B$12,572&lt;=IF('Loan Inputs'!$B$12,'Loan Inputs'!$B$7,0)*'Loan Inputs'!$B$14+0,ISNUMBER(G577),G577&gt;0),572,"")</f>
        <v/>
      </c>
      <c r="B578" s="4" t="str">
        <f>IF(A578="","",IF('Loan Inputs'!$B$14=12,DATE(YEAR('Loan Inputs'!$B$8),MONTH('Loan Inputs'!$B$8)+A578,DAY('Loan Inputs'!$B$8)),'Loan Inputs'!$B$8+A578*IF('Loan Inputs'!$B$14=26,14,7)))</f>
        <v/>
      </c>
      <c r="C578" s="2" t="str">
        <f t="shared" si="26"/>
        <v/>
      </c>
      <c r="D578" s="2" t="str">
        <f>IF(A578="","",MIN('Loan Inputs'!$B$17,C578+E578)+H578)</f>
        <v/>
      </c>
      <c r="E578" s="2" t="str">
        <f>IF(A578="","",C578*'Loan Inputs'!$B$15)</f>
        <v/>
      </c>
      <c r="F578" s="2" t="str">
        <f t="shared" si="24"/>
        <v/>
      </c>
      <c r="G578" s="2" t="str">
        <f t="shared" si="25"/>
        <v/>
      </c>
      <c r="H578" s="2" t="str">
        <f>IF(A578="","",MIN(0,MAX(0,C578+E578-'Loan Inputs'!$B$17)))</f>
        <v/>
      </c>
    </row>
    <row r="579" spans="1:8" ht="22" customHeight="1">
      <c r="A579" s="1" t="str">
        <f>IF(AND('Loan Inputs'!$B$12,573&lt;=IF('Loan Inputs'!$B$12,'Loan Inputs'!$B$7,0)*'Loan Inputs'!$B$14+0,ISNUMBER(G578),G578&gt;0),573,"")</f>
        <v/>
      </c>
      <c r="B579" s="4" t="str">
        <f>IF(A579="","",IF('Loan Inputs'!$B$14=12,DATE(YEAR('Loan Inputs'!$B$8),MONTH('Loan Inputs'!$B$8)+A579,DAY('Loan Inputs'!$B$8)),'Loan Inputs'!$B$8+A579*IF('Loan Inputs'!$B$14=26,14,7)))</f>
        <v/>
      </c>
      <c r="C579" s="2" t="str">
        <f t="shared" si="26"/>
        <v/>
      </c>
      <c r="D579" s="2" t="str">
        <f>IF(A579="","",MIN('Loan Inputs'!$B$17,C579+E579)+H579)</f>
        <v/>
      </c>
      <c r="E579" s="2" t="str">
        <f>IF(A579="","",C579*'Loan Inputs'!$B$15)</f>
        <v/>
      </c>
      <c r="F579" s="2" t="str">
        <f t="shared" si="24"/>
        <v/>
      </c>
      <c r="G579" s="2" t="str">
        <f t="shared" si="25"/>
        <v/>
      </c>
      <c r="H579" s="2" t="str">
        <f>IF(A579="","",MIN(0,MAX(0,C579+E579-'Loan Inputs'!$B$17)))</f>
        <v/>
      </c>
    </row>
    <row r="580" spans="1:8" ht="22" customHeight="1">
      <c r="A580" s="1" t="str">
        <f>IF(AND('Loan Inputs'!$B$12,574&lt;=IF('Loan Inputs'!$B$12,'Loan Inputs'!$B$7,0)*'Loan Inputs'!$B$14+0,ISNUMBER(G579),G579&gt;0),574,"")</f>
        <v/>
      </c>
      <c r="B580" s="4" t="str">
        <f>IF(A580="","",IF('Loan Inputs'!$B$14=12,DATE(YEAR('Loan Inputs'!$B$8),MONTH('Loan Inputs'!$B$8)+A580,DAY('Loan Inputs'!$B$8)),'Loan Inputs'!$B$8+A580*IF('Loan Inputs'!$B$14=26,14,7)))</f>
        <v/>
      </c>
      <c r="C580" s="2" t="str">
        <f t="shared" si="26"/>
        <v/>
      </c>
      <c r="D580" s="2" t="str">
        <f>IF(A580="","",MIN('Loan Inputs'!$B$17,C580+E580)+H580)</f>
        <v/>
      </c>
      <c r="E580" s="2" t="str">
        <f>IF(A580="","",C580*'Loan Inputs'!$B$15)</f>
        <v/>
      </c>
      <c r="F580" s="2" t="str">
        <f t="shared" si="24"/>
        <v/>
      </c>
      <c r="G580" s="2" t="str">
        <f t="shared" si="25"/>
        <v/>
      </c>
      <c r="H580" s="2" t="str">
        <f>IF(A580="","",MIN(0,MAX(0,C580+E580-'Loan Inputs'!$B$17)))</f>
        <v/>
      </c>
    </row>
    <row r="581" spans="1:8" ht="22" customHeight="1">
      <c r="A581" s="1" t="str">
        <f>IF(AND('Loan Inputs'!$B$12,575&lt;=IF('Loan Inputs'!$B$12,'Loan Inputs'!$B$7,0)*'Loan Inputs'!$B$14+0,ISNUMBER(G580),G580&gt;0),575,"")</f>
        <v/>
      </c>
      <c r="B581" s="4" t="str">
        <f>IF(A581="","",IF('Loan Inputs'!$B$14=12,DATE(YEAR('Loan Inputs'!$B$8),MONTH('Loan Inputs'!$B$8)+A581,DAY('Loan Inputs'!$B$8)),'Loan Inputs'!$B$8+A581*IF('Loan Inputs'!$B$14=26,14,7)))</f>
        <v/>
      </c>
      <c r="C581" s="2" t="str">
        <f t="shared" si="26"/>
        <v/>
      </c>
      <c r="D581" s="2" t="str">
        <f>IF(A581="","",MIN('Loan Inputs'!$B$17,C581+E581)+H581)</f>
        <v/>
      </c>
      <c r="E581" s="2" t="str">
        <f>IF(A581="","",C581*'Loan Inputs'!$B$15)</f>
        <v/>
      </c>
      <c r="F581" s="2" t="str">
        <f t="shared" si="24"/>
        <v/>
      </c>
      <c r="G581" s="2" t="str">
        <f t="shared" si="25"/>
        <v/>
      </c>
      <c r="H581" s="2" t="str">
        <f>IF(A581="","",MIN(0,MAX(0,C581+E581-'Loan Inputs'!$B$17)))</f>
        <v/>
      </c>
    </row>
    <row r="582" spans="1:8" ht="22" customHeight="1">
      <c r="A582" s="1" t="str">
        <f>IF(AND('Loan Inputs'!$B$12,576&lt;=IF('Loan Inputs'!$B$12,'Loan Inputs'!$B$7,0)*'Loan Inputs'!$B$14+0,ISNUMBER(G581),G581&gt;0),576,"")</f>
        <v/>
      </c>
      <c r="B582" s="4" t="str">
        <f>IF(A582="","",IF('Loan Inputs'!$B$14=12,DATE(YEAR('Loan Inputs'!$B$8),MONTH('Loan Inputs'!$B$8)+A582,DAY('Loan Inputs'!$B$8)),'Loan Inputs'!$B$8+A582*IF('Loan Inputs'!$B$14=26,14,7)))</f>
        <v/>
      </c>
      <c r="C582" s="2" t="str">
        <f t="shared" si="26"/>
        <v/>
      </c>
      <c r="D582" s="2" t="str">
        <f>IF(A582="","",MIN('Loan Inputs'!$B$17,C582+E582)+H582)</f>
        <v/>
      </c>
      <c r="E582" s="2" t="str">
        <f>IF(A582="","",C582*'Loan Inputs'!$B$15)</f>
        <v/>
      </c>
      <c r="F582" s="2" t="str">
        <f t="shared" si="24"/>
        <v/>
      </c>
      <c r="G582" s="2" t="str">
        <f t="shared" si="25"/>
        <v/>
      </c>
      <c r="H582" s="2" t="str">
        <f>IF(A582="","",MIN(0,MAX(0,C582+E582-'Loan Inputs'!$B$17)))</f>
        <v/>
      </c>
    </row>
    <row r="583" spans="1:8" ht="22" customHeight="1">
      <c r="A583" s="1" t="str">
        <f>IF(AND('Loan Inputs'!$B$12,577&lt;=IF('Loan Inputs'!$B$12,'Loan Inputs'!$B$7,0)*'Loan Inputs'!$B$14+0,ISNUMBER(G582),G582&gt;0),577,"")</f>
        <v/>
      </c>
      <c r="B583" s="4" t="str">
        <f>IF(A583="","",IF('Loan Inputs'!$B$14=12,DATE(YEAR('Loan Inputs'!$B$8),MONTH('Loan Inputs'!$B$8)+A583,DAY('Loan Inputs'!$B$8)),'Loan Inputs'!$B$8+A583*IF('Loan Inputs'!$B$14=26,14,7)))</f>
        <v/>
      </c>
      <c r="C583" s="2" t="str">
        <f t="shared" si="26"/>
        <v/>
      </c>
      <c r="D583" s="2" t="str">
        <f>IF(A583="","",MIN('Loan Inputs'!$B$17,C583+E583)+H583)</f>
        <v/>
      </c>
      <c r="E583" s="2" t="str">
        <f>IF(A583="","",C583*'Loan Inputs'!$B$15)</f>
        <v/>
      </c>
      <c r="F583" s="2" t="str">
        <f t="shared" ref="F583:F646" si="27">IF(A583="","",MIN(C583,D583-E583))</f>
        <v/>
      </c>
      <c r="G583" s="2" t="str">
        <f t="shared" ref="G583:G646" si="28">IF(A583="","",IF(C583-F583&lt;0.01,0,MAX(0,C583-F583)))</f>
        <v/>
      </c>
      <c r="H583" s="2" t="str">
        <f>IF(A583="","",MIN(0,MAX(0,C583+E583-'Loan Inputs'!$B$17)))</f>
        <v/>
      </c>
    </row>
    <row r="584" spans="1:8" ht="22" customHeight="1">
      <c r="A584" s="1" t="str">
        <f>IF(AND('Loan Inputs'!$B$12,578&lt;=IF('Loan Inputs'!$B$12,'Loan Inputs'!$B$7,0)*'Loan Inputs'!$B$14+0,ISNUMBER(G583),G583&gt;0),578,"")</f>
        <v/>
      </c>
      <c r="B584" s="4" t="str">
        <f>IF(A584="","",IF('Loan Inputs'!$B$14=12,DATE(YEAR('Loan Inputs'!$B$8),MONTH('Loan Inputs'!$B$8)+A584,DAY('Loan Inputs'!$B$8)),'Loan Inputs'!$B$8+A584*IF('Loan Inputs'!$B$14=26,14,7)))</f>
        <v/>
      </c>
      <c r="C584" s="2" t="str">
        <f t="shared" ref="C584:C647" si="29">IF(A584="","",G583)</f>
        <v/>
      </c>
      <c r="D584" s="2" t="str">
        <f>IF(A584="","",MIN('Loan Inputs'!$B$17,C584+E584)+H584)</f>
        <v/>
      </c>
      <c r="E584" s="2" t="str">
        <f>IF(A584="","",C584*'Loan Inputs'!$B$15)</f>
        <v/>
      </c>
      <c r="F584" s="2" t="str">
        <f t="shared" si="27"/>
        <v/>
      </c>
      <c r="G584" s="2" t="str">
        <f t="shared" si="28"/>
        <v/>
      </c>
      <c r="H584" s="2" t="str">
        <f>IF(A584="","",MIN(0,MAX(0,C584+E584-'Loan Inputs'!$B$17)))</f>
        <v/>
      </c>
    </row>
    <row r="585" spans="1:8" ht="22" customHeight="1">
      <c r="A585" s="1" t="str">
        <f>IF(AND('Loan Inputs'!$B$12,579&lt;=IF('Loan Inputs'!$B$12,'Loan Inputs'!$B$7,0)*'Loan Inputs'!$B$14+0,ISNUMBER(G584),G584&gt;0),579,"")</f>
        <v/>
      </c>
      <c r="B585" s="4" t="str">
        <f>IF(A585="","",IF('Loan Inputs'!$B$14=12,DATE(YEAR('Loan Inputs'!$B$8),MONTH('Loan Inputs'!$B$8)+A585,DAY('Loan Inputs'!$B$8)),'Loan Inputs'!$B$8+A585*IF('Loan Inputs'!$B$14=26,14,7)))</f>
        <v/>
      </c>
      <c r="C585" s="2" t="str">
        <f t="shared" si="29"/>
        <v/>
      </c>
      <c r="D585" s="2" t="str">
        <f>IF(A585="","",MIN('Loan Inputs'!$B$17,C585+E585)+H585)</f>
        <v/>
      </c>
      <c r="E585" s="2" t="str">
        <f>IF(A585="","",C585*'Loan Inputs'!$B$15)</f>
        <v/>
      </c>
      <c r="F585" s="2" t="str">
        <f t="shared" si="27"/>
        <v/>
      </c>
      <c r="G585" s="2" t="str">
        <f t="shared" si="28"/>
        <v/>
      </c>
      <c r="H585" s="2" t="str">
        <f>IF(A585="","",MIN(0,MAX(0,C585+E585-'Loan Inputs'!$B$17)))</f>
        <v/>
      </c>
    </row>
    <row r="586" spans="1:8" ht="22" customHeight="1">
      <c r="A586" s="1" t="str">
        <f>IF(AND('Loan Inputs'!$B$12,580&lt;=IF('Loan Inputs'!$B$12,'Loan Inputs'!$B$7,0)*'Loan Inputs'!$B$14+0,ISNUMBER(G585),G585&gt;0),580,"")</f>
        <v/>
      </c>
      <c r="B586" s="4" t="str">
        <f>IF(A586="","",IF('Loan Inputs'!$B$14=12,DATE(YEAR('Loan Inputs'!$B$8),MONTH('Loan Inputs'!$B$8)+A586,DAY('Loan Inputs'!$B$8)),'Loan Inputs'!$B$8+A586*IF('Loan Inputs'!$B$14=26,14,7)))</f>
        <v/>
      </c>
      <c r="C586" s="2" t="str">
        <f t="shared" si="29"/>
        <v/>
      </c>
      <c r="D586" s="2" t="str">
        <f>IF(A586="","",MIN('Loan Inputs'!$B$17,C586+E586)+H586)</f>
        <v/>
      </c>
      <c r="E586" s="2" t="str">
        <f>IF(A586="","",C586*'Loan Inputs'!$B$15)</f>
        <v/>
      </c>
      <c r="F586" s="2" t="str">
        <f t="shared" si="27"/>
        <v/>
      </c>
      <c r="G586" s="2" t="str">
        <f t="shared" si="28"/>
        <v/>
      </c>
      <c r="H586" s="2" t="str">
        <f>IF(A586="","",MIN(0,MAX(0,C586+E586-'Loan Inputs'!$B$17)))</f>
        <v/>
      </c>
    </row>
    <row r="587" spans="1:8" ht="22" customHeight="1">
      <c r="A587" s="1" t="str">
        <f>IF(AND('Loan Inputs'!$B$12,581&lt;=IF('Loan Inputs'!$B$12,'Loan Inputs'!$B$7,0)*'Loan Inputs'!$B$14+0,ISNUMBER(G586),G586&gt;0),581,"")</f>
        <v/>
      </c>
      <c r="B587" s="4" t="str">
        <f>IF(A587="","",IF('Loan Inputs'!$B$14=12,DATE(YEAR('Loan Inputs'!$B$8),MONTH('Loan Inputs'!$B$8)+A587,DAY('Loan Inputs'!$B$8)),'Loan Inputs'!$B$8+A587*IF('Loan Inputs'!$B$14=26,14,7)))</f>
        <v/>
      </c>
      <c r="C587" s="2" t="str">
        <f t="shared" si="29"/>
        <v/>
      </c>
      <c r="D587" s="2" t="str">
        <f>IF(A587="","",MIN('Loan Inputs'!$B$17,C587+E587)+H587)</f>
        <v/>
      </c>
      <c r="E587" s="2" t="str">
        <f>IF(A587="","",C587*'Loan Inputs'!$B$15)</f>
        <v/>
      </c>
      <c r="F587" s="2" t="str">
        <f t="shared" si="27"/>
        <v/>
      </c>
      <c r="G587" s="2" t="str">
        <f t="shared" si="28"/>
        <v/>
      </c>
      <c r="H587" s="2" t="str">
        <f>IF(A587="","",MIN(0,MAX(0,C587+E587-'Loan Inputs'!$B$17)))</f>
        <v/>
      </c>
    </row>
    <row r="588" spans="1:8" ht="22" customHeight="1">
      <c r="A588" s="1" t="str">
        <f>IF(AND('Loan Inputs'!$B$12,582&lt;=IF('Loan Inputs'!$B$12,'Loan Inputs'!$B$7,0)*'Loan Inputs'!$B$14+0,ISNUMBER(G587),G587&gt;0),582,"")</f>
        <v/>
      </c>
      <c r="B588" s="4" t="str">
        <f>IF(A588="","",IF('Loan Inputs'!$B$14=12,DATE(YEAR('Loan Inputs'!$B$8),MONTH('Loan Inputs'!$B$8)+A588,DAY('Loan Inputs'!$B$8)),'Loan Inputs'!$B$8+A588*IF('Loan Inputs'!$B$14=26,14,7)))</f>
        <v/>
      </c>
      <c r="C588" s="2" t="str">
        <f t="shared" si="29"/>
        <v/>
      </c>
      <c r="D588" s="2" t="str">
        <f>IF(A588="","",MIN('Loan Inputs'!$B$17,C588+E588)+H588)</f>
        <v/>
      </c>
      <c r="E588" s="2" t="str">
        <f>IF(A588="","",C588*'Loan Inputs'!$B$15)</f>
        <v/>
      </c>
      <c r="F588" s="2" t="str">
        <f t="shared" si="27"/>
        <v/>
      </c>
      <c r="G588" s="2" t="str">
        <f t="shared" si="28"/>
        <v/>
      </c>
      <c r="H588" s="2" t="str">
        <f>IF(A588="","",MIN(0,MAX(0,C588+E588-'Loan Inputs'!$B$17)))</f>
        <v/>
      </c>
    </row>
    <row r="589" spans="1:8" ht="22" customHeight="1">
      <c r="A589" s="1" t="str">
        <f>IF(AND('Loan Inputs'!$B$12,583&lt;=IF('Loan Inputs'!$B$12,'Loan Inputs'!$B$7,0)*'Loan Inputs'!$B$14+0,ISNUMBER(G588),G588&gt;0),583,"")</f>
        <v/>
      </c>
      <c r="B589" s="4" t="str">
        <f>IF(A589="","",IF('Loan Inputs'!$B$14=12,DATE(YEAR('Loan Inputs'!$B$8),MONTH('Loan Inputs'!$B$8)+A589,DAY('Loan Inputs'!$B$8)),'Loan Inputs'!$B$8+A589*IF('Loan Inputs'!$B$14=26,14,7)))</f>
        <v/>
      </c>
      <c r="C589" s="2" t="str">
        <f t="shared" si="29"/>
        <v/>
      </c>
      <c r="D589" s="2" t="str">
        <f>IF(A589="","",MIN('Loan Inputs'!$B$17,C589+E589)+H589)</f>
        <v/>
      </c>
      <c r="E589" s="2" t="str">
        <f>IF(A589="","",C589*'Loan Inputs'!$B$15)</f>
        <v/>
      </c>
      <c r="F589" s="2" t="str">
        <f t="shared" si="27"/>
        <v/>
      </c>
      <c r="G589" s="2" t="str">
        <f t="shared" si="28"/>
        <v/>
      </c>
      <c r="H589" s="2" t="str">
        <f>IF(A589="","",MIN(0,MAX(0,C589+E589-'Loan Inputs'!$B$17)))</f>
        <v/>
      </c>
    </row>
    <row r="590" spans="1:8" ht="22" customHeight="1">
      <c r="A590" s="1" t="str">
        <f>IF(AND('Loan Inputs'!$B$12,584&lt;=IF('Loan Inputs'!$B$12,'Loan Inputs'!$B$7,0)*'Loan Inputs'!$B$14+0,ISNUMBER(G589),G589&gt;0),584,"")</f>
        <v/>
      </c>
      <c r="B590" s="4" t="str">
        <f>IF(A590="","",IF('Loan Inputs'!$B$14=12,DATE(YEAR('Loan Inputs'!$B$8),MONTH('Loan Inputs'!$B$8)+A590,DAY('Loan Inputs'!$B$8)),'Loan Inputs'!$B$8+A590*IF('Loan Inputs'!$B$14=26,14,7)))</f>
        <v/>
      </c>
      <c r="C590" s="2" t="str">
        <f t="shared" si="29"/>
        <v/>
      </c>
      <c r="D590" s="2" t="str">
        <f>IF(A590="","",MIN('Loan Inputs'!$B$17,C590+E590)+H590)</f>
        <v/>
      </c>
      <c r="E590" s="2" t="str">
        <f>IF(A590="","",C590*'Loan Inputs'!$B$15)</f>
        <v/>
      </c>
      <c r="F590" s="2" t="str">
        <f t="shared" si="27"/>
        <v/>
      </c>
      <c r="G590" s="2" t="str">
        <f t="shared" si="28"/>
        <v/>
      </c>
      <c r="H590" s="2" t="str">
        <f>IF(A590="","",MIN(0,MAX(0,C590+E590-'Loan Inputs'!$B$17)))</f>
        <v/>
      </c>
    </row>
    <row r="591" spans="1:8" ht="22" customHeight="1">
      <c r="A591" s="1" t="str">
        <f>IF(AND('Loan Inputs'!$B$12,585&lt;=IF('Loan Inputs'!$B$12,'Loan Inputs'!$B$7,0)*'Loan Inputs'!$B$14+0,ISNUMBER(G590),G590&gt;0),585,"")</f>
        <v/>
      </c>
      <c r="B591" s="4" t="str">
        <f>IF(A591="","",IF('Loan Inputs'!$B$14=12,DATE(YEAR('Loan Inputs'!$B$8),MONTH('Loan Inputs'!$B$8)+A591,DAY('Loan Inputs'!$B$8)),'Loan Inputs'!$B$8+A591*IF('Loan Inputs'!$B$14=26,14,7)))</f>
        <v/>
      </c>
      <c r="C591" s="2" t="str">
        <f t="shared" si="29"/>
        <v/>
      </c>
      <c r="D591" s="2" t="str">
        <f>IF(A591="","",MIN('Loan Inputs'!$B$17,C591+E591)+H591)</f>
        <v/>
      </c>
      <c r="E591" s="2" t="str">
        <f>IF(A591="","",C591*'Loan Inputs'!$B$15)</f>
        <v/>
      </c>
      <c r="F591" s="2" t="str">
        <f t="shared" si="27"/>
        <v/>
      </c>
      <c r="G591" s="2" t="str">
        <f t="shared" si="28"/>
        <v/>
      </c>
      <c r="H591" s="2" t="str">
        <f>IF(A591="","",MIN(0,MAX(0,C591+E591-'Loan Inputs'!$B$17)))</f>
        <v/>
      </c>
    </row>
    <row r="592" spans="1:8" ht="22" customHeight="1">
      <c r="A592" s="1" t="str">
        <f>IF(AND('Loan Inputs'!$B$12,586&lt;=IF('Loan Inputs'!$B$12,'Loan Inputs'!$B$7,0)*'Loan Inputs'!$B$14+0,ISNUMBER(G591),G591&gt;0),586,"")</f>
        <v/>
      </c>
      <c r="B592" s="4" t="str">
        <f>IF(A592="","",IF('Loan Inputs'!$B$14=12,DATE(YEAR('Loan Inputs'!$B$8),MONTH('Loan Inputs'!$B$8)+A592,DAY('Loan Inputs'!$B$8)),'Loan Inputs'!$B$8+A592*IF('Loan Inputs'!$B$14=26,14,7)))</f>
        <v/>
      </c>
      <c r="C592" s="2" t="str">
        <f t="shared" si="29"/>
        <v/>
      </c>
      <c r="D592" s="2" t="str">
        <f>IF(A592="","",MIN('Loan Inputs'!$B$17,C592+E592)+H592)</f>
        <v/>
      </c>
      <c r="E592" s="2" t="str">
        <f>IF(A592="","",C592*'Loan Inputs'!$B$15)</f>
        <v/>
      </c>
      <c r="F592" s="2" t="str">
        <f t="shared" si="27"/>
        <v/>
      </c>
      <c r="G592" s="2" t="str">
        <f t="shared" si="28"/>
        <v/>
      </c>
      <c r="H592" s="2" t="str">
        <f>IF(A592="","",MIN(0,MAX(0,C592+E592-'Loan Inputs'!$B$17)))</f>
        <v/>
      </c>
    </row>
    <row r="593" spans="1:8" ht="22" customHeight="1">
      <c r="A593" s="1" t="str">
        <f>IF(AND('Loan Inputs'!$B$12,587&lt;=IF('Loan Inputs'!$B$12,'Loan Inputs'!$B$7,0)*'Loan Inputs'!$B$14+0,ISNUMBER(G592),G592&gt;0),587,"")</f>
        <v/>
      </c>
      <c r="B593" s="4" t="str">
        <f>IF(A593="","",IF('Loan Inputs'!$B$14=12,DATE(YEAR('Loan Inputs'!$B$8),MONTH('Loan Inputs'!$B$8)+A593,DAY('Loan Inputs'!$B$8)),'Loan Inputs'!$B$8+A593*IF('Loan Inputs'!$B$14=26,14,7)))</f>
        <v/>
      </c>
      <c r="C593" s="2" t="str">
        <f t="shared" si="29"/>
        <v/>
      </c>
      <c r="D593" s="2" t="str">
        <f>IF(A593="","",MIN('Loan Inputs'!$B$17,C593+E593)+H593)</f>
        <v/>
      </c>
      <c r="E593" s="2" t="str">
        <f>IF(A593="","",C593*'Loan Inputs'!$B$15)</f>
        <v/>
      </c>
      <c r="F593" s="2" t="str">
        <f t="shared" si="27"/>
        <v/>
      </c>
      <c r="G593" s="2" t="str">
        <f t="shared" si="28"/>
        <v/>
      </c>
      <c r="H593" s="2" t="str">
        <f>IF(A593="","",MIN(0,MAX(0,C593+E593-'Loan Inputs'!$B$17)))</f>
        <v/>
      </c>
    </row>
    <row r="594" spans="1:8" ht="22" customHeight="1">
      <c r="A594" s="1" t="str">
        <f>IF(AND('Loan Inputs'!$B$12,588&lt;=IF('Loan Inputs'!$B$12,'Loan Inputs'!$B$7,0)*'Loan Inputs'!$B$14+0,ISNUMBER(G593),G593&gt;0),588,"")</f>
        <v/>
      </c>
      <c r="B594" s="4" t="str">
        <f>IF(A594="","",IF('Loan Inputs'!$B$14=12,DATE(YEAR('Loan Inputs'!$B$8),MONTH('Loan Inputs'!$B$8)+A594,DAY('Loan Inputs'!$B$8)),'Loan Inputs'!$B$8+A594*IF('Loan Inputs'!$B$14=26,14,7)))</f>
        <v/>
      </c>
      <c r="C594" s="2" t="str">
        <f t="shared" si="29"/>
        <v/>
      </c>
      <c r="D594" s="2" t="str">
        <f>IF(A594="","",MIN('Loan Inputs'!$B$17,C594+E594)+H594)</f>
        <v/>
      </c>
      <c r="E594" s="2" t="str">
        <f>IF(A594="","",C594*'Loan Inputs'!$B$15)</f>
        <v/>
      </c>
      <c r="F594" s="2" t="str">
        <f t="shared" si="27"/>
        <v/>
      </c>
      <c r="G594" s="2" t="str">
        <f t="shared" si="28"/>
        <v/>
      </c>
      <c r="H594" s="2" t="str">
        <f>IF(A594="","",MIN(0,MAX(0,C594+E594-'Loan Inputs'!$B$17)))</f>
        <v/>
      </c>
    </row>
    <row r="595" spans="1:8" ht="22" customHeight="1">
      <c r="A595" s="1" t="str">
        <f>IF(AND('Loan Inputs'!$B$12,589&lt;=IF('Loan Inputs'!$B$12,'Loan Inputs'!$B$7,0)*'Loan Inputs'!$B$14+0,ISNUMBER(G594),G594&gt;0),589,"")</f>
        <v/>
      </c>
      <c r="B595" s="4" t="str">
        <f>IF(A595="","",IF('Loan Inputs'!$B$14=12,DATE(YEAR('Loan Inputs'!$B$8),MONTH('Loan Inputs'!$B$8)+A595,DAY('Loan Inputs'!$B$8)),'Loan Inputs'!$B$8+A595*IF('Loan Inputs'!$B$14=26,14,7)))</f>
        <v/>
      </c>
      <c r="C595" s="2" t="str">
        <f t="shared" si="29"/>
        <v/>
      </c>
      <c r="D595" s="2" t="str">
        <f>IF(A595="","",MIN('Loan Inputs'!$B$17,C595+E595)+H595)</f>
        <v/>
      </c>
      <c r="E595" s="2" t="str">
        <f>IF(A595="","",C595*'Loan Inputs'!$B$15)</f>
        <v/>
      </c>
      <c r="F595" s="2" t="str">
        <f t="shared" si="27"/>
        <v/>
      </c>
      <c r="G595" s="2" t="str">
        <f t="shared" si="28"/>
        <v/>
      </c>
      <c r="H595" s="2" t="str">
        <f>IF(A595="","",MIN(0,MAX(0,C595+E595-'Loan Inputs'!$B$17)))</f>
        <v/>
      </c>
    </row>
    <row r="596" spans="1:8" ht="22" customHeight="1">
      <c r="A596" s="1" t="str">
        <f>IF(AND('Loan Inputs'!$B$12,590&lt;=IF('Loan Inputs'!$B$12,'Loan Inputs'!$B$7,0)*'Loan Inputs'!$B$14+0,ISNUMBER(G595),G595&gt;0),590,"")</f>
        <v/>
      </c>
      <c r="B596" s="4" t="str">
        <f>IF(A596="","",IF('Loan Inputs'!$B$14=12,DATE(YEAR('Loan Inputs'!$B$8),MONTH('Loan Inputs'!$B$8)+A596,DAY('Loan Inputs'!$B$8)),'Loan Inputs'!$B$8+A596*IF('Loan Inputs'!$B$14=26,14,7)))</f>
        <v/>
      </c>
      <c r="C596" s="2" t="str">
        <f t="shared" si="29"/>
        <v/>
      </c>
      <c r="D596" s="2" t="str">
        <f>IF(A596="","",MIN('Loan Inputs'!$B$17,C596+E596)+H596)</f>
        <v/>
      </c>
      <c r="E596" s="2" t="str">
        <f>IF(A596="","",C596*'Loan Inputs'!$B$15)</f>
        <v/>
      </c>
      <c r="F596" s="2" t="str">
        <f t="shared" si="27"/>
        <v/>
      </c>
      <c r="G596" s="2" t="str">
        <f t="shared" si="28"/>
        <v/>
      </c>
      <c r="H596" s="2" t="str">
        <f>IF(A596="","",MIN(0,MAX(0,C596+E596-'Loan Inputs'!$B$17)))</f>
        <v/>
      </c>
    </row>
    <row r="597" spans="1:8" ht="22" customHeight="1">
      <c r="A597" s="1" t="str">
        <f>IF(AND('Loan Inputs'!$B$12,591&lt;=IF('Loan Inputs'!$B$12,'Loan Inputs'!$B$7,0)*'Loan Inputs'!$B$14+0,ISNUMBER(G596),G596&gt;0),591,"")</f>
        <v/>
      </c>
      <c r="B597" s="4" t="str">
        <f>IF(A597="","",IF('Loan Inputs'!$B$14=12,DATE(YEAR('Loan Inputs'!$B$8),MONTH('Loan Inputs'!$B$8)+A597,DAY('Loan Inputs'!$B$8)),'Loan Inputs'!$B$8+A597*IF('Loan Inputs'!$B$14=26,14,7)))</f>
        <v/>
      </c>
      <c r="C597" s="2" t="str">
        <f t="shared" si="29"/>
        <v/>
      </c>
      <c r="D597" s="2" t="str">
        <f>IF(A597="","",MIN('Loan Inputs'!$B$17,C597+E597)+H597)</f>
        <v/>
      </c>
      <c r="E597" s="2" t="str">
        <f>IF(A597="","",C597*'Loan Inputs'!$B$15)</f>
        <v/>
      </c>
      <c r="F597" s="2" t="str">
        <f t="shared" si="27"/>
        <v/>
      </c>
      <c r="G597" s="2" t="str">
        <f t="shared" si="28"/>
        <v/>
      </c>
      <c r="H597" s="2" t="str">
        <f>IF(A597="","",MIN(0,MAX(0,C597+E597-'Loan Inputs'!$B$17)))</f>
        <v/>
      </c>
    </row>
    <row r="598" spans="1:8" ht="22" customHeight="1">
      <c r="A598" s="1" t="str">
        <f>IF(AND('Loan Inputs'!$B$12,592&lt;=IF('Loan Inputs'!$B$12,'Loan Inputs'!$B$7,0)*'Loan Inputs'!$B$14+0,ISNUMBER(G597),G597&gt;0),592,"")</f>
        <v/>
      </c>
      <c r="B598" s="4" t="str">
        <f>IF(A598="","",IF('Loan Inputs'!$B$14=12,DATE(YEAR('Loan Inputs'!$B$8),MONTH('Loan Inputs'!$B$8)+A598,DAY('Loan Inputs'!$B$8)),'Loan Inputs'!$B$8+A598*IF('Loan Inputs'!$B$14=26,14,7)))</f>
        <v/>
      </c>
      <c r="C598" s="2" t="str">
        <f t="shared" si="29"/>
        <v/>
      </c>
      <c r="D598" s="2" t="str">
        <f>IF(A598="","",MIN('Loan Inputs'!$B$17,C598+E598)+H598)</f>
        <v/>
      </c>
      <c r="E598" s="2" t="str">
        <f>IF(A598="","",C598*'Loan Inputs'!$B$15)</f>
        <v/>
      </c>
      <c r="F598" s="2" t="str">
        <f t="shared" si="27"/>
        <v/>
      </c>
      <c r="G598" s="2" t="str">
        <f t="shared" si="28"/>
        <v/>
      </c>
      <c r="H598" s="2" t="str">
        <f>IF(A598="","",MIN(0,MAX(0,C598+E598-'Loan Inputs'!$B$17)))</f>
        <v/>
      </c>
    </row>
    <row r="599" spans="1:8" ht="22" customHeight="1">
      <c r="A599" s="1" t="str">
        <f>IF(AND('Loan Inputs'!$B$12,593&lt;=IF('Loan Inputs'!$B$12,'Loan Inputs'!$B$7,0)*'Loan Inputs'!$B$14+0,ISNUMBER(G598),G598&gt;0),593,"")</f>
        <v/>
      </c>
      <c r="B599" s="4" t="str">
        <f>IF(A599="","",IF('Loan Inputs'!$B$14=12,DATE(YEAR('Loan Inputs'!$B$8),MONTH('Loan Inputs'!$B$8)+A599,DAY('Loan Inputs'!$B$8)),'Loan Inputs'!$B$8+A599*IF('Loan Inputs'!$B$14=26,14,7)))</f>
        <v/>
      </c>
      <c r="C599" s="2" t="str">
        <f t="shared" si="29"/>
        <v/>
      </c>
      <c r="D599" s="2" t="str">
        <f>IF(A599="","",MIN('Loan Inputs'!$B$17,C599+E599)+H599)</f>
        <v/>
      </c>
      <c r="E599" s="2" t="str">
        <f>IF(A599="","",C599*'Loan Inputs'!$B$15)</f>
        <v/>
      </c>
      <c r="F599" s="2" t="str">
        <f t="shared" si="27"/>
        <v/>
      </c>
      <c r="G599" s="2" t="str">
        <f t="shared" si="28"/>
        <v/>
      </c>
      <c r="H599" s="2" t="str">
        <f>IF(A599="","",MIN(0,MAX(0,C599+E599-'Loan Inputs'!$B$17)))</f>
        <v/>
      </c>
    </row>
    <row r="600" spans="1:8" ht="22" customHeight="1">
      <c r="A600" s="1" t="str">
        <f>IF(AND('Loan Inputs'!$B$12,594&lt;=IF('Loan Inputs'!$B$12,'Loan Inputs'!$B$7,0)*'Loan Inputs'!$B$14+0,ISNUMBER(G599),G599&gt;0),594,"")</f>
        <v/>
      </c>
      <c r="B600" s="4" t="str">
        <f>IF(A600="","",IF('Loan Inputs'!$B$14=12,DATE(YEAR('Loan Inputs'!$B$8),MONTH('Loan Inputs'!$B$8)+A600,DAY('Loan Inputs'!$B$8)),'Loan Inputs'!$B$8+A600*IF('Loan Inputs'!$B$14=26,14,7)))</f>
        <v/>
      </c>
      <c r="C600" s="2" t="str">
        <f t="shared" si="29"/>
        <v/>
      </c>
      <c r="D600" s="2" t="str">
        <f>IF(A600="","",MIN('Loan Inputs'!$B$17,C600+E600)+H600)</f>
        <v/>
      </c>
      <c r="E600" s="2" t="str">
        <f>IF(A600="","",C600*'Loan Inputs'!$B$15)</f>
        <v/>
      </c>
      <c r="F600" s="2" t="str">
        <f t="shared" si="27"/>
        <v/>
      </c>
      <c r="G600" s="2" t="str">
        <f t="shared" si="28"/>
        <v/>
      </c>
      <c r="H600" s="2" t="str">
        <f>IF(A600="","",MIN(0,MAX(0,C600+E600-'Loan Inputs'!$B$17)))</f>
        <v/>
      </c>
    </row>
    <row r="601" spans="1:8" ht="22" customHeight="1">
      <c r="A601" s="1" t="str">
        <f>IF(AND('Loan Inputs'!$B$12,595&lt;=IF('Loan Inputs'!$B$12,'Loan Inputs'!$B$7,0)*'Loan Inputs'!$B$14+0,ISNUMBER(G600),G600&gt;0),595,"")</f>
        <v/>
      </c>
      <c r="B601" s="4" t="str">
        <f>IF(A601="","",IF('Loan Inputs'!$B$14=12,DATE(YEAR('Loan Inputs'!$B$8),MONTH('Loan Inputs'!$B$8)+A601,DAY('Loan Inputs'!$B$8)),'Loan Inputs'!$B$8+A601*IF('Loan Inputs'!$B$14=26,14,7)))</f>
        <v/>
      </c>
      <c r="C601" s="2" t="str">
        <f t="shared" si="29"/>
        <v/>
      </c>
      <c r="D601" s="2" t="str">
        <f>IF(A601="","",MIN('Loan Inputs'!$B$17,C601+E601)+H601)</f>
        <v/>
      </c>
      <c r="E601" s="2" t="str">
        <f>IF(A601="","",C601*'Loan Inputs'!$B$15)</f>
        <v/>
      </c>
      <c r="F601" s="2" t="str">
        <f t="shared" si="27"/>
        <v/>
      </c>
      <c r="G601" s="2" t="str">
        <f t="shared" si="28"/>
        <v/>
      </c>
      <c r="H601" s="2" t="str">
        <f>IF(A601="","",MIN(0,MAX(0,C601+E601-'Loan Inputs'!$B$17)))</f>
        <v/>
      </c>
    </row>
    <row r="602" spans="1:8" ht="22" customHeight="1">
      <c r="A602" s="1" t="str">
        <f>IF(AND('Loan Inputs'!$B$12,596&lt;=IF('Loan Inputs'!$B$12,'Loan Inputs'!$B$7,0)*'Loan Inputs'!$B$14+0,ISNUMBER(G601),G601&gt;0),596,"")</f>
        <v/>
      </c>
      <c r="B602" s="4" t="str">
        <f>IF(A602="","",IF('Loan Inputs'!$B$14=12,DATE(YEAR('Loan Inputs'!$B$8),MONTH('Loan Inputs'!$B$8)+A602,DAY('Loan Inputs'!$B$8)),'Loan Inputs'!$B$8+A602*IF('Loan Inputs'!$B$14=26,14,7)))</f>
        <v/>
      </c>
      <c r="C602" s="2" t="str">
        <f t="shared" si="29"/>
        <v/>
      </c>
      <c r="D602" s="2" t="str">
        <f>IF(A602="","",MIN('Loan Inputs'!$B$17,C602+E602)+H602)</f>
        <v/>
      </c>
      <c r="E602" s="2" t="str">
        <f>IF(A602="","",C602*'Loan Inputs'!$B$15)</f>
        <v/>
      </c>
      <c r="F602" s="2" t="str">
        <f t="shared" si="27"/>
        <v/>
      </c>
      <c r="G602" s="2" t="str">
        <f t="shared" si="28"/>
        <v/>
      </c>
      <c r="H602" s="2" t="str">
        <f>IF(A602="","",MIN(0,MAX(0,C602+E602-'Loan Inputs'!$B$17)))</f>
        <v/>
      </c>
    </row>
    <row r="603" spans="1:8" ht="22" customHeight="1">
      <c r="A603" s="1" t="str">
        <f>IF(AND('Loan Inputs'!$B$12,597&lt;=IF('Loan Inputs'!$B$12,'Loan Inputs'!$B$7,0)*'Loan Inputs'!$B$14+0,ISNUMBER(G602),G602&gt;0),597,"")</f>
        <v/>
      </c>
      <c r="B603" s="4" t="str">
        <f>IF(A603="","",IF('Loan Inputs'!$B$14=12,DATE(YEAR('Loan Inputs'!$B$8),MONTH('Loan Inputs'!$B$8)+A603,DAY('Loan Inputs'!$B$8)),'Loan Inputs'!$B$8+A603*IF('Loan Inputs'!$B$14=26,14,7)))</f>
        <v/>
      </c>
      <c r="C603" s="2" t="str">
        <f t="shared" si="29"/>
        <v/>
      </c>
      <c r="D603" s="2" t="str">
        <f>IF(A603="","",MIN('Loan Inputs'!$B$17,C603+E603)+H603)</f>
        <v/>
      </c>
      <c r="E603" s="2" t="str">
        <f>IF(A603="","",C603*'Loan Inputs'!$B$15)</f>
        <v/>
      </c>
      <c r="F603" s="2" t="str">
        <f t="shared" si="27"/>
        <v/>
      </c>
      <c r="G603" s="2" t="str">
        <f t="shared" si="28"/>
        <v/>
      </c>
      <c r="H603" s="2" t="str">
        <f>IF(A603="","",MIN(0,MAX(0,C603+E603-'Loan Inputs'!$B$17)))</f>
        <v/>
      </c>
    </row>
    <row r="604" spans="1:8" ht="22" customHeight="1">
      <c r="A604" s="1" t="str">
        <f>IF(AND('Loan Inputs'!$B$12,598&lt;=IF('Loan Inputs'!$B$12,'Loan Inputs'!$B$7,0)*'Loan Inputs'!$B$14+0,ISNUMBER(G603),G603&gt;0),598,"")</f>
        <v/>
      </c>
      <c r="B604" s="4" t="str">
        <f>IF(A604="","",IF('Loan Inputs'!$B$14=12,DATE(YEAR('Loan Inputs'!$B$8),MONTH('Loan Inputs'!$B$8)+A604,DAY('Loan Inputs'!$B$8)),'Loan Inputs'!$B$8+A604*IF('Loan Inputs'!$B$14=26,14,7)))</f>
        <v/>
      </c>
      <c r="C604" s="2" t="str">
        <f t="shared" si="29"/>
        <v/>
      </c>
      <c r="D604" s="2" t="str">
        <f>IF(A604="","",MIN('Loan Inputs'!$B$17,C604+E604)+H604)</f>
        <v/>
      </c>
      <c r="E604" s="2" t="str">
        <f>IF(A604="","",C604*'Loan Inputs'!$B$15)</f>
        <v/>
      </c>
      <c r="F604" s="2" t="str">
        <f t="shared" si="27"/>
        <v/>
      </c>
      <c r="G604" s="2" t="str">
        <f t="shared" si="28"/>
        <v/>
      </c>
      <c r="H604" s="2" t="str">
        <f>IF(A604="","",MIN(0,MAX(0,C604+E604-'Loan Inputs'!$B$17)))</f>
        <v/>
      </c>
    </row>
    <row r="605" spans="1:8" ht="22" customHeight="1">
      <c r="A605" s="1" t="str">
        <f>IF(AND('Loan Inputs'!$B$12,599&lt;=IF('Loan Inputs'!$B$12,'Loan Inputs'!$B$7,0)*'Loan Inputs'!$B$14+0,ISNUMBER(G604),G604&gt;0),599,"")</f>
        <v/>
      </c>
      <c r="B605" s="4" t="str">
        <f>IF(A605="","",IF('Loan Inputs'!$B$14=12,DATE(YEAR('Loan Inputs'!$B$8),MONTH('Loan Inputs'!$B$8)+A605,DAY('Loan Inputs'!$B$8)),'Loan Inputs'!$B$8+A605*IF('Loan Inputs'!$B$14=26,14,7)))</f>
        <v/>
      </c>
      <c r="C605" s="2" t="str">
        <f t="shared" si="29"/>
        <v/>
      </c>
      <c r="D605" s="2" t="str">
        <f>IF(A605="","",MIN('Loan Inputs'!$B$17,C605+E605)+H605)</f>
        <v/>
      </c>
      <c r="E605" s="2" t="str">
        <f>IF(A605="","",C605*'Loan Inputs'!$B$15)</f>
        <v/>
      </c>
      <c r="F605" s="2" t="str">
        <f t="shared" si="27"/>
        <v/>
      </c>
      <c r="G605" s="2" t="str">
        <f t="shared" si="28"/>
        <v/>
      </c>
      <c r="H605" s="2" t="str">
        <f>IF(A605="","",MIN(0,MAX(0,C605+E605-'Loan Inputs'!$B$17)))</f>
        <v/>
      </c>
    </row>
    <row r="606" spans="1:8" ht="22" customHeight="1">
      <c r="A606" s="1" t="str">
        <f>IF(AND('Loan Inputs'!$B$12,600&lt;=IF('Loan Inputs'!$B$12,'Loan Inputs'!$B$7,0)*'Loan Inputs'!$B$14+0,ISNUMBER(G605),G605&gt;0),600,"")</f>
        <v/>
      </c>
      <c r="B606" s="4" t="str">
        <f>IF(A606="","",IF('Loan Inputs'!$B$14=12,DATE(YEAR('Loan Inputs'!$B$8),MONTH('Loan Inputs'!$B$8)+A606,DAY('Loan Inputs'!$B$8)),'Loan Inputs'!$B$8+A606*IF('Loan Inputs'!$B$14=26,14,7)))</f>
        <v/>
      </c>
      <c r="C606" s="2" t="str">
        <f t="shared" si="29"/>
        <v/>
      </c>
      <c r="D606" s="2" t="str">
        <f>IF(A606="","",MIN('Loan Inputs'!$B$17,C606+E606)+H606)</f>
        <v/>
      </c>
      <c r="E606" s="2" t="str">
        <f>IF(A606="","",C606*'Loan Inputs'!$B$15)</f>
        <v/>
      </c>
      <c r="F606" s="2" t="str">
        <f t="shared" si="27"/>
        <v/>
      </c>
      <c r="G606" s="2" t="str">
        <f t="shared" si="28"/>
        <v/>
      </c>
      <c r="H606" s="2" t="str">
        <f>IF(A606="","",MIN(0,MAX(0,C606+E606-'Loan Inputs'!$B$17)))</f>
        <v/>
      </c>
    </row>
    <row r="607" spans="1:8" ht="22" customHeight="1">
      <c r="A607" s="1" t="str">
        <f>IF(AND('Loan Inputs'!$B$12,601&lt;=IF('Loan Inputs'!$B$12,'Loan Inputs'!$B$7,0)*'Loan Inputs'!$B$14+0,ISNUMBER(G606),G606&gt;0),601,"")</f>
        <v/>
      </c>
      <c r="B607" s="4" t="str">
        <f>IF(A607="","",IF('Loan Inputs'!$B$14=12,DATE(YEAR('Loan Inputs'!$B$8),MONTH('Loan Inputs'!$B$8)+A607,DAY('Loan Inputs'!$B$8)),'Loan Inputs'!$B$8+A607*IF('Loan Inputs'!$B$14=26,14,7)))</f>
        <v/>
      </c>
      <c r="C607" s="2" t="str">
        <f t="shared" si="29"/>
        <v/>
      </c>
      <c r="D607" s="2" t="str">
        <f>IF(A607="","",MIN('Loan Inputs'!$B$17,C607+E607)+H607)</f>
        <v/>
      </c>
      <c r="E607" s="2" t="str">
        <f>IF(A607="","",C607*'Loan Inputs'!$B$15)</f>
        <v/>
      </c>
      <c r="F607" s="2" t="str">
        <f t="shared" si="27"/>
        <v/>
      </c>
      <c r="G607" s="2" t="str">
        <f t="shared" si="28"/>
        <v/>
      </c>
      <c r="H607" s="2" t="str">
        <f>IF(A607="","",MIN(0,MAX(0,C607+E607-'Loan Inputs'!$B$17)))</f>
        <v/>
      </c>
    </row>
    <row r="608" spans="1:8" ht="22" customHeight="1">
      <c r="A608" s="1" t="str">
        <f>IF(AND('Loan Inputs'!$B$12,602&lt;=IF('Loan Inputs'!$B$12,'Loan Inputs'!$B$7,0)*'Loan Inputs'!$B$14+0,ISNUMBER(G607),G607&gt;0),602,"")</f>
        <v/>
      </c>
      <c r="B608" s="4" t="str">
        <f>IF(A608="","",IF('Loan Inputs'!$B$14=12,DATE(YEAR('Loan Inputs'!$B$8),MONTH('Loan Inputs'!$B$8)+A608,DAY('Loan Inputs'!$B$8)),'Loan Inputs'!$B$8+A608*IF('Loan Inputs'!$B$14=26,14,7)))</f>
        <v/>
      </c>
      <c r="C608" s="2" t="str">
        <f t="shared" si="29"/>
        <v/>
      </c>
      <c r="D608" s="2" t="str">
        <f>IF(A608="","",MIN('Loan Inputs'!$B$17,C608+E608)+H608)</f>
        <v/>
      </c>
      <c r="E608" s="2" t="str">
        <f>IF(A608="","",C608*'Loan Inputs'!$B$15)</f>
        <v/>
      </c>
      <c r="F608" s="2" t="str">
        <f t="shared" si="27"/>
        <v/>
      </c>
      <c r="G608" s="2" t="str">
        <f t="shared" si="28"/>
        <v/>
      </c>
      <c r="H608" s="2" t="str">
        <f>IF(A608="","",MIN(0,MAX(0,C608+E608-'Loan Inputs'!$B$17)))</f>
        <v/>
      </c>
    </row>
    <row r="609" spans="1:8" ht="22" customHeight="1">
      <c r="A609" s="1" t="str">
        <f>IF(AND('Loan Inputs'!$B$12,603&lt;=IF('Loan Inputs'!$B$12,'Loan Inputs'!$B$7,0)*'Loan Inputs'!$B$14+0,ISNUMBER(G608),G608&gt;0),603,"")</f>
        <v/>
      </c>
      <c r="B609" s="4" t="str">
        <f>IF(A609="","",IF('Loan Inputs'!$B$14=12,DATE(YEAR('Loan Inputs'!$B$8),MONTH('Loan Inputs'!$B$8)+A609,DAY('Loan Inputs'!$B$8)),'Loan Inputs'!$B$8+A609*IF('Loan Inputs'!$B$14=26,14,7)))</f>
        <v/>
      </c>
      <c r="C609" s="2" t="str">
        <f t="shared" si="29"/>
        <v/>
      </c>
      <c r="D609" s="2" t="str">
        <f>IF(A609="","",MIN('Loan Inputs'!$B$17,C609+E609)+H609)</f>
        <v/>
      </c>
      <c r="E609" s="2" t="str">
        <f>IF(A609="","",C609*'Loan Inputs'!$B$15)</f>
        <v/>
      </c>
      <c r="F609" s="2" t="str">
        <f t="shared" si="27"/>
        <v/>
      </c>
      <c r="G609" s="2" t="str">
        <f t="shared" si="28"/>
        <v/>
      </c>
      <c r="H609" s="2" t="str">
        <f>IF(A609="","",MIN(0,MAX(0,C609+E609-'Loan Inputs'!$B$17)))</f>
        <v/>
      </c>
    </row>
    <row r="610" spans="1:8" ht="22" customHeight="1">
      <c r="A610" s="1" t="str">
        <f>IF(AND('Loan Inputs'!$B$12,604&lt;=IF('Loan Inputs'!$B$12,'Loan Inputs'!$B$7,0)*'Loan Inputs'!$B$14+0,ISNUMBER(G609),G609&gt;0),604,"")</f>
        <v/>
      </c>
      <c r="B610" s="4" t="str">
        <f>IF(A610="","",IF('Loan Inputs'!$B$14=12,DATE(YEAR('Loan Inputs'!$B$8),MONTH('Loan Inputs'!$B$8)+A610,DAY('Loan Inputs'!$B$8)),'Loan Inputs'!$B$8+A610*IF('Loan Inputs'!$B$14=26,14,7)))</f>
        <v/>
      </c>
      <c r="C610" s="2" t="str">
        <f t="shared" si="29"/>
        <v/>
      </c>
      <c r="D610" s="2" t="str">
        <f>IF(A610="","",MIN('Loan Inputs'!$B$17,C610+E610)+H610)</f>
        <v/>
      </c>
      <c r="E610" s="2" t="str">
        <f>IF(A610="","",C610*'Loan Inputs'!$B$15)</f>
        <v/>
      </c>
      <c r="F610" s="2" t="str">
        <f t="shared" si="27"/>
        <v/>
      </c>
      <c r="G610" s="2" t="str">
        <f t="shared" si="28"/>
        <v/>
      </c>
      <c r="H610" s="2" t="str">
        <f>IF(A610="","",MIN(0,MAX(0,C610+E610-'Loan Inputs'!$B$17)))</f>
        <v/>
      </c>
    </row>
    <row r="611" spans="1:8" ht="22" customHeight="1">
      <c r="A611" s="1" t="str">
        <f>IF(AND('Loan Inputs'!$B$12,605&lt;=IF('Loan Inputs'!$B$12,'Loan Inputs'!$B$7,0)*'Loan Inputs'!$B$14+0,ISNUMBER(G610),G610&gt;0),605,"")</f>
        <v/>
      </c>
      <c r="B611" s="4" t="str">
        <f>IF(A611="","",IF('Loan Inputs'!$B$14=12,DATE(YEAR('Loan Inputs'!$B$8),MONTH('Loan Inputs'!$B$8)+A611,DAY('Loan Inputs'!$B$8)),'Loan Inputs'!$B$8+A611*IF('Loan Inputs'!$B$14=26,14,7)))</f>
        <v/>
      </c>
      <c r="C611" s="2" t="str">
        <f t="shared" si="29"/>
        <v/>
      </c>
      <c r="D611" s="2" t="str">
        <f>IF(A611="","",MIN('Loan Inputs'!$B$17,C611+E611)+H611)</f>
        <v/>
      </c>
      <c r="E611" s="2" t="str">
        <f>IF(A611="","",C611*'Loan Inputs'!$B$15)</f>
        <v/>
      </c>
      <c r="F611" s="2" t="str">
        <f t="shared" si="27"/>
        <v/>
      </c>
      <c r="G611" s="2" t="str">
        <f t="shared" si="28"/>
        <v/>
      </c>
      <c r="H611" s="2" t="str">
        <f>IF(A611="","",MIN(0,MAX(0,C611+E611-'Loan Inputs'!$B$17)))</f>
        <v/>
      </c>
    </row>
    <row r="612" spans="1:8" ht="22" customHeight="1">
      <c r="A612" s="1" t="str">
        <f>IF(AND('Loan Inputs'!$B$12,606&lt;=IF('Loan Inputs'!$B$12,'Loan Inputs'!$B$7,0)*'Loan Inputs'!$B$14+0,ISNUMBER(G611),G611&gt;0),606,"")</f>
        <v/>
      </c>
      <c r="B612" s="4" t="str">
        <f>IF(A612="","",IF('Loan Inputs'!$B$14=12,DATE(YEAR('Loan Inputs'!$B$8),MONTH('Loan Inputs'!$B$8)+A612,DAY('Loan Inputs'!$B$8)),'Loan Inputs'!$B$8+A612*IF('Loan Inputs'!$B$14=26,14,7)))</f>
        <v/>
      </c>
      <c r="C612" s="2" t="str">
        <f t="shared" si="29"/>
        <v/>
      </c>
      <c r="D612" s="2" t="str">
        <f>IF(A612="","",MIN('Loan Inputs'!$B$17,C612+E612)+H612)</f>
        <v/>
      </c>
      <c r="E612" s="2" t="str">
        <f>IF(A612="","",C612*'Loan Inputs'!$B$15)</f>
        <v/>
      </c>
      <c r="F612" s="2" t="str">
        <f t="shared" si="27"/>
        <v/>
      </c>
      <c r="G612" s="2" t="str">
        <f t="shared" si="28"/>
        <v/>
      </c>
      <c r="H612" s="2" t="str">
        <f>IF(A612="","",MIN(0,MAX(0,C612+E612-'Loan Inputs'!$B$17)))</f>
        <v/>
      </c>
    </row>
    <row r="613" spans="1:8" ht="22" customHeight="1">
      <c r="A613" s="1" t="str">
        <f>IF(AND('Loan Inputs'!$B$12,607&lt;=IF('Loan Inputs'!$B$12,'Loan Inputs'!$B$7,0)*'Loan Inputs'!$B$14+0,ISNUMBER(G612),G612&gt;0),607,"")</f>
        <v/>
      </c>
      <c r="B613" s="4" t="str">
        <f>IF(A613="","",IF('Loan Inputs'!$B$14=12,DATE(YEAR('Loan Inputs'!$B$8),MONTH('Loan Inputs'!$B$8)+A613,DAY('Loan Inputs'!$B$8)),'Loan Inputs'!$B$8+A613*IF('Loan Inputs'!$B$14=26,14,7)))</f>
        <v/>
      </c>
      <c r="C613" s="2" t="str">
        <f t="shared" si="29"/>
        <v/>
      </c>
      <c r="D613" s="2" t="str">
        <f>IF(A613="","",MIN('Loan Inputs'!$B$17,C613+E613)+H613)</f>
        <v/>
      </c>
      <c r="E613" s="2" t="str">
        <f>IF(A613="","",C613*'Loan Inputs'!$B$15)</f>
        <v/>
      </c>
      <c r="F613" s="2" t="str">
        <f t="shared" si="27"/>
        <v/>
      </c>
      <c r="G613" s="2" t="str">
        <f t="shared" si="28"/>
        <v/>
      </c>
      <c r="H613" s="2" t="str">
        <f>IF(A613="","",MIN(0,MAX(0,C613+E613-'Loan Inputs'!$B$17)))</f>
        <v/>
      </c>
    </row>
    <row r="614" spans="1:8" ht="22" customHeight="1">
      <c r="A614" s="1" t="str">
        <f>IF(AND('Loan Inputs'!$B$12,608&lt;=IF('Loan Inputs'!$B$12,'Loan Inputs'!$B$7,0)*'Loan Inputs'!$B$14+0,ISNUMBER(G613),G613&gt;0),608,"")</f>
        <v/>
      </c>
      <c r="B614" s="4" t="str">
        <f>IF(A614="","",IF('Loan Inputs'!$B$14=12,DATE(YEAR('Loan Inputs'!$B$8),MONTH('Loan Inputs'!$B$8)+A614,DAY('Loan Inputs'!$B$8)),'Loan Inputs'!$B$8+A614*IF('Loan Inputs'!$B$14=26,14,7)))</f>
        <v/>
      </c>
      <c r="C614" s="2" t="str">
        <f t="shared" si="29"/>
        <v/>
      </c>
      <c r="D614" s="2" t="str">
        <f>IF(A614="","",MIN('Loan Inputs'!$B$17,C614+E614)+H614)</f>
        <v/>
      </c>
      <c r="E614" s="2" t="str">
        <f>IF(A614="","",C614*'Loan Inputs'!$B$15)</f>
        <v/>
      </c>
      <c r="F614" s="2" t="str">
        <f t="shared" si="27"/>
        <v/>
      </c>
      <c r="G614" s="2" t="str">
        <f t="shared" si="28"/>
        <v/>
      </c>
      <c r="H614" s="2" t="str">
        <f>IF(A614="","",MIN(0,MAX(0,C614+E614-'Loan Inputs'!$B$17)))</f>
        <v/>
      </c>
    </row>
    <row r="615" spans="1:8" ht="22" customHeight="1">
      <c r="A615" s="1" t="str">
        <f>IF(AND('Loan Inputs'!$B$12,609&lt;=IF('Loan Inputs'!$B$12,'Loan Inputs'!$B$7,0)*'Loan Inputs'!$B$14+0,ISNUMBER(G614),G614&gt;0),609,"")</f>
        <v/>
      </c>
      <c r="B615" s="4" t="str">
        <f>IF(A615="","",IF('Loan Inputs'!$B$14=12,DATE(YEAR('Loan Inputs'!$B$8),MONTH('Loan Inputs'!$B$8)+A615,DAY('Loan Inputs'!$B$8)),'Loan Inputs'!$B$8+A615*IF('Loan Inputs'!$B$14=26,14,7)))</f>
        <v/>
      </c>
      <c r="C615" s="2" t="str">
        <f t="shared" si="29"/>
        <v/>
      </c>
      <c r="D615" s="2" t="str">
        <f>IF(A615="","",MIN('Loan Inputs'!$B$17,C615+E615)+H615)</f>
        <v/>
      </c>
      <c r="E615" s="2" t="str">
        <f>IF(A615="","",C615*'Loan Inputs'!$B$15)</f>
        <v/>
      </c>
      <c r="F615" s="2" t="str">
        <f t="shared" si="27"/>
        <v/>
      </c>
      <c r="G615" s="2" t="str">
        <f t="shared" si="28"/>
        <v/>
      </c>
      <c r="H615" s="2" t="str">
        <f>IF(A615="","",MIN(0,MAX(0,C615+E615-'Loan Inputs'!$B$17)))</f>
        <v/>
      </c>
    </row>
    <row r="616" spans="1:8" ht="22" customHeight="1">
      <c r="A616" s="1" t="str">
        <f>IF(AND('Loan Inputs'!$B$12,610&lt;=IF('Loan Inputs'!$B$12,'Loan Inputs'!$B$7,0)*'Loan Inputs'!$B$14+0,ISNUMBER(G615),G615&gt;0),610,"")</f>
        <v/>
      </c>
      <c r="B616" s="4" t="str">
        <f>IF(A616="","",IF('Loan Inputs'!$B$14=12,DATE(YEAR('Loan Inputs'!$B$8),MONTH('Loan Inputs'!$B$8)+A616,DAY('Loan Inputs'!$B$8)),'Loan Inputs'!$B$8+A616*IF('Loan Inputs'!$B$14=26,14,7)))</f>
        <v/>
      </c>
      <c r="C616" s="2" t="str">
        <f t="shared" si="29"/>
        <v/>
      </c>
      <c r="D616" s="2" t="str">
        <f>IF(A616="","",MIN('Loan Inputs'!$B$17,C616+E616)+H616)</f>
        <v/>
      </c>
      <c r="E616" s="2" t="str">
        <f>IF(A616="","",C616*'Loan Inputs'!$B$15)</f>
        <v/>
      </c>
      <c r="F616" s="2" t="str">
        <f t="shared" si="27"/>
        <v/>
      </c>
      <c r="G616" s="2" t="str">
        <f t="shared" si="28"/>
        <v/>
      </c>
      <c r="H616" s="2" t="str">
        <f>IF(A616="","",MIN(0,MAX(0,C616+E616-'Loan Inputs'!$B$17)))</f>
        <v/>
      </c>
    </row>
    <row r="617" spans="1:8" ht="22" customHeight="1">
      <c r="A617" s="1" t="str">
        <f>IF(AND('Loan Inputs'!$B$12,611&lt;=IF('Loan Inputs'!$B$12,'Loan Inputs'!$B$7,0)*'Loan Inputs'!$B$14+0,ISNUMBER(G616),G616&gt;0),611,"")</f>
        <v/>
      </c>
      <c r="B617" s="4" t="str">
        <f>IF(A617="","",IF('Loan Inputs'!$B$14=12,DATE(YEAR('Loan Inputs'!$B$8),MONTH('Loan Inputs'!$B$8)+A617,DAY('Loan Inputs'!$B$8)),'Loan Inputs'!$B$8+A617*IF('Loan Inputs'!$B$14=26,14,7)))</f>
        <v/>
      </c>
      <c r="C617" s="2" t="str">
        <f t="shared" si="29"/>
        <v/>
      </c>
      <c r="D617" s="2" t="str">
        <f>IF(A617="","",MIN('Loan Inputs'!$B$17,C617+E617)+H617)</f>
        <v/>
      </c>
      <c r="E617" s="2" t="str">
        <f>IF(A617="","",C617*'Loan Inputs'!$B$15)</f>
        <v/>
      </c>
      <c r="F617" s="2" t="str">
        <f t="shared" si="27"/>
        <v/>
      </c>
      <c r="G617" s="2" t="str">
        <f t="shared" si="28"/>
        <v/>
      </c>
      <c r="H617" s="2" t="str">
        <f>IF(A617="","",MIN(0,MAX(0,C617+E617-'Loan Inputs'!$B$17)))</f>
        <v/>
      </c>
    </row>
    <row r="618" spans="1:8" ht="22" customHeight="1">
      <c r="A618" s="1" t="str">
        <f>IF(AND('Loan Inputs'!$B$12,612&lt;=IF('Loan Inputs'!$B$12,'Loan Inputs'!$B$7,0)*'Loan Inputs'!$B$14+0,ISNUMBER(G617),G617&gt;0),612,"")</f>
        <v/>
      </c>
      <c r="B618" s="4" t="str">
        <f>IF(A618="","",IF('Loan Inputs'!$B$14=12,DATE(YEAR('Loan Inputs'!$B$8),MONTH('Loan Inputs'!$B$8)+A618,DAY('Loan Inputs'!$B$8)),'Loan Inputs'!$B$8+A618*IF('Loan Inputs'!$B$14=26,14,7)))</f>
        <v/>
      </c>
      <c r="C618" s="2" t="str">
        <f t="shared" si="29"/>
        <v/>
      </c>
      <c r="D618" s="2" t="str">
        <f>IF(A618="","",MIN('Loan Inputs'!$B$17,C618+E618)+H618)</f>
        <v/>
      </c>
      <c r="E618" s="2" t="str">
        <f>IF(A618="","",C618*'Loan Inputs'!$B$15)</f>
        <v/>
      </c>
      <c r="F618" s="2" t="str">
        <f t="shared" si="27"/>
        <v/>
      </c>
      <c r="G618" s="2" t="str">
        <f t="shared" si="28"/>
        <v/>
      </c>
      <c r="H618" s="2" t="str">
        <f>IF(A618="","",MIN(0,MAX(0,C618+E618-'Loan Inputs'!$B$17)))</f>
        <v/>
      </c>
    </row>
    <row r="619" spans="1:8" ht="22" customHeight="1">
      <c r="A619" s="1" t="str">
        <f>IF(AND('Loan Inputs'!$B$12,613&lt;=IF('Loan Inputs'!$B$12,'Loan Inputs'!$B$7,0)*'Loan Inputs'!$B$14+0,ISNUMBER(G618),G618&gt;0),613,"")</f>
        <v/>
      </c>
      <c r="B619" s="4" t="str">
        <f>IF(A619="","",IF('Loan Inputs'!$B$14=12,DATE(YEAR('Loan Inputs'!$B$8),MONTH('Loan Inputs'!$B$8)+A619,DAY('Loan Inputs'!$B$8)),'Loan Inputs'!$B$8+A619*IF('Loan Inputs'!$B$14=26,14,7)))</f>
        <v/>
      </c>
      <c r="C619" s="2" t="str">
        <f t="shared" si="29"/>
        <v/>
      </c>
      <c r="D619" s="2" t="str">
        <f>IF(A619="","",MIN('Loan Inputs'!$B$17,C619+E619)+H619)</f>
        <v/>
      </c>
      <c r="E619" s="2" t="str">
        <f>IF(A619="","",C619*'Loan Inputs'!$B$15)</f>
        <v/>
      </c>
      <c r="F619" s="2" t="str">
        <f t="shared" si="27"/>
        <v/>
      </c>
      <c r="G619" s="2" t="str">
        <f t="shared" si="28"/>
        <v/>
      </c>
      <c r="H619" s="2" t="str">
        <f>IF(A619="","",MIN(0,MAX(0,C619+E619-'Loan Inputs'!$B$17)))</f>
        <v/>
      </c>
    </row>
    <row r="620" spans="1:8" ht="22" customHeight="1">
      <c r="A620" s="1" t="str">
        <f>IF(AND('Loan Inputs'!$B$12,614&lt;=IF('Loan Inputs'!$B$12,'Loan Inputs'!$B$7,0)*'Loan Inputs'!$B$14+0,ISNUMBER(G619),G619&gt;0),614,"")</f>
        <v/>
      </c>
      <c r="B620" s="4" t="str">
        <f>IF(A620="","",IF('Loan Inputs'!$B$14=12,DATE(YEAR('Loan Inputs'!$B$8),MONTH('Loan Inputs'!$B$8)+A620,DAY('Loan Inputs'!$B$8)),'Loan Inputs'!$B$8+A620*IF('Loan Inputs'!$B$14=26,14,7)))</f>
        <v/>
      </c>
      <c r="C620" s="2" t="str">
        <f t="shared" si="29"/>
        <v/>
      </c>
      <c r="D620" s="2" t="str">
        <f>IF(A620="","",MIN('Loan Inputs'!$B$17,C620+E620)+H620)</f>
        <v/>
      </c>
      <c r="E620" s="2" t="str">
        <f>IF(A620="","",C620*'Loan Inputs'!$B$15)</f>
        <v/>
      </c>
      <c r="F620" s="2" t="str">
        <f t="shared" si="27"/>
        <v/>
      </c>
      <c r="G620" s="2" t="str">
        <f t="shared" si="28"/>
        <v/>
      </c>
      <c r="H620" s="2" t="str">
        <f>IF(A620="","",MIN(0,MAX(0,C620+E620-'Loan Inputs'!$B$17)))</f>
        <v/>
      </c>
    </row>
    <row r="621" spans="1:8" ht="22" customHeight="1">
      <c r="A621" s="1" t="str">
        <f>IF(AND('Loan Inputs'!$B$12,615&lt;=IF('Loan Inputs'!$B$12,'Loan Inputs'!$B$7,0)*'Loan Inputs'!$B$14+0,ISNUMBER(G620),G620&gt;0),615,"")</f>
        <v/>
      </c>
      <c r="B621" s="4" t="str">
        <f>IF(A621="","",IF('Loan Inputs'!$B$14=12,DATE(YEAR('Loan Inputs'!$B$8),MONTH('Loan Inputs'!$B$8)+A621,DAY('Loan Inputs'!$B$8)),'Loan Inputs'!$B$8+A621*IF('Loan Inputs'!$B$14=26,14,7)))</f>
        <v/>
      </c>
      <c r="C621" s="2" t="str">
        <f t="shared" si="29"/>
        <v/>
      </c>
      <c r="D621" s="2" t="str">
        <f>IF(A621="","",MIN('Loan Inputs'!$B$17,C621+E621)+H621)</f>
        <v/>
      </c>
      <c r="E621" s="2" t="str">
        <f>IF(A621="","",C621*'Loan Inputs'!$B$15)</f>
        <v/>
      </c>
      <c r="F621" s="2" t="str">
        <f t="shared" si="27"/>
        <v/>
      </c>
      <c r="G621" s="2" t="str">
        <f t="shared" si="28"/>
        <v/>
      </c>
      <c r="H621" s="2" t="str">
        <f>IF(A621="","",MIN(0,MAX(0,C621+E621-'Loan Inputs'!$B$17)))</f>
        <v/>
      </c>
    </row>
    <row r="622" spans="1:8" ht="22" customHeight="1">
      <c r="A622" s="1" t="str">
        <f>IF(AND('Loan Inputs'!$B$12,616&lt;=IF('Loan Inputs'!$B$12,'Loan Inputs'!$B$7,0)*'Loan Inputs'!$B$14+0,ISNUMBER(G621),G621&gt;0),616,"")</f>
        <v/>
      </c>
      <c r="B622" s="4" t="str">
        <f>IF(A622="","",IF('Loan Inputs'!$B$14=12,DATE(YEAR('Loan Inputs'!$B$8),MONTH('Loan Inputs'!$B$8)+A622,DAY('Loan Inputs'!$B$8)),'Loan Inputs'!$B$8+A622*IF('Loan Inputs'!$B$14=26,14,7)))</f>
        <v/>
      </c>
      <c r="C622" s="2" t="str">
        <f t="shared" si="29"/>
        <v/>
      </c>
      <c r="D622" s="2" t="str">
        <f>IF(A622="","",MIN('Loan Inputs'!$B$17,C622+E622)+H622)</f>
        <v/>
      </c>
      <c r="E622" s="2" t="str">
        <f>IF(A622="","",C622*'Loan Inputs'!$B$15)</f>
        <v/>
      </c>
      <c r="F622" s="2" t="str">
        <f t="shared" si="27"/>
        <v/>
      </c>
      <c r="G622" s="2" t="str">
        <f t="shared" si="28"/>
        <v/>
      </c>
      <c r="H622" s="2" t="str">
        <f>IF(A622="","",MIN(0,MAX(0,C622+E622-'Loan Inputs'!$B$17)))</f>
        <v/>
      </c>
    </row>
    <row r="623" spans="1:8" ht="22" customHeight="1">
      <c r="A623" s="1" t="str">
        <f>IF(AND('Loan Inputs'!$B$12,617&lt;=IF('Loan Inputs'!$B$12,'Loan Inputs'!$B$7,0)*'Loan Inputs'!$B$14+0,ISNUMBER(G622),G622&gt;0),617,"")</f>
        <v/>
      </c>
      <c r="B623" s="4" t="str">
        <f>IF(A623="","",IF('Loan Inputs'!$B$14=12,DATE(YEAR('Loan Inputs'!$B$8),MONTH('Loan Inputs'!$B$8)+A623,DAY('Loan Inputs'!$B$8)),'Loan Inputs'!$B$8+A623*IF('Loan Inputs'!$B$14=26,14,7)))</f>
        <v/>
      </c>
      <c r="C623" s="2" t="str">
        <f t="shared" si="29"/>
        <v/>
      </c>
      <c r="D623" s="2" t="str">
        <f>IF(A623="","",MIN('Loan Inputs'!$B$17,C623+E623)+H623)</f>
        <v/>
      </c>
      <c r="E623" s="2" t="str">
        <f>IF(A623="","",C623*'Loan Inputs'!$B$15)</f>
        <v/>
      </c>
      <c r="F623" s="2" t="str">
        <f t="shared" si="27"/>
        <v/>
      </c>
      <c r="G623" s="2" t="str">
        <f t="shared" si="28"/>
        <v/>
      </c>
      <c r="H623" s="2" t="str">
        <f>IF(A623="","",MIN(0,MAX(0,C623+E623-'Loan Inputs'!$B$17)))</f>
        <v/>
      </c>
    </row>
    <row r="624" spans="1:8" ht="22" customHeight="1">
      <c r="A624" s="1" t="str">
        <f>IF(AND('Loan Inputs'!$B$12,618&lt;=IF('Loan Inputs'!$B$12,'Loan Inputs'!$B$7,0)*'Loan Inputs'!$B$14+0,ISNUMBER(G623),G623&gt;0),618,"")</f>
        <v/>
      </c>
      <c r="B624" s="4" t="str">
        <f>IF(A624="","",IF('Loan Inputs'!$B$14=12,DATE(YEAR('Loan Inputs'!$B$8),MONTH('Loan Inputs'!$B$8)+A624,DAY('Loan Inputs'!$B$8)),'Loan Inputs'!$B$8+A624*IF('Loan Inputs'!$B$14=26,14,7)))</f>
        <v/>
      </c>
      <c r="C624" s="2" t="str">
        <f t="shared" si="29"/>
        <v/>
      </c>
      <c r="D624" s="2" t="str">
        <f>IF(A624="","",MIN('Loan Inputs'!$B$17,C624+E624)+H624)</f>
        <v/>
      </c>
      <c r="E624" s="2" t="str">
        <f>IF(A624="","",C624*'Loan Inputs'!$B$15)</f>
        <v/>
      </c>
      <c r="F624" s="2" t="str">
        <f t="shared" si="27"/>
        <v/>
      </c>
      <c r="G624" s="2" t="str">
        <f t="shared" si="28"/>
        <v/>
      </c>
      <c r="H624" s="2" t="str">
        <f>IF(A624="","",MIN(0,MAX(0,C624+E624-'Loan Inputs'!$B$17)))</f>
        <v/>
      </c>
    </row>
    <row r="625" spans="1:8" ht="22" customHeight="1">
      <c r="A625" s="1" t="str">
        <f>IF(AND('Loan Inputs'!$B$12,619&lt;=IF('Loan Inputs'!$B$12,'Loan Inputs'!$B$7,0)*'Loan Inputs'!$B$14+0,ISNUMBER(G624),G624&gt;0),619,"")</f>
        <v/>
      </c>
      <c r="B625" s="4" t="str">
        <f>IF(A625="","",IF('Loan Inputs'!$B$14=12,DATE(YEAR('Loan Inputs'!$B$8),MONTH('Loan Inputs'!$B$8)+A625,DAY('Loan Inputs'!$B$8)),'Loan Inputs'!$B$8+A625*IF('Loan Inputs'!$B$14=26,14,7)))</f>
        <v/>
      </c>
      <c r="C625" s="2" t="str">
        <f t="shared" si="29"/>
        <v/>
      </c>
      <c r="D625" s="2" t="str">
        <f>IF(A625="","",MIN('Loan Inputs'!$B$17,C625+E625)+H625)</f>
        <v/>
      </c>
      <c r="E625" s="2" t="str">
        <f>IF(A625="","",C625*'Loan Inputs'!$B$15)</f>
        <v/>
      </c>
      <c r="F625" s="2" t="str">
        <f t="shared" si="27"/>
        <v/>
      </c>
      <c r="G625" s="2" t="str">
        <f t="shared" si="28"/>
        <v/>
      </c>
      <c r="H625" s="2" t="str">
        <f>IF(A625="","",MIN(0,MAX(0,C625+E625-'Loan Inputs'!$B$17)))</f>
        <v/>
      </c>
    </row>
    <row r="626" spans="1:8" ht="22" customHeight="1">
      <c r="A626" s="1" t="str">
        <f>IF(AND('Loan Inputs'!$B$12,620&lt;=IF('Loan Inputs'!$B$12,'Loan Inputs'!$B$7,0)*'Loan Inputs'!$B$14+0,ISNUMBER(G625),G625&gt;0),620,"")</f>
        <v/>
      </c>
      <c r="B626" s="4" t="str">
        <f>IF(A626="","",IF('Loan Inputs'!$B$14=12,DATE(YEAR('Loan Inputs'!$B$8),MONTH('Loan Inputs'!$B$8)+A626,DAY('Loan Inputs'!$B$8)),'Loan Inputs'!$B$8+A626*IF('Loan Inputs'!$B$14=26,14,7)))</f>
        <v/>
      </c>
      <c r="C626" s="2" t="str">
        <f t="shared" si="29"/>
        <v/>
      </c>
      <c r="D626" s="2" t="str">
        <f>IF(A626="","",MIN('Loan Inputs'!$B$17,C626+E626)+H626)</f>
        <v/>
      </c>
      <c r="E626" s="2" t="str">
        <f>IF(A626="","",C626*'Loan Inputs'!$B$15)</f>
        <v/>
      </c>
      <c r="F626" s="2" t="str">
        <f t="shared" si="27"/>
        <v/>
      </c>
      <c r="G626" s="2" t="str">
        <f t="shared" si="28"/>
        <v/>
      </c>
      <c r="H626" s="2" t="str">
        <f>IF(A626="","",MIN(0,MAX(0,C626+E626-'Loan Inputs'!$B$17)))</f>
        <v/>
      </c>
    </row>
    <row r="627" spans="1:8" ht="22" customHeight="1">
      <c r="A627" s="1" t="str">
        <f>IF(AND('Loan Inputs'!$B$12,621&lt;=IF('Loan Inputs'!$B$12,'Loan Inputs'!$B$7,0)*'Loan Inputs'!$B$14+0,ISNUMBER(G626),G626&gt;0),621,"")</f>
        <v/>
      </c>
      <c r="B627" s="4" t="str">
        <f>IF(A627="","",IF('Loan Inputs'!$B$14=12,DATE(YEAR('Loan Inputs'!$B$8),MONTH('Loan Inputs'!$B$8)+A627,DAY('Loan Inputs'!$B$8)),'Loan Inputs'!$B$8+A627*IF('Loan Inputs'!$B$14=26,14,7)))</f>
        <v/>
      </c>
      <c r="C627" s="2" t="str">
        <f t="shared" si="29"/>
        <v/>
      </c>
      <c r="D627" s="2" t="str">
        <f>IF(A627="","",MIN('Loan Inputs'!$B$17,C627+E627)+H627)</f>
        <v/>
      </c>
      <c r="E627" s="2" t="str">
        <f>IF(A627="","",C627*'Loan Inputs'!$B$15)</f>
        <v/>
      </c>
      <c r="F627" s="2" t="str">
        <f t="shared" si="27"/>
        <v/>
      </c>
      <c r="G627" s="2" t="str">
        <f t="shared" si="28"/>
        <v/>
      </c>
      <c r="H627" s="2" t="str">
        <f>IF(A627="","",MIN(0,MAX(0,C627+E627-'Loan Inputs'!$B$17)))</f>
        <v/>
      </c>
    </row>
    <row r="628" spans="1:8" ht="22" customHeight="1">
      <c r="A628" s="1" t="str">
        <f>IF(AND('Loan Inputs'!$B$12,622&lt;=IF('Loan Inputs'!$B$12,'Loan Inputs'!$B$7,0)*'Loan Inputs'!$B$14+0,ISNUMBER(G627),G627&gt;0),622,"")</f>
        <v/>
      </c>
      <c r="B628" s="4" t="str">
        <f>IF(A628="","",IF('Loan Inputs'!$B$14=12,DATE(YEAR('Loan Inputs'!$B$8),MONTH('Loan Inputs'!$B$8)+A628,DAY('Loan Inputs'!$B$8)),'Loan Inputs'!$B$8+A628*IF('Loan Inputs'!$B$14=26,14,7)))</f>
        <v/>
      </c>
      <c r="C628" s="2" t="str">
        <f t="shared" si="29"/>
        <v/>
      </c>
      <c r="D628" s="2" t="str">
        <f>IF(A628="","",MIN('Loan Inputs'!$B$17,C628+E628)+H628)</f>
        <v/>
      </c>
      <c r="E628" s="2" t="str">
        <f>IF(A628="","",C628*'Loan Inputs'!$B$15)</f>
        <v/>
      </c>
      <c r="F628" s="2" t="str">
        <f t="shared" si="27"/>
        <v/>
      </c>
      <c r="G628" s="2" t="str">
        <f t="shared" si="28"/>
        <v/>
      </c>
      <c r="H628" s="2" t="str">
        <f>IF(A628="","",MIN(0,MAX(0,C628+E628-'Loan Inputs'!$B$17)))</f>
        <v/>
      </c>
    </row>
    <row r="629" spans="1:8" ht="22" customHeight="1">
      <c r="A629" s="1" t="str">
        <f>IF(AND('Loan Inputs'!$B$12,623&lt;=IF('Loan Inputs'!$B$12,'Loan Inputs'!$B$7,0)*'Loan Inputs'!$B$14+0,ISNUMBER(G628),G628&gt;0),623,"")</f>
        <v/>
      </c>
      <c r="B629" s="4" t="str">
        <f>IF(A629="","",IF('Loan Inputs'!$B$14=12,DATE(YEAR('Loan Inputs'!$B$8),MONTH('Loan Inputs'!$B$8)+A629,DAY('Loan Inputs'!$B$8)),'Loan Inputs'!$B$8+A629*IF('Loan Inputs'!$B$14=26,14,7)))</f>
        <v/>
      </c>
      <c r="C629" s="2" t="str">
        <f t="shared" si="29"/>
        <v/>
      </c>
      <c r="D629" s="2" t="str">
        <f>IF(A629="","",MIN('Loan Inputs'!$B$17,C629+E629)+H629)</f>
        <v/>
      </c>
      <c r="E629" s="2" t="str">
        <f>IF(A629="","",C629*'Loan Inputs'!$B$15)</f>
        <v/>
      </c>
      <c r="F629" s="2" t="str">
        <f t="shared" si="27"/>
        <v/>
      </c>
      <c r="G629" s="2" t="str">
        <f t="shared" si="28"/>
        <v/>
      </c>
      <c r="H629" s="2" t="str">
        <f>IF(A629="","",MIN(0,MAX(0,C629+E629-'Loan Inputs'!$B$17)))</f>
        <v/>
      </c>
    </row>
    <row r="630" spans="1:8" ht="22" customHeight="1">
      <c r="A630" s="1" t="str">
        <f>IF(AND('Loan Inputs'!$B$12,624&lt;=IF('Loan Inputs'!$B$12,'Loan Inputs'!$B$7,0)*'Loan Inputs'!$B$14+0,ISNUMBER(G629),G629&gt;0),624,"")</f>
        <v/>
      </c>
      <c r="B630" s="4" t="str">
        <f>IF(A630="","",IF('Loan Inputs'!$B$14=12,DATE(YEAR('Loan Inputs'!$B$8),MONTH('Loan Inputs'!$B$8)+A630,DAY('Loan Inputs'!$B$8)),'Loan Inputs'!$B$8+A630*IF('Loan Inputs'!$B$14=26,14,7)))</f>
        <v/>
      </c>
      <c r="C630" s="2" t="str">
        <f t="shared" si="29"/>
        <v/>
      </c>
      <c r="D630" s="2" t="str">
        <f>IF(A630="","",MIN('Loan Inputs'!$B$17,C630+E630)+H630)</f>
        <v/>
      </c>
      <c r="E630" s="2" t="str">
        <f>IF(A630="","",C630*'Loan Inputs'!$B$15)</f>
        <v/>
      </c>
      <c r="F630" s="2" t="str">
        <f t="shared" si="27"/>
        <v/>
      </c>
      <c r="G630" s="2" t="str">
        <f t="shared" si="28"/>
        <v/>
      </c>
      <c r="H630" s="2" t="str">
        <f>IF(A630="","",MIN(0,MAX(0,C630+E630-'Loan Inputs'!$B$17)))</f>
        <v/>
      </c>
    </row>
    <row r="631" spans="1:8" ht="22" customHeight="1">
      <c r="A631" s="1" t="str">
        <f>IF(AND('Loan Inputs'!$B$12,625&lt;=IF('Loan Inputs'!$B$12,'Loan Inputs'!$B$7,0)*'Loan Inputs'!$B$14+0,ISNUMBER(G630),G630&gt;0),625,"")</f>
        <v/>
      </c>
      <c r="B631" s="4" t="str">
        <f>IF(A631="","",IF('Loan Inputs'!$B$14=12,DATE(YEAR('Loan Inputs'!$B$8),MONTH('Loan Inputs'!$B$8)+A631,DAY('Loan Inputs'!$B$8)),'Loan Inputs'!$B$8+A631*IF('Loan Inputs'!$B$14=26,14,7)))</f>
        <v/>
      </c>
      <c r="C631" s="2" t="str">
        <f t="shared" si="29"/>
        <v/>
      </c>
      <c r="D631" s="2" t="str">
        <f>IF(A631="","",MIN('Loan Inputs'!$B$17,C631+E631)+H631)</f>
        <v/>
      </c>
      <c r="E631" s="2" t="str">
        <f>IF(A631="","",C631*'Loan Inputs'!$B$15)</f>
        <v/>
      </c>
      <c r="F631" s="2" t="str">
        <f t="shared" si="27"/>
        <v/>
      </c>
      <c r="G631" s="2" t="str">
        <f t="shared" si="28"/>
        <v/>
      </c>
      <c r="H631" s="2" t="str">
        <f>IF(A631="","",MIN(0,MAX(0,C631+E631-'Loan Inputs'!$B$17)))</f>
        <v/>
      </c>
    </row>
    <row r="632" spans="1:8" ht="22" customHeight="1">
      <c r="A632" s="1" t="str">
        <f>IF(AND('Loan Inputs'!$B$12,626&lt;=IF('Loan Inputs'!$B$12,'Loan Inputs'!$B$7,0)*'Loan Inputs'!$B$14+0,ISNUMBER(G631),G631&gt;0),626,"")</f>
        <v/>
      </c>
      <c r="B632" s="4" t="str">
        <f>IF(A632="","",IF('Loan Inputs'!$B$14=12,DATE(YEAR('Loan Inputs'!$B$8),MONTH('Loan Inputs'!$B$8)+A632,DAY('Loan Inputs'!$B$8)),'Loan Inputs'!$B$8+A632*IF('Loan Inputs'!$B$14=26,14,7)))</f>
        <v/>
      </c>
      <c r="C632" s="2" t="str">
        <f t="shared" si="29"/>
        <v/>
      </c>
      <c r="D632" s="2" t="str">
        <f>IF(A632="","",MIN('Loan Inputs'!$B$17,C632+E632)+H632)</f>
        <v/>
      </c>
      <c r="E632" s="2" t="str">
        <f>IF(A632="","",C632*'Loan Inputs'!$B$15)</f>
        <v/>
      </c>
      <c r="F632" s="2" t="str">
        <f t="shared" si="27"/>
        <v/>
      </c>
      <c r="G632" s="2" t="str">
        <f t="shared" si="28"/>
        <v/>
      </c>
      <c r="H632" s="2" t="str">
        <f>IF(A632="","",MIN(0,MAX(0,C632+E632-'Loan Inputs'!$B$17)))</f>
        <v/>
      </c>
    </row>
    <row r="633" spans="1:8" ht="22" customHeight="1">
      <c r="A633" s="1" t="str">
        <f>IF(AND('Loan Inputs'!$B$12,627&lt;=IF('Loan Inputs'!$B$12,'Loan Inputs'!$B$7,0)*'Loan Inputs'!$B$14+0,ISNUMBER(G632),G632&gt;0),627,"")</f>
        <v/>
      </c>
      <c r="B633" s="4" t="str">
        <f>IF(A633="","",IF('Loan Inputs'!$B$14=12,DATE(YEAR('Loan Inputs'!$B$8),MONTH('Loan Inputs'!$B$8)+A633,DAY('Loan Inputs'!$B$8)),'Loan Inputs'!$B$8+A633*IF('Loan Inputs'!$B$14=26,14,7)))</f>
        <v/>
      </c>
      <c r="C633" s="2" t="str">
        <f t="shared" si="29"/>
        <v/>
      </c>
      <c r="D633" s="2" t="str">
        <f>IF(A633="","",MIN('Loan Inputs'!$B$17,C633+E633)+H633)</f>
        <v/>
      </c>
      <c r="E633" s="2" t="str">
        <f>IF(A633="","",C633*'Loan Inputs'!$B$15)</f>
        <v/>
      </c>
      <c r="F633" s="2" t="str">
        <f t="shared" si="27"/>
        <v/>
      </c>
      <c r="G633" s="2" t="str">
        <f t="shared" si="28"/>
        <v/>
      </c>
      <c r="H633" s="2" t="str">
        <f>IF(A633="","",MIN(0,MAX(0,C633+E633-'Loan Inputs'!$B$17)))</f>
        <v/>
      </c>
    </row>
    <row r="634" spans="1:8" ht="22" customHeight="1">
      <c r="A634" s="1" t="str">
        <f>IF(AND('Loan Inputs'!$B$12,628&lt;=IF('Loan Inputs'!$B$12,'Loan Inputs'!$B$7,0)*'Loan Inputs'!$B$14+0,ISNUMBER(G633),G633&gt;0),628,"")</f>
        <v/>
      </c>
      <c r="B634" s="4" t="str">
        <f>IF(A634="","",IF('Loan Inputs'!$B$14=12,DATE(YEAR('Loan Inputs'!$B$8),MONTH('Loan Inputs'!$B$8)+A634,DAY('Loan Inputs'!$B$8)),'Loan Inputs'!$B$8+A634*IF('Loan Inputs'!$B$14=26,14,7)))</f>
        <v/>
      </c>
      <c r="C634" s="2" t="str">
        <f t="shared" si="29"/>
        <v/>
      </c>
      <c r="D634" s="2" t="str">
        <f>IF(A634="","",MIN('Loan Inputs'!$B$17,C634+E634)+H634)</f>
        <v/>
      </c>
      <c r="E634" s="2" t="str">
        <f>IF(A634="","",C634*'Loan Inputs'!$B$15)</f>
        <v/>
      </c>
      <c r="F634" s="2" t="str">
        <f t="shared" si="27"/>
        <v/>
      </c>
      <c r="G634" s="2" t="str">
        <f t="shared" si="28"/>
        <v/>
      </c>
      <c r="H634" s="2" t="str">
        <f>IF(A634="","",MIN(0,MAX(0,C634+E634-'Loan Inputs'!$B$17)))</f>
        <v/>
      </c>
    </row>
    <row r="635" spans="1:8" ht="22" customHeight="1">
      <c r="A635" s="1" t="str">
        <f>IF(AND('Loan Inputs'!$B$12,629&lt;=IF('Loan Inputs'!$B$12,'Loan Inputs'!$B$7,0)*'Loan Inputs'!$B$14+0,ISNUMBER(G634),G634&gt;0),629,"")</f>
        <v/>
      </c>
      <c r="B635" s="4" t="str">
        <f>IF(A635="","",IF('Loan Inputs'!$B$14=12,DATE(YEAR('Loan Inputs'!$B$8),MONTH('Loan Inputs'!$B$8)+A635,DAY('Loan Inputs'!$B$8)),'Loan Inputs'!$B$8+A635*IF('Loan Inputs'!$B$14=26,14,7)))</f>
        <v/>
      </c>
      <c r="C635" s="2" t="str">
        <f t="shared" si="29"/>
        <v/>
      </c>
      <c r="D635" s="2" t="str">
        <f>IF(A635="","",MIN('Loan Inputs'!$B$17,C635+E635)+H635)</f>
        <v/>
      </c>
      <c r="E635" s="2" t="str">
        <f>IF(A635="","",C635*'Loan Inputs'!$B$15)</f>
        <v/>
      </c>
      <c r="F635" s="2" t="str">
        <f t="shared" si="27"/>
        <v/>
      </c>
      <c r="G635" s="2" t="str">
        <f t="shared" si="28"/>
        <v/>
      </c>
      <c r="H635" s="2" t="str">
        <f>IF(A635="","",MIN(0,MAX(0,C635+E635-'Loan Inputs'!$B$17)))</f>
        <v/>
      </c>
    </row>
    <row r="636" spans="1:8" ht="22" customHeight="1">
      <c r="A636" s="1" t="str">
        <f>IF(AND('Loan Inputs'!$B$12,630&lt;=IF('Loan Inputs'!$B$12,'Loan Inputs'!$B$7,0)*'Loan Inputs'!$B$14+0,ISNUMBER(G635),G635&gt;0),630,"")</f>
        <v/>
      </c>
      <c r="B636" s="4" t="str">
        <f>IF(A636="","",IF('Loan Inputs'!$B$14=12,DATE(YEAR('Loan Inputs'!$B$8),MONTH('Loan Inputs'!$B$8)+A636,DAY('Loan Inputs'!$B$8)),'Loan Inputs'!$B$8+A636*IF('Loan Inputs'!$B$14=26,14,7)))</f>
        <v/>
      </c>
      <c r="C636" s="2" t="str">
        <f t="shared" si="29"/>
        <v/>
      </c>
      <c r="D636" s="2" t="str">
        <f>IF(A636="","",MIN('Loan Inputs'!$B$17,C636+E636)+H636)</f>
        <v/>
      </c>
      <c r="E636" s="2" t="str">
        <f>IF(A636="","",C636*'Loan Inputs'!$B$15)</f>
        <v/>
      </c>
      <c r="F636" s="2" t="str">
        <f t="shared" si="27"/>
        <v/>
      </c>
      <c r="G636" s="2" t="str">
        <f t="shared" si="28"/>
        <v/>
      </c>
      <c r="H636" s="2" t="str">
        <f>IF(A636="","",MIN(0,MAX(0,C636+E636-'Loan Inputs'!$B$17)))</f>
        <v/>
      </c>
    </row>
    <row r="637" spans="1:8" ht="22" customHeight="1">
      <c r="A637" s="1" t="str">
        <f>IF(AND('Loan Inputs'!$B$12,631&lt;=IF('Loan Inputs'!$B$12,'Loan Inputs'!$B$7,0)*'Loan Inputs'!$B$14+0,ISNUMBER(G636),G636&gt;0),631,"")</f>
        <v/>
      </c>
      <c r="B637" s="4" t="str">
        <f>IF(A637="","",IF('Loan Inputs'!$B$14=12,DATE(YEAR('Loan Inputs'!$B$8),MONTH('Loan Inputs'!$B$8)+A637,DAY('Loan Inputs'!$B$8)),'Loan Inputs'!$B$8+A637*IF('Loan Inputs'!$B$14=26,14,7)))</f>
        <v/>
      </c>
      <c r="C637" s="2" t="str">
        <f t="shared" si="29"/>
        <v/>
      </c>
      <c r="D637" s="2" t="str">
        <f>IF(A637="","",MIN('Loan Inputs'!$B$17,C637+E637)+H637)</f>
        <v/>
      </c>
      <c r="E637" s="2" t="str">
        <f>IF(A637="","",C637*'Loan Inputs'!$B$15)</f>
        <v/>
      </c>
      <c r="F637" s="2" t="str">
        <f t="shared" si="27"/>
        <v/>
      </c>
      <c r="G637" s="2" t="str">
        <f t="shared" si="28"/>
        <v/>
      </c>
      <c r="H637" s="2" t="str">
        <f>IF(A637="","",MIN(0,MAX(0,C637+E637-'Loan Inputs'!$B$17)))</f>
        <v/>
      </c>
    </row>
    <row r="638" spans="1:8" ht="22" customHeight="1">
      <c r="A638" s="1" t="str">
        <f>IF(AND('Loan Inputs'!$B$12,632&lt;=IF('Loan Inputs'!$B$12,'Loan Inputs'!$B$7,0)*'Loan Inputs'!$B$14+0,ISNUMBER(G637),G637&gt;0),632,"")</f>
        <v/>
      </c>
      <c r="B638" s="4" t="str">
        <f>IF(A638="","",IF('Loan Inputs'!$B$14=12,DATE(YEAR('Loan Inputs'!$B$8),MONTH('Loan Inputs'!$B$8)+A638,DAY('Loan Inputs'!$B$8)),'Loan Inputs'!$B$8+A638*IF('Loan Inputs'!$B$14=26,14,7)))</f>
        <v/>
      </c>
      <c r="C638" s="2" t="str">
        <f t="shared" si="29"/>
        <v/>
      </c>
      <c r="D638" s="2" t="str">
        <f>IF(A638="","",MIN('Loan Inputs'!$B$17,C638+E638)+H638)</f>
        <v/>
      </c>
      <c r="E638" s="2" t="str">
        <f>IF(A638="","",C638*'Loan Inputs'!$B$15)</f>
        <v/>
      </c>
      <c r="F638" s="2" t="str">
        <f t="shared" si="27"/>
        <v/>
      </c>
      <c r="G638" s="2" t="str">
        <f t="shared" si="28"/>
        <v/>
      </c>
      <c r="H638" s="2" t="str">
        <f>IF(A638="","",MIN(0,MAX(0,C638+E638-'Loan Inputs'!$B$17)))</f>
        <v/>
      </c>
    </row>
    <row r="639" spans="1:8" ht="22" customHeight="1">
      <c r="A639" s="1" t="str">
        <f>IF(AND('Loan Inputs'!$B$12,633&lt;=IF('Loan Inputs'!$B$12,'Loan Inputs'!$B$7,0)*'Loan Inputs'!$B$14+0,ISNUMBER(G638),G638&gt;0),633,"")</f>
        <v/>
      </c>
      <c r="B639" s="4" t="str">
        <f>IF(A639="","",IF('Loan Inputs'!$B$14=12,DATE(YEAR('Loan Inputs'!$B$8),MONTH('Loan Inputs'!$B$8)+A639,DAY('Loan Inputs'!$B$8)),'Loan Inputs'!$B$8+A639*IF('Loan Inputs'!$B$14=26,14,7)))</f>
        <v/>
      </c>
      <c r="C639" s="2" t="str">
        <f t="shared" si="29"/>
        <v/>
      </c>
      <c r="D639" s="2" t="str">
        <f>IF(A639="","",MIN('Loan Inputs'!$B$17,C639+E639)+H639)</f>
        <v/>
      </c>
      <c r="E639" s="2" t="str">
        <f>IF(A639="","",C639*'Loan Inputs'!$B$15)</f>
        <v/>
      </c>
      <c r="F639" s="2" t="str">
        <f t="shared" si="27"/>
        <v/>
      </c>
      <c r="G639" s="2" t="str">
        <f t="shared" si="28"/>
        <v/>
      </c>
      <c r="H639" s="2" t="str">
        <f>IF(A639="","",MIN(0,MAX(0,C639+E639-'Loan Inputs'!$B$17)))</f>
        <v/>
      </c>
    </row>
    <row r="640" spans="1:8" ht="22" customHeight="1">
      <c r="A640" s="1" t="str">
        <f>IF(AND('Loan Inputs'!$B$12,634&lt;=IF('Loan Inputs'!$B$12,'Loan Inputs'!$B$7,0)*'Loan Inputs'!$B$14+0,ISNUMBER(G639),G639&gt;0),634,"")</f>
        <v/>
      </c>
      <c r="B640" s="4" t="str">
        <f>IF(A640="","",IF('Loan Inputs'!$B$14=12,DATE(YEAR('Loan Inputs'!$B$8),MONTH('Loan Inputs'!$B$8)+A640,DAY('Loan Inputs'!$B$8)),'Loan Inputs'!$B$8+A640*IF('Loan Inputs'!$B$14=26,14,7)))</f>
        <v/>
      </c>
      <c r="C640" s="2" t="str">
        <f t="shared" si="29"/>
        <v/>
      </c>
      <c r="D640" s="2" t="str">
        <f>IF(A640="","",MIN('Loan Inputs'!$B$17,C640+E640)+H640)</f>
        <v/>
      </c>
      <c r="E640" s="2" t="str">
        <f>IF(A640="","",C640*'Loan Inputs'!$B$15)</f>
        <v/>
      </c>
      <c r="F640" s="2" t="str">
        <f t="shared" si="27"/>
        <v/>
      </c>
      <c r="G640" s="2" t="str">
        <f t="shared" si="28"/>
        <v/>
      </c>
      <c r="H640" s="2" t="str">
        <f>IF(A640="","",MIN(0,MAX(0,C640+E640-'Loan Inputs'!$B$17)))</f>
        <v/>
      </c>
    </row>
    <row r="641" spans="1:8" ht="22" customHeight="1">
      <c r="A641" s="1" t="str">
        <f>IF(AND('Loan Inputs'!$B$12,635&lt;=IF('Loan Inputs'!$B$12,'Loan Inputs'!$B$7,0)*'Loan Inputs'!$B$14+0,ISNUMBER(G640),G640&gt;0),635,"")</f>
        <v/>
      </c>
      <c r="B641" s="4" t="str">
        <f>IF(A641="","",IF('Loan Inputs'!$B$14=12,DATE(YEAR('Loan Inputs'!$B$8),MONTH('Loan Inputs'!$B$8)+A641,DAY('Loan Inputs'!$B$8)),'Loan Inputs'!$B$8+A641*IF('Loan Inputs'!$B$14=26,14,7)))</f>
        <v/>
      </c>
      <c r="C641" s="2" t="str">
        <f t="shared" si="29"/>
        <v/>
      </c>
      <c r="D641" s="2" t="str">
        <f>IF(A641="","",MIN('Loan Inputs'!$B$17,C641+E641)+H641)</f>
        <v/>
      </c>
      <c r="E641" s="2" t="str">
        <f>IF(A641="","",C641*'Loan Inputs'!$B$15)</f>
        <v/>
      </c>
      <c r="F641" s="2" t="str">
        <f t="shared" si="27"/>
        <v/>
      </c>
      <c r="G641" s="2" t="str">
        <f t="shared" si="28"/>
        <v/>
      </c>
      <c r="H641" s="2" t="str">
        <f>IF(A641="","",MIN(0,MAX(0,C641+E641-'Loan Inputs'!$B$17)))</f>
        <v/>
      </c>
    </row>
    <row r="642" spans="1:8" ht="22" customHeight="1">
      <c r="A642" s="1" t="str">
        <f>IF(AND('Loan Inputs'!$B$12,636&lt;=IF('Loan Inputs'!$B$12,'Loan Inputs'!$B$7,0)*'Loan Inputs'!$B$14+0,ISNUMBER(G641),G641&gt;0),636,"")</f>
        <v/>
      </c>
      <c r="B642" s="4" t="str">
        <f>IF(A642="","",IF('Loan Inputs'!$B$14=12,DATE(YEAR('Loan Inputs'!$B$8),MONTH('Loan Inputs'!$B$8)+A642,DAY('Loan Inputs'!$B$8)),'Loan Inputs'!$B$8+A642*IF('Loan Inputs'!$B$14=26,14,7)))</f>
        <v/>
      </c>
      <c r="C642" s="2" t="str">
        <f t="shared" si="29"/>
        <v/>
      </c>
      <c r="D642" s="2" t="str">
        <f>IF(A642="","",MIN('Loan Inputs'!$B$17,C642+E642)+H642)</f>
        <v/>
      </c>
      <c r="E642" s="2" t="str">
        <f>IF(A642="","",C642*'Loan Inputs'!$B$15)</f>
        <v/>
      </c>
      <c r="F642" s="2" t="str">
        <f t="shared" si="27"/>
        <v/>
      </c>
      <c r="G642" s="2" t="str">
        <f t="shared" si="28"/>
        <v/>
      </c>
      <c r="H642" s="2" t="str">
        <f>IF(A642="","",MIN(0,MAX(0,C642+E642-'Loan Inputs'!$B$17)))</f>
        <v/>
      </c>
    </row>
    <row r="643" spans="1:8" ht="22" customHeight="1">
      <c r="A643" s="1" t="str">
        <f>IF(AND('Loan Inputs'!$B$12,637&lt;=IF('Loan Inputs'!$B$12,'Loan Inputs'!$B$7,0)*'Loan Inputs'!$B$14+0,ISNUMBER(G642),G642&gt;0),637,"")</f>
        <v/>
      </c>
      <c r="B643" s="4" t="str">
        <f>IF(A643="","",IF('Loan Inputs'!$B$14=12,DATE(YEAR('Loan Inputs'!$B$8),MONTH('Loan Inputs'!$B$8)+A643,DAY('Loan Inputs'!$B$8)),'Loan Inputs'!$B$8+A643*IF('Loan Inputs'!$B$14=26,14,7)))</f>
        <v/>
      </c>
      <c r="C643" s="2" t="str">
        <f t="shared" si="29"/>
        <v/>
      </c>
      <c r="D643" s="2" t="str">
        <f>IF(A643="","",MIN('Loan Inputs'!$B$17,C643+E643)+H643)</f>
        <v/>
      </c>
      <c r="E643" s="2" t="str">
        <f>IF(A643="","",C643*'Loan Inputs'!$B$15)</f>
        <v/>
      </c>
      <c r="F643" s="2" t="str">
        <f t="shared" si="27"/>
        <v/>
      </c>
      <c r="G643" s="2" t="str">
        <f t="shared" si="28"/>
        <v/>
      </c>
      <c r="H643" s="2" t="str">
        <f>IF(A643="","",MIN(0,MAX(0,C643+E643-'Loan Inputs'!$B$17)))</f>
        <v/>
      </c>
    </row>
    <row r="644" spans="1:8" ht="22" customHeight="1">
      <c r="A644" s="1" t="str">
        <f>IF(AND('Loan Inputs'!$B$12,638&lt;=IF('Loan Inputs'!$B$12,'Loan Inputs'!$B$7,0)*'Loan Inputs'!$B$14+0,ISNUMBER(G643),G643&gt;0),638,"")</f>
        <v/>
      </c>
      <c r="B644" s="4" t="str">
        <f>IF(A644="","",IF('Loan Inputs'!$B$14=12,DATE(YEAR('Loan Inputs'!$B$8),MONTH('Loan Inputs'!$B$8)+A644,DAY('Loan Inputs'!$B$8)),'Loan Inputs'!$B$8+A644*IF('Loan Inputs'!$B$14=26,14,7)))</f>
        <v/>
      </c>
      <c r="C644" s="2" t="str">
        <f t="shared" si="29"/>
        <v/>
      </c>
      <c r="D644" s="2" t="str">
        <f>IF(A644="","",MIN('Loan Inputs'!$B$17,C644+E644)+H644)</f>
        <v/>
      </c>
      <c r="E644" s="2" t="str">
        <f>IF(A644="","",C644*'Loan Inputs'!$B$15)</f>
        <v/>
      </c>
      <c r="F644" s="2" t="str">
        <f t="shared" si="27"/>
        <v/>
      </c>
      <c r="G644" s="2" t="str">
        <f t="shared" si="28"/>
        <v/>
      </c>
      <c r="H644" s="2" t="str">
        <f>IF(A644="","",MIN(0,MAX(0,C644+E644-'Loan Inputs'!$B$17)))</f>
        <v/>
      </c>
    </row>
    <row r="645" spans="1:8" ht="22" customHeight="1">
      <c r="A645" s="1" t="str">
        <f>IF(AND('Loan Inputs'!$B$12,639&lt;=IF('Loan Inputs'!$B$12,'Loan Inputs'!$B$7,0)*'Loan Inputs'!$B$14+0,ISNUMBER(G644),G644&gt;0),639,"")</f>
        <v/>
      </c>
      <c r="B645" s="4" t="str">
        <f>IF(A645="","",IF('Loan Inputs'!$B$14=12,DATE(YEAR('Loan Inputs'!$B$8),MONTH('Loan Inputs'!$B$8)+A645,DAY('Loan Inputs'!$B$8)),'Loan Inputs'!$B$8+A645*IF('Loan Inputs'!$B$14=26,14,7)))</f>
        <v/>
      </c>
      <c r="C645" s="2" t="str">
        <f t="shared" si="29"/>
        <v/>
      </c>
      <c r="D645" s="2" t="str">
        <f>IF(A645="","",MIN('Loan Inputs'!$B$17,C645+E645)+H645)</f>
        <v/>
      </c>
      <c r="E645" s="2" t="str">
        <f>IF(A645="","",C645*'Loan Inputs'!$B$15)</f>
        <v/>
      </c>
      <c r="F645" s="2" t="str">
        <f t="shared" si="27"/>
        <v/>
      </c>
      <c r="G645" s="2" t="str">
        <f t="shared" si="28"/>
        <v/>
      </c>
      <c r="H645" s="2" t="str">
        <f>IF(A645="","",MIN(0,MAX(0,C645+E645-'Loan Inputs'!$B$17)))</f>
        <v/>
      </c>
    </row>
    <row r="646" spans="1:8" ht="22" customHeight="1">
      <c r="A646" s="1" t="str">
        <f>IF(AND('Loan Inputs'!$B$12,640&lt;=IF('Loan Inputs'!$B$12,'Loan Inputs'!$B$7,0)*'Loan Inputs'!$B$14+0,ISNUMBER(G645),G645&gt;0),640,"")</f>
        <v/>
      </c>
      <c r="B646" s="4" t="str">
        <f>IF(A646="","",IF('Loan Inputs'!$B$14=12,DATE(YEAR('Loan Inputs'!$B$8),MONTH('Loan Inputs'!$B$8)+A646,DAY('Loan Inputs'!$B$8)),'Loan Inputs'!$B$8+A646*IF('Loan Inputs'!$B$14=26,14,7)))</f>
        <v/>
      </c>
      <c r="C646" s="2" t="str">
        <f t="shared" si="29"/>
        <v/>
      </c>
      <c r="D646" s="2" t="str">
        <f>IF(A646="","",MIN('Loan Inputs'!$B$17,C646+E646)+H646)</f>
        <v/>
      </c>
      <c r="E646" s="2" t="str">
        <f>IF(A646="","",C646*'Loan Inputs'!$B$15)</f>
        <v/>
      </c>
      <c r="F646" s="2" t="str">
        <f t="shared" si="27"/>
        <v/>
      </c>
      <c r="G646" s="2" t="str">
        <f t="shared" si="28"/>
        <v/>
      </c>
      <c r="H646" s="2" t="str">
        <f>IF(A646="","",MIN(0,MAX(0,C646+E646-'Loan Inputs'!$B$17)))</f>
        <v/>
      </c>
    </row>
    <row r="647" spans="1:8" ht="22" customHeight="1">
      <c r="A647" s="1" t="str">
        <f>IF(AND('Loan Inputs'!$B$12,641&lt;=IF('Loan Inputs'!$B$12,'Loan Inputs'!$B$7,0)*'Loan Inputs'!$B$14+0,ISNUMBER(G646),G646&gt;0),641,"")</f>
        <v/>
      </c>
      <c r="B647" s="4" t="str">
        <f>IF(A647="","",IF('Loan Inputs'!$B$14=12,DATE(YEAR('Loan Inputs'!$B$8),MONTH('Loan Inputs'!$B$8)+A647,DAY('Loan Inputs'!$B$8)),'Loan Inputs'!$B$8+A647*IF('Loan Inputs'!$B$14=26,14,7)))</f>
        <v/>
      </c>
      <c r="C647" s="2" t="str">
        <f t="shared" si="29"/>
        <v/>
      </c>
      <c r="D647" s="2" t="str">
        <f>IF(A647="","",MIN('Loan Inputs'!$B$17,C647+E647)+H647)</f>
        <v/>
      </c>
      <c r="E647" s="2" t="str">
        <f>IF(A647="","",C647*'Loan Inputs'!$B$15)</f>
        <v/>
      </c>
      <c r="F647" s="2" t="str">
        <f t="shared" ref="F647:F710" si="30">IF(A647="","",MIN(C647,D647-E647))</f>
        <v/>
      </c>
      <c r="G647" s="2" t="str">
        <f t="shared" ref="G647:G710" si="31">IF(A647="","",IF(C647-F647&lt;0.01,0,MAX(0,C647-F647)))</f>
        <v/>
      </c>
      <c r="H647" s="2" t="str">
        <f>IF(A647="","",MIN(0,MAX(0,C647+E647-'Loan Inputs'!$B$17)))</f>
        <v/>
      </c>
    </row>
    <row r="648" spans="1:8" ht="22" customHeight="1">
      <c r="A648" s="1" t="str">
        <f>IF(AND('Loan Inputs'!$B$12,642&lt;=IF('Loan Inputs'!$B$12,'Loan Inputs'!$B$7,0)*'Loan Inputs'!$B$14+0,ISNUMBER(G647),G647&gt;0),642,"")</f>
        <v/>
      </c>
      <c r="B648" s="4" t="str">
        <f>IF(A648="","",IF('Loan Inputs'!$B$14=12,DATE(YEAR('Loan Inputs'!$B$8),MONTH('Loan Inputs'!$B$8)+A648,DAY('Loan Inputs'!$B$8)),'Loan Inputs'!$B$8+A648*IF('Loan Inputs'!$B$14=26,14,7)))</f>
        <v/>
      </c>
      <c r="C648" s="2" t="str">
        <f t="shared" ref="C648:C711" si="32">IF(A648="","",G647)</f>
        <v/>
      </c>
      <c r="D648" s="2" t="str">
        <f>IF(A648="","",MIN('Loan Inputs'!$B$17,C648+E648)+H648)</f>
        <v/>
      </c>
      <c r="E648" s="2" t="str">
        <f>IF(A648="","",C648*'Loan Inputs'!$B$15)</f>
        <v/>
      </c>
      <c r="F648" s="2" t="str">
        <f t="shared" si="30"/>
        <v/>
      </c>
      <c r="G648" s="2" t="str">
        <f t="shared" si="31"/>
        <v/>
      </c>
      <c r="H648" s="2" t="str">
        <f>IF(A648="","",MIN(0,MAX(0,C648+E648-'Loan Inputs'!$B$17)))</f>
        <v/>
      </c>
    </row>
    <row r="649" spans="1:8" ht="22" customHeight="1">
      <c r="A649" s="1" t="str">
        <f>IF(AND('Loan Inputs'!$B$12,643&lt;=IF('Loan Inputs'!$B$12,'Loan Inputs'!$B$7,0)*'Loan Inputs'!$B$14+0,ISNUMBER(G648),G648&gt;0),643,"")</f>
        <v/>
      </c>
      <c r="B649" s="4" t="str">
        <f>IF(A649="","",IF('Loan Inputs'!$B$14=12,DATE(YEAR('Loan Inputs'!$B$8),MONTH('Loan Inputs'!$B$8)+A649,DAY('Loan Inputs'!$B$8)),'Loan Inputs'!$B$8+A649*IF('Loan Inputs'!$B$14=26,14,7)))</f>
        <v/>
      </c>
      <c r="C649" s="2" t="str">
        <f t="shared" si="32"/>
        <v/>
      </c>
      <c r="D649" s="2" t="str">
        <f>IF(A649="","",MIN('Loan Inputs'!$B$17,C649+E649)+H649)</f>
        <v/>
      </c>
      <c r="E649" s="2" t="str">
        <f>IF(A649="","",C649*'Loan Inputs'!$B$15)</f>
        <v/>
      </c>
      <c r="F649" s="2" t="str">
        <f t="shared" si="30"/>
        <v/>
      </c>
      <c r="G649" s="2" t="str">
        <f t="shared" si="31"/>
        <v/>
      </c>
      <c r="H649" s="2" t="str">
        <f>IF(A649="","",MIN(0,MAX(0,C649+E649-'Loan Inputs'!$B$17)))</f>
        <v/>
      </c>
    </row>
    <row r="650" spans="1:8" ht="22" customHeight="1">
      <c r="A650" s="1" t="str">
        <f>IF(AND('Loan Inputs'!$B$12,644&lt;=IF('Loan Inputs'!$B$12,'Loan Inputs'!$B$7,0)*'Loan Inputs'!$B$14+0,ISNUMBER(G649),G649&gt;0),644,"")</f>
        <v/>
      </c>
      <c r="B650" s="4" t="str">
        <f>IF(A650="","",IF('Loan Inputs'!$B$14=12,DATE(YEAR('Loan Inputs'!$B$8),MONTH('Loan Inputs'!$B$8)+A650,DAY('Loan Inputs'!$B$8)),'Loan Inputs'!$B$8+A650*IF('Loan Inputs'!$B$14=26,14,7)))</f>
        <v/>
      </c>
      <c r="C650" s="2" t="str">
        <f t="shared" si="32"/>
        <v/>
      </c>
      <c r="D650" s="2" t="str">
        <f>IF(A650="","",MIN('Loan Inputs'!$B$17,C650+E650)+H650)</f>
        <v/>
      </c>
      <c r="E650" s="2" t="str">
        <f>IF(A650="","",C650*'Loan Inputs'!$B$15)</f>
        <v/>
      </c>
      <c r="F650" s="2" t="str">
        <f t="shared" si="30"/>
        <v/>
      </c>
      <c r="G650" s="2" t="str">
        <f t="shared" si="31"/>
        <v/>
      </c>
      <c r="H650" s="2" t="str">
        <f>IF(A650="","",MIN(0,MAX(0,C650+E650-'Loan Inputs'!$B$17)))</f>
        <v/>
      </c>
    </row>
    <row r="651" spans="1:8" ht="22" customHeight="1">
      <c r="A651" s="1" t="str">
        <f>IF(AND('Loan Inputs'!$B$12,645&lt;=IF('Loan Inputs'!$B$12,'Loan Inputs'!$B$7,0)*'Loan Inputs'!$B$14+0,ISNUMBER(G650),G650&gt;0),645,"")</f>
        <v/>
      </c>
      <c r="B651" s="4" t="str">
        <f>IF(A651="","",IF('Loan Inputs'!$B$14=12,DATE(YEAR('Loan Inputs'!$B$8),MONTH('Loan Inputs'!$B$8)+A651,DAY('Loan Inputs'!$B$8)),'Loan Inputs'!$B$8+A651*IF('Loan Inputs'!$B$14=26,14,7)))</f>
        <v/>
      </c>
      <c r="C651" s="2" t="str">
        <f t="shared" si="32"/>
        <v/>
      </c>
      <c r="D651" s="2" t="str">
        <f>IF(A651="","",MIN('Loan Inputs'!$B$17,C651+E651)+H651)</f>
        <v/>
      </c>
      <c r="E651" s="2" t="str">
        <f>IF(A651="","",C651*'Loan Inputs'!$B$15)</f>
        <v/>
      </c>
      <c r="F651" s="2" t="str">
        <f t="shared" si="30"/>
        <v/>
      </c>
      <c r="G651" s="2" t="str">
        <f t="shared" si="31"/>
        <v/>
      </c>
      <c r="H651" s="2" t="str">
        <f>IF(A651="","",MIN(0,MAX(0,C651+E651-'Loan Inputs'!$B$17)))</f>
        <v/>
      </c>
    </row>
    <row r="652" spans="1:8" ht="22" customHeight="1">
      <c r="A652" s="1" t="str">
        <f>IF(AND('Loan Inputs'!$B$12,646&lt;=IF('Loan Inputs'!$B$12,'Loan Inputs'!$B$7,0)*'Loan Inputs'!$B$14+0,ISNUMBER(G651),G651&gt;0),646,"")</f>
        <v/>
      </c>
      <c r="B652" s="4" t="str">
        <f>IF(A652="","",IF('Loan Inputs'!$B$14=12,DATE(YEAR('Loan Inputs'!$B$8),MONTH('Loan Inputs'!$B$8)+A652,DAY('Loan Inputs'!$B$8)),'Loan Inputs'!$B$8+A652*IF('Loan Inputs'!$B$14=26,14,7)))</f>
        <v/>
      </c>
      <c r="C652" s="2" t="str">
        <f t="shared" si="32"/>
        <v/>
      </c>
      <c r="D652" s="2" t="str">
        <f>IF(A652="","",MIN('Loan Inputs'!$B$17,C652+E652)+H652)</f>
        <v/>
      </c>
      <c r="E652" s="2" t="str">
        <f>IF(A652="","",C652*'Loan Inputs'!$B$15)</f>
        <v/>
      </c>
      <c r="F652" s="2" t="str">
        <f t="shared" si="30"/>
        <v/>
      </c>
      <c r="G652" s="2" t="str">
        <f t="shared" si="31"/>
        <v/>
      </c>
      <c r="H652" s="2" t="str">
        <f>IF(A652="","",MIN(0,MAX(0,C652+E652-'Loan Inputs'!$B$17)))</f>
        <v/>
      </c>
    </row>
    <row r="653" spans="1:8" ht="22" customHeight="1">
      <c r="A653" s="1" t="str">
        <f>IF(AND('Loan Inputs'!$B$12,647&lt;=IF('Loan Inputs'!$B$12,'Loan Inputs'!$B$7,0)*'Loan Inputs'!$B$14+0,ISNUMBER(G652),G652&gt;0),647,"")</f>
        <v/>
      </c>
      <c r="B653" s="4" t="str">
        <f>IF(A653="","",IF('Loan Inputs'!$B$14=12,DATE(YEAR('Loan Inputs'!$B$8),MONTH('Loan Inputs'!$B$8)+A653,DAY('Loan Inputs'!$B$8)),'Loan Inputs'!$B$8+A653*IF('Loan Inputs'!$B$14=26,14,7)))</f>
        <v/>
      </c>
      <c r="C653" s="2" t="str">
        <f t="shared" si="32"/>
        <v/>
      </c>
      <c r="D653" s="2" t="str">
        <f>IF(A653="","",MIN('Loan Inputs'!$B$17,C653+E653)+H653)</f>
        <v/>
      </c>
      <c r="E653" s="2" t="str">
        <f>IF(A653="","",C653*'Loan Inputs'!$B$15)</f>
        <v/>
      </c>
      <c r="F653" s="2" t="str">
        <f t="shared" si="30"/>
        <v/>
      </c>
      <c r="G653" s="2" t="str">
        <f t="shared" si="31"/>
        <v/>
      </c>
      <c r="H653" s="2" t="str">
        <f>IF(A653="","",MIN(0,MAX(0,C653+E653-'Loan Inputs'!$B$17)))</f>
        <v/>
      </c>
    </row>
    <row r="654" spans="1:8" ht="22" customHeight="1">
      <c r="A654" s="1" t="str">
        <f>IF(AND('Loan Inputs'!$B$12,648&lt;=IF('Loan Inputs'!$B$12,'Loan Inputs'!$B$7,0)*'Loan Inputs'!$B$14+0,ISNUMBER(G653),G653&gt;0),648,"")</f>
        <v/>
      </c>
      <c r="B654" s="4" t="str">
        <f>IF(A654="","",IF('Loan Inputs'!$B$14=12,DATE(YEAR('Loan Inputs'!$B$8),MONTH('Loan Inputs'!$B$8)+A654,DAY('Loan Inputs'!$B$8)),'Loan Inputs'!$B$8+A654*IF('Loan Inputs'!$B$14=26,14,7)))</f>
        <v/>
      </c>
      <c r="C654" s="2" t="str">
        <f t="shared" si="32"/>
        <v/>
      </c>
      <c r="D654" s="2" t="str">
        <f>IF(A654="","",MIN('Loan Inputs'!$B$17,C654+E654)+H654)</f>
        <v/>
      </c>
      <c r="E654" s="2" t="str">
        <f>IF(A654="","",C654*'Loan Inputs'!$B$15)</f>
        <v/>
      </c>
      <c r="F654" s="2" t="str">
        <f t="shared" si="30"/>
        <v/>
      </c>
      <c r="G654" s="2" t="str">
        <f t="shared" si="31"/>
        <v/>
      </c>
      <c r="H654" s="2" t="str">
        <f>IF(A654="","",MIN(0,MAX(0,C654+E654-'Loan Inputs'!$B$17)))</f>
        <v/>
      </c>
    </row>
    <row r="655" spans="1:8" ht="22" customHeight="1">
      <c r="A655" s="1" t="str">
        <f>IF(AND('Loan Inputs'!$B$12,649&lt;=IF('Loan Inputs'!$B$12,'Loan Inputs'!$B$7,0)*'Loan Inputs'!$B$14+0,ISNUMBER(G654),G654&gt;0),649,"")</f>
        <v/>
      </c>
      <c r="B655" s="4" t="str">
        <f>IF(A655="","",IF('Loan Inputs'!$B$14=12,DATE(YEAR('Loan Inputs'!$B$8),MONTH('Loan Inputs'!$B$8)+A655,DAY('Loan Inputs'!$B$8)),'Loan Inputs'!$B$8+A655*IF('Loan Inputs'!$B$14=26,14,7)))</f>
        <v/>
      </c>
      <c r="C655" s="2" t="str">
        <f t="shared" si="32"/>
        <v/>
      </c>
      <c r="D655" s="2" t="str">
        <f>IF(A655="","",MIN('Loan Inputs'!$B$17,C655+E655)+H655)</f>
        <v/>
      </c>
      <c r="E655" s="2" t="str">
        <f>IF(A655="","",C655*'Loan Inputs'!$B$15)</f>
        <v/>
      </c>
      <c r="F655" s="2" t="str">
        <f t="shared" si="30"/>
        <v/>
      </c>
      <c r="G655" s="2" t="str">
        <f t="shared" si="31"/>
        <v/>
      </c>
      <c r="H655" s="2" t="str">
        <f>IF(A655="","",MIN(0,MAX(0,C655+E655-'Loan Inputs'!$B$17)))</f>
        <v/>
      </c>
    </row>
    <row r="656" spans="1:8" ht="22" customHeight="1">
      <c r="A656" s="1" t="str">
        <f>IF(AND('Loan Inputs'!$B$12,650&lt;=IF('Loan Inputs'!$B$12,'Loan Inputs'!$B$7,0)*'Loan Inputs'!$B$14+0,ISNUMBER(G655),G655&gt;0),650,"")</f>
        <v/>
      </c>
      <c r="B656" s="4" t="str">
        <f>IF(A656="","",IF('Loan Inputs'!$B$14=12,DATE(YEAR('Loan Inputs'!$B$8),MONTH('Loan Inputs'!$B$8)+A656,DAY('Loan Inputs'!$B$8)),'Loan Inputs'!$B$8+A656*IF('Loan Inputs'!$B$14=26,14,7)))</f>
        <v/>
      </c>
      <c r="C656" s="2" t="str">
        <f t="shared" si="32"/>
        <v/>
      </c>
      <c r="D656" s="2" t="str">
        <f>IF(A656="","",MIN('Loan Inputs'!$B$17,C656+E656)+H656)</f>
        <v/>
      </c>
      <c r="E656" s="2" t="str">
        <f>IF(A656="","",C656*'Loan Inputs'!$B$15)</f>
        <v/>
      </c>
      <c r="F656" s="2" t="str">
        <f t="shared" si="30"/>
        <v/>
      </c>
      <c r="G656" s="2" t="str">
        <f t="shared" si="31"/>
        <v/>
      </c>
      <c r="H656" s="2" t="str">
        <f>IF(A656="","",MIN(0,MAX(0,C656+E656-'Loan Inputs'!$B$17)))</f>
        <v/>
      </c>
    </row>
    <row r="657" spans="1:8" ht="22" customHeight="1">
      <c r="A657" s="1" t="str">
        <f>IF(AND('Loan Inputs'!$B$12,651&lt;=IF('Loan Inputs'!$B$12,'Loan Inputs'!$B$7,0)*'Loan Inputs'!$B$14+0,ISNUMBER(G656),G656&gt;0),651,"")</f>
        <v/>
      </c>
      <c r="B657" s="4" t="str">
        <f>IF(A657="","",IF('Loan Inputs'!$B$14=12,DATE(YEAR('Loan Inputs'!$B$8),MONTH('Loan Inputs'!$B$8)+A657,DAY('Loan Inputs'!$B$8)),'Loan Inputs'!$B$8+A657*IF('Loan Inputs'!$B$14=26,14,7)))</f>
        <v/>
      </c>
      <c r="C657" s="2" t="str">
        <f t="shared" si="32"/>
        <v/>
      </c>
      <c r="D657" s="2" t="str">
        <f>IF(A657="","",MIN('Loan Inputs'!$B$17,C657+E657)+H657)</f>
        <v/>
      </c>
      <c r="E657" s="2" t="str">
        <f>IF(A657="","",C657*'Loan Inputs'!$B$15)</f>
        <v/>
      </c>
      <c r="F657" s="2" t="str">
        <f t="shared" si="30"/>
        <v/>
      </c>
      <c r="G657" s="2" t="str">
        <f t="shared" si="31"/>
        <v/>
      </c>
      <c r="H657" s="2" t="str">
        <f>IF(A657="","",MIN(0,MAX(0,C657+E657-'Loan Inputs'!$B$17)))</f>
        <v/>
      </c>
    </row>
    <row r="658" spans="1:8" ht="22" customHeight="1">
      <c r="A658" s="1" t="str">
        <f>IF(AND('Loan Inputs'!$B$12,652&lt;=IF('Loan Inputs'!$B$12,'Loan Inputs'!$B$7,0)*'Loan Inputs'!$B$14+0,ISNUMBER(G657),G657&gt;0),652,"")</f>
        <v/>
      </c>
      <c r="B658" s="4" t="str">
        <f>IF(A658="","",IF('Loan Inputs'!$B$14=12,DATE(YEAR('Loan Inputs'!$B$8),MONTH('Loan Inputs'!$B$8)+A658,DAY('Loan Inputs'!$B$8)),'Loan Inputs'!$B$8+A658*IF('Loan Inputs'!$B$14=26,14,7)))</f>
        <v/>
      </c>
      <c r="C658" s="2" t="str">
        <f t="shared" si="32"/>
        <v/>
      </c>
      <c r="D658" s="2" t="str">
        <f>IF(A658="","",MIN('Loan Inputs'!$B$17,C658+E658)+H658)</f>
        <v/>
      </c>
      <c r="E658" s="2" t="str">
        <f>IF(A658="","",C658*'Loan Inputs'!$B$15)</f>
        <v/>
      </c>
      <c r="F658" s="2" t="str">
        <f t="shared" si="30"/>
        <v/>
      </c>
      <c r="G658" s="2" t="str">
        <f t="shared" si="31"/>
        <v/>
      </c>
      <c r="H658" s="2" t="str">
        <f>IF(A658="","",MIN(0,MAX(0,C658+E658-'Loan Inputs'!$B$17)))</f>
        <v/>
      </c>
    </row>
    <row r="659" spans="1:8" ht="22" customHeight="1">
      <c r="A659" s="1" t="str">
        <f>IF(AND('Loan Inputs'!$B$12,653&lt;=IF('Loan Inputs'!$B$12,'Loan Inputs'!$B$7,0)*'Loan Inputs'!$B$14+0,ISNUMBER(G658),G658&gt;0),653,"")</f>
        <v/>
      </c>
      <c r="B659" s="4" t="str">
        <f>IF(A659="","",IF('Loan Inputs'!$B$14=12,DATE(YEAR('Loan Inputs'!$B$8),MONTH('Loan Inputs'!$B$8)+A659,DAY('Loan Inputs'!$B$8)),'Loan Inputs'!$B$8+A659*IF('Loan Inputs'!$B$14=26,14,7)))</f>
        <v/>
      </c>
      <c r="C659" s="2" t="str">
        <f t="shared" si="32"/>
        <v/>
      </c>
      <c r="D659" s="2" t="str">
        <f>IF(A659="","",MIN('Loan Inputs'!$B$17,C659+E659)+H659)</f>
        <v/>
      </c>
      <c r="E659" s="2" t="str">
        <f>IF(A659="","",C659*'Loan Inputs'!$B$15)</f>
        <v/>
      </c>
      <c r="F659" s="2" t="str">
        <f t="shared" si="30"/>
        <v/>
      </c>
      <c r="G659" s="2" t="str">
        <f t="shared" si="31"/>
        <v/>
      </c>
      <c r="H659" s="2" t="str">
        <f>IF(A659="","",MIN(0,MAX(0,C659+E659-'Loan Inputs'!$B$17)))</f>
        <v/>
      </c>
    </row>
    <row r="660" spans="1:8" ht="22" customHeight="1">
      <c r="A660" s="1" t="str">
        <f>IF(AND('Loan Inputs'!$B$12,654&lt;=IF('Loan Inputs'!$B$12,'Loan Inputs'!$B$7,0)*'Loan Inputs'!$B$14+0,ISNUMBER(G659),G659&gt;0),654,"")</f>
        <v/>
      </c>
      <c r="B660" s="4" t="str">
        <f>IF(A660="","",IF('Loan Inputs'!$B$14=12,DATE(YEAR('Loan Inputs'!$B$8),MONTH('Loan Inputs'!$B$8)+A660,DAY('Loan Inputs'!$B$8)),'Loan Inputs'!$B$8+A660*IF('Loan Inputs'!$B$14=26,14,7)))</f>
        <v/>
      </c>
      <c r="C660" s="2" t="str">
        <f t="shared" si="32"/>
        <v/>
      </c>
      <c r="D660" s="2" t="str">
        <f>IF(A660="","",MIN('Loan Inputs'!$B$17,C660+E660)+H660)</f>
        <v/>
      </c>
      <c r="E660" s="2" t="str">
        <f>IF(A660="","",C660*'Loan Inputs'!$B$15)</f>
        <v/>
      </c>
      <c r="F660" s="2" t="str">
        <f t="shared" si="30"/>
        <v/>
      </c>
      <c r="G660" s="2" t="str">
        <f t="shared" si="31"/>
        <v/>
      </c>
      <c r="H660" s="2" t="str">
        <f>IF(A660="","",MIN(0,MAX(0,C660+E660-'Loan Inputs'!$B$17)))</f>
        <v/>
      </c>
    </row>
    <row r="661" spans="1:8" ht="22" customHeight="1">
      <c r="A661" s="1" t="str">
        <f>IF(AND('Loan Inputs'!$B$12,655&lt;=IF('Loan Inputs'!$B$12,'Loan Inputs'!$B$7,0)*'Loan Inputs'!$B$14+0,ISNUMBER(G660),G660&gt;0),655,"")</f>
        <v/>
      </c>
      <c r="B661" s="4" t="str">
        <f>IF(A661="","",IF('Loan Inputs'!$B$14=12,DATE(YEAR('Loan Inputs'!$B$8),MONTH('Loan Inputs'!$B$8)+A661,DAY('Loan Inputs'!$B$8)),'Loan Inputs'!$B$8+A661*IF('Loan Inputs'!$B$14=26,14,7)))</f>
        <v/>
      </c>
      <c r="C661" s="2" t="str">
        <f t="shared" si="32"/>
        <v/>
      </c>
      <c r="D661" s="2" t="str">
        <f>IF(A661="","",MIN('Loan Inputs'!$B$17,C661+E661)+H661)</f>
        <v/>
      </c>
      <c r="E661" s="2" t="str">
        <f>IF(A661="","",C661*'Loan Inputs'!$B$15)</f>
        <v/>
      </c>
      <c r="F661" s="2" t="str">
        <f t="shared" si="30"/>
        <v/>
      </c>
      <c r="G661" s="2" t="str">
        <f t="shared" si="31"/>
        <v/>
      </c>
      <c r="H661" s="2" t="str">
        <f>IF(A661="","",MIN(0,MAX(0,C661+E661-'Loan Inputs'!$B$17)))</f>
        <v/>
      </c>
    </row>
    <row r="662" spans="1:8" ht="22" customHeight="1">
      <c r="A662" s="1" t="str">
        <f>IF(AND('Loan Inputs'!$B$12,656&lt;=IF('Loan Inputs'!$B$12,'Loan Inputs'!$B$7,0)*'Loan Inputs'!$B$14+0,ISNUMBER(G661),G661&gt;0),656,"")</f>
        <v/>
      </c>
      <c r="B662" s="4" t="str">
        <f>IF(A662="","",IF('Loan Inputs'!$B$14=12,DATE(YEAR('Loan Inputs'!$B$8),MONTH('Loan Inputs'!$B$8)+A662,DAY('Loan Inputs'!$B$8)),'Loan Inputs'!$B$8+A662*IF('Loan Inputs'!$B$14=26,14,7)))</f>
        <v/>
      </c>
      <c r="C662" s="2" t="str">
        <f t="shared" si="32"/>
        <v/>
      </c>
      <c r="D662" s="2" t="str">
        <f>IF(A662="","",MIN('Loan Inputs'!$B$17,C662+E662)+H662)</f>
        <v/>
      </c>
      <c r="E662" s="2" t="str">
        <f>IF(A662="","",C662*'Loan Inputs'!$B$15)</f>
        <v/>
      </c>
      <c r="F662" s="2" t="str">
        <f t="shared" si="30"/>
        <v/>
      </c>
      <c r="G662" s="2" t="str">
        <f t="shared" si="31"/>
        <v/>
      </c>
      <c r="H662" s="2" t="str">
        <f>IF(A662="","",MIN(0,MAX(0,C662+E662-'Loan Inputs'!$B$17)))</f>
        <v/>
      </c>
    </row>
    <row r="663" spans="1:8" ht="22" customHeight="1">
      <c r="A663" s="1" t="str">
        <f>IF(AND('Loan Inputs'!$B$12,657&lt;=IF('Loan Inputs'!$B$12,'Loan Inputs'!$B$7,0)*'Loan Inputs'!$B$14+0,ISNUMBER(G662),G662&gt;0),657,"")</f>
        <v/>
      </c>
      <c r="B663" s="4" t="str">
        <f>IF(A663="","",IF('Loan Inputs'!$B$14=12,DATE(YEAR('Loan Inputs'!$B$8),MONTH('Loan Inputs'!$B$8)+A663,DAY('Loan Inputs'!$B$8)),'Loan Inputs'!$B$8+A663*IF('Loan Inputs'!$B$14=26,14,7)))</f>
        <v/>
      </c>
      <c r="C663" s="2" t="str">
        <f t="shared" si="32"/>
        <v/>
      </c>
      <c r="D663" s="2" t="str">
        <f>IF(A663="","",MIN('Loan Inputs'!$B$17,C663+E663)+H663)</f>
        <v/>
      </c>
      <c r="E663" s="2" t="str">
        <f>IF(A663="","",C663*'Loan Inputs'!$B$15)</f>
        <v/>
      </c>
      <c r="F663" s="2" t="str">
        <f t="shared" si="30"/>
        <v/>
      </c>
      <c r="G663" s="2" t="str">
        <f t="shared" si="31"/>
        <v/>
      </c>
      <c r="H663" s="2" t="str">
        <f>IF(A663="","",MIN(0,MAX(0,C663+E663-'Loan Inputs'!$B$17)))</f>
        <v/>
      </c>
    </row>
    <row r="664" spans="1:8" ht="22" customHeight="1">
      <c r="A664" s="1" t="str">
        <f>IF(AND('Loan Inputs'!$B$12,658&lt;=IF('Loan Inputs'!$B$12,'Loan Inputs'!$B$7,0)*'Loan Inputs'!$B$14+0,ISNUMBER(G663),G663&gt;0),658,"")</f>
        <v/>
      </c>
      <c r="B664" s="4" t="str">
        <f>IF(A664="","",IF('Loan Inputs'!$B$14=12,DATE(YEAR('Loan Inputs'!$B$8),MONTH('Loan Inputs'!$B$8)+A664,DAY('Loan Inputs'!$B$8)),'Loan Inputs'!$B$8+A664*IF('Loan Inputs'!$B$14=26,14,7)))</f>
        <v/>
      </c>
      <c r="C664" s="2" t="str">
        <f t="shared" si="32"/>
        <v/>
      </c>
      <c r="D664" s="2" t="str">
        <f>IF(A664="","",MIN('Loan Inputs'!$B$17,C664+E664)+H664)</f>
        <v/>
      </c>
      <c r="E664" s="2" t="str">
        <f>IF(A664="","",C664*'Loan Inputs'!$B$15)</f>
        <v/>
      </c>
      <c r="F664" s="2" t="str">
        <f t="shared" si="30"/>
        <v/>
      </c>
      <c r="G664" s="2" t="str">
        <f t="shared" si="31"/>
        <v/>
      </c>
      <c r="H664" s="2" t="str">
        <f>IF(A664="","",MIN(0,MAX(0,C664+E664-'Loan Inputs'!$B$17)))</f>
        <v/>
      </c>
    </row>
    <row r="665" spans="1:8" ht="22" customHeight="1">
      <c r="A665" s="1" t="str">
        <f>IF(AND('Loan Inputs'!$B$12,659&lt;=IF('Loan Inputs'!$B$12,'Loan Inputs'!$B$7,0)*'Loan Inputs'!$B$14+0,ISNUMBER(G664),G664&gt;0),659,"")</f>
        <v/>
      </c>
      <c r="B665" s="4" t="str">
        <f>IF(A665="","",IF('Loan Inputs'!$B$14=12,DATE(YEAR('Loan Inputs'!$B$8),MONTH('Loan Inputs'!$B$8)+A665,DAY('Loan Inputs'!$B$8)),'Loan Inputs'!$B$8+A665*IF('Loan Inputs'!$B$14=26,14,7)))</f>
        <v/>
      </c>
      <c r="C665" s="2" t="str">
        <f t="shared" si="32"/>
        <v/>
      </c>
      <c r="D665" s="2" t="str">
        <f>IF(A665="","",MIN('Loan Inputs'!$B$17,C665+E665)+H665)</f>
        <v/>
      </c>
      <c r="E665" s="2" t="str">
        <f>IF(A665="","",C665*'Loan Inputs'!$B$15)</f>
        <v/>
      </c>
      <c r="F665" s="2" t="str">
        <f t="shared" si="30"/>
        <v/>
      </c>
      <c r="G665" s="2" t="str">
        <f t="shared" si="31"/>
        <v/>
      </c>
      <c r="H665" s="2" t="str">
        <f>IF(A665="","",MIN(0,MAX(0,C665+E665-'Loan Inputs'!$B$17)))</f>
        <v/>
      </c>
    </row>
    <row r="666" spans="1:8" ht="22" customHeight="1">
      <c r="A666" s="1" t="str">
        <f>IF(AND('Loan Inputs'!$B$12,660&lt;=IF('Loan Inputs'!$B$12,'Loan Inputs'!$B$7,0)*'Loan Inputs'!$B$14+0,ISNUMBER(G665),G665&gt;0),660,"")</f>
        <v/>
      </c>
      <c r="B666" s="4" t="str">
        <f>IF(A666="","",IF('Loan Inputs'!$B$14=12,DATE(YEAR('Loan Inputs'!$B$8),MONTH('Loan Inputs'!$B$8)+A666,DAY('Loan Inputs'!$B$8)),'Loan Inputs'!$B$8+A666*IF('Loan Inputs'!$B$14=26,14,7)))</f>
        <v/>
      </c>
      <c r="C666" s="2" t="str">
        <f t="shared" si="32"/>
        <v/>
      </c>
      <c r="D666" s="2" t="str">
        <f>IF(A666="","",MIN('Loan Inputs'!$B$17,C666+E666)+H666)</f>
        <v/>
      </c>
      <c r="E666" s="2" t="str">
        <f>IF(A666="","",C666*'Loan Inputs'!$B$15)</f>
        <v/>
      </c>
      <c r="F666" s="2" t="str">
        <f t="shared" si="30"/>
        <v/>
      </c>
      <c r="G666" s="2" t="str">
        <f t="shared" si="31"/>
        <v/>
      </c>
      <c r="H666" s="2" t="str">
        <f>IF(A666="","",MIN(0,MAX(0,C666+E666-'Loan Inputs'!$B$17)))</f>
        <v/>
      </c>
    </row>
    <row r="667" spans="1:8" ht="22" customHeight="1">
      <c r="A667" s="1" t="str">
        <f>IF(AND('Loan Inputs'!$B$12,661&lt;=IF('Loan Inputs'!$B$12,'Loan Inputs'!$B$7,0)*'Loan Inputs'!$B$14+0,ISNUMBER(G666),G666&gt;0),661,"")</f>
        <v/>
      </c>
      <c r="B667" s="4" t="str">
        <f>IF(A667="","",IF('Loan Inputs'!$B$14=12,DATE(YEAR('Loan Inputs'!$B$8),MONTH('Loan Inputs'!$B$8)+A667,DAY('Loan Inputs'!$B$8)),'Loan Inputs'!$B$8+A667*IF('Loan Inputs'!$B$14=26,14,7)))</f>
        <v/>
      </c>
      <c r="C667" s="2" t="str">
        <f t="shared" si="32"/>
        <v/>
      </c>
      <c r="D667" s="2" t="str">
        <f>IF(A667="","",MIN('Loan Inputs'!$B$17,C667+E667)+H667)</f>
        <v/>
      </c>
      <c r="E667" s="2" t="str">
        <f>IF(A667="","",C667*'Loan Inputs'!$B$15)</f>
        <v/>
      </c>
      <c r="F667" s="2" t="str">
        <f t="shared" si="30"/>
        <v/>
      </c>
      <c r="G667" s="2" t="str">
        <f t="shared" si="31"/>
        <v/>
      </c>
      <c r="H667" s="2" t="str">
        <f>IF(A667="","",MIN(0,MAX(0,C667+E667-'Loan Inputs'!$B$17)))</f>
        <v/>
      </c>
    </row>
    <row r="668" spans="1:8" ht="22" customHeight="1">
      <c r="A668" s="1" t="str">
        <f>IF(AND('Loan Inputs'!$B$12,662&lt;=IF('Loan Inputs'!$B$12,'Loan Inputs'!$B$7,0)*'Loan Inputs'!$B$14+0,ISNUMBER(G667),G667&gt;0),662,"")</f>
        <v/>
      </c>
      <c r="B668" s="4" t="str">
        <f>IF(A668="","",IF('Loan Inputs'!$B$14=12,DATE(YEAR('Loan Inputs'!$B$8),MONTH('Loan Inputs'!$B$8)+A668,DAY('Loan Inputs'!$B$8)),'Loan Inputs'!$B$8+A668*IF('Loan Inputs'!$B$14=26,14,7)))</f>
        <v/>
      </c>
      <c r="C668" s="2" t="str">
        <f t="shared" si="32"/>
        <v/>
      </c>
      <c r="D668" s="2" t="str">
        <f>IF(A668="","",MIN('Loan Inputs'!$B$17,C668+E668)+H668)</f>
        <v/>
      </c>
      <c r="E668" s="2" t="str">
        <f>IF(A668="","",C668*'Loan Inputs'!$B$15)</f>
        <v/>
      </c>
      <c r="F668" s="2" t="str">
        <f t="shared" si="30"/>
        <v/>
      </c>
      <c r="G668" s="2" t="str">
        <f t="shared" si="31"/>
        <v/>
      </c>
      <c r="H668" s="2" t="str">
        <f>IF(A668="","",MIN(0,MAX(0,C668+E668-'Loan Inputs'!$B$17)))</f>
        <v/>
      </c>
    </row>
    <row r="669" spans="1:8" ht="22" customHeight="1">
      <c r="A669" s="1" t="str">
        <f>IF(AND('Loan Inputs'!$B$12,663&lt;=IF('Loan Inputs'!$B$12,'Loan Inputs'!$B$7,0)*'Loan Inputs'!$B$14+0,ISNUMBER(G668),G668&gt;0),663,"")</f>
        <v/>
      </c>
      <c r="B669" s="4" t="str">
        <f>IF(A669="","",IF('Loan Inputs'!$B$14=12,DATE(YEAR('Loan Inputs'!$B$8),MONTH('Loan Inputs'!$B$8)+A669,DAY('Loan Inputs'!$B$8)),'Loan Inputs'!$B$8+A669*IF('Loan Inputs'!$B$14=26,14,7)))</f>
        <v/>
      </c>
      <c r="C669" s="2" t="str">
        <f t="shared" si="32"/>
        <v/>
      </c>
      <c r="D669" s="2" t="str">
        <f>IF(A669="","",MIN('Loan Inputs'!$B$17,C669+E669)+H669)</f>
        <v/>
      </c>
      <c r="E669" s="2" t="str">
        <f>IF(A669="","",C669*'Loan Inputs'!$B$15)</f>
        <v/>
      </c>
      <c r="F669" s="2" t="str">
        <f t="shared" si="30"/>
        <v/>
      </c>
      <c r="G669" s="2" t="str">
        <f t="shared" si="31"/>
        <v/>
      </c>
      <c r="H669" s="2" t="str">
        <f>IF(A669="","",MIN(0,MAX(0,C669+E669-'Loan Inputs'!$B$17)))</f>
        <v/>
      </c>
    </row>
    <row r="670" spans="1:8" ht="22" customHeight="1">
      <c r="A670" s="1" t="str">
        <f>IF(AND('Loan Inputs'!$B$12,664&lt;=IF('Loan Inputs'!$B$12,'Loan Inputs'!$B$7,0)*'Loan Inputs'!$B$14+0,ISNUMBER(G669),G669&gt;0),664,"")</f>
        <v/>
      </c>
      <c r="B670" s="4" t="str">
        <f>IF(A670="","",IF('Loan Inputs'!$B$14=12,DATE(YEAR('Loan Inputs'!$B$8),MONTH('Loan Inputs'!$B$8)+A670,DAY('Loan Inputs'!$B$8)),'Loan Inputs'!$B$8+A670*IF('Loan Inputs'!$B$14=26,14,7)))</f>
        <v/>
      </c>
      <c r="C670" s="2" t="str">
        <f t="shared" si="32"/>
        <v/>
      </c>
      <c r="D670" s="2" t="str">
        <f>IF(A670="","",MIN('Loan Inputs'!$B$17,C670+E670)+H670)</f>
        <v/>
      </c>
      <c r="E670" s="2" t="str">
        <f>IF(A670="","",C670*'Loan Inputs'!$B$15)</f>
        <v/>
      </c>
      <c r="F670" s="2" t="str">
        <f t="shared" si="30"/>
        <v/>
      </c>
      <c r="G670" s="2" t="str">
        <f t="shared" si="31"/>
        <v/>
      </c>
      <c r="H670" s="2" t="str">
        <f>IF(A670="","",MIN(0,MAX(0,C670+E670-'Loan Inputs'!$B$17)))</f>
        <v/>
      </c>
    </row>
    <row r="671" spans="1:8" ht="22" customHeight="1">
      <c r="A671" s="1" t="str">
        <f>IF(AND('Loan Inputs'!$B$12,665&lt;=IF('Loan Inputs'!$B$12,'Loan Inputs'!$B$7,0)*'Loan Inputs'!$B$14+0,ISNUMBER(G670),G670&gt;0),665,"")</f>
        <v/>
      </c>
      <c r="B671" s="4" t="str">
        <f>IF(A671="","",IF('Loan Inputs'!$B$14=12,DATE(YEAR('Loan Inputs'!$B$8),MONTH('Loan Inputs'!$B$8)+A671,DAY('Loan Inputs'!$B$8)),'Loan Inputs'!$B$8+A671*IF('Loan Inputs'!$B$14=26,14,7)))</f>
        <v/>
      </c>
      <c r="C671" s="2" t="str">
        <f t="shared" si="32"/>
        <v/>
      </c>
      <c r="D671" s="2" t="str">
        <f>IF(A671="","",MIN('Loan Inputs'!$B$17,C671+E671)+H671)</f>
        <v/>
      </c>
      <c r="E671" s="2" t="str">
        <f>IF(A671="","",C671*'Loan Inputs'!$B$15)</f>
        <v/>
      </c>
      <c r="F671" s="2" t="str">
        <f t="shared" si="30"/>
        <v/>
      </c>
      <c r="G671" s="2" t="str">
        <f t="shared" si="31"/>
        <v/>
      </c>
      <c r="H671" s="2" t="str">
        <f>IF(A671="","",MIN(0,MAX(0,C671+E671-'Loan Inputs'!$B$17)))</f>
        <v/>
      </c>
    </row>
    <row r="672" spans="1:8" ht="22" customHeight="1">
      <c r="A672" s="1" t="str">
        <f>IF(AND('Loan Inputs'!$B$12,666&lt;=IF('Loan Inputs'!$B$12,'Loan Inputs'!$B$7,0)*'Loan Inputs'!$B$14+0,ISNUMBER(G671),G671&gt;0),666,"")</f>
        <v/>
      </c>
      <c r="B672" s="4" t="str">
        <f>IF(A672="","",IF('Loan Inputs'!$B$14=12,DATE(YEAR('Loan Inputs'!$B$8),MONTH('Loan Inputs'!$B$8)+A672,DAY('Loan Inputs'!$B$8)),'Loan Inputs'!$B$8+A672*IF('Loan Inputs'!$B$14=26,14,7)))</f>
        <v/>
      </c>
      <c r="C672" s="2" t="str">
        <f t="shared" si="32"/>
        <v/>
      </c>
      <c r="D672" s="2" t="str">
        <f>IF(A672="","",MIN('Loan Inputs'!$B$17,C672+E672)+H672)</f>
        <v/>
      </c>
      <c r="E672" s="2" t="str">
        <f>IF(A672="","",C672*'Loan Inputs'!$B$15)</f>
        <v/>
      </c>
      <c r="F672" s="2" t="str">
        <f t="shared" si="30"/>
        <v/>
      </c>
      <c r="G672" s="2" t="str">
        <f t="shared" si="31"/>
        <v/>
      </c>
      <c r="H672" s="2" t="str">
        <f>IF(A672="","",MIN(0,MAX(0,C672+E672-'Loan Inputs'!$B$17)))</f>
        <v/>
      </c>
    </row>
    <row r="673" spans="1:8" ht="22" customHeight="1">
      <c r="A673" s="1" t="str">
        <f>IF(AND('Loan Inputs'!$B$12,667&lt;=IF('Loan Inputs'!$B$12,'Loan Inputs'!$B$7,0)*'Loan Inputs'!$B$14+0,ISNUMBER(G672),G672&gt;0),667,"")</f>
        <v/>
      </c>
      <c r="B673" s="4" t="str">
        <f>IF(A673="","",IF('Loan Inputs'!$B$14=12,DATE(YEAR('Loan Inputs'!$B$8),MONTH('Loan Inputs'!$B$8)+A673,DAY('Loan Inputs'!$B$8)),'Loan Inputs'!$B$8+A673*IF('Loan Inputs'!$B$14=26,14,7)))</f>
        <v/>
      </c>
      <c r="C673" s="2" t="str">
        <f t="shared" si="32"/>
        <v/>
      </c>
      <c r="D673" s="2" t="str">
        <f>IF(A673="","",MIN('Loan Inputs'!$B$17,C673+E673)+H673)</f>
        <v/>
      </c>
      <c r="E673" s="2" t="str">
        <f>IF(A673="","",C673*'Loan Inputs'!$B$15)</f>
        <v/>
      </c>
      <c r="F673" s="2" t="str">
        <f t="shared" si="30"/>
        <v/>
      </c>
      <c r="G673" s="2" t="str">
        <f t="shared" si="31"/>
        <v/>
      </c>
      <c r="H673" s="2" t="str">
        <f>IF(A673="","",MIN(0,MAX(0,C673+E673-'Loan Inputs'!$B$17)))</f>
        <v/>
      </c>
    </row>
    <row r="674" spans="1:8" ht="22" customHeight="1">
      <c r="A674" s="1" t="str">
        <f>IF(AND('Loan Inputs'!$B$12,668&lt;=IF('Loan Inputs'!$B$12,'Loan Inputs'!$B$7,0)*'Loan Inputs'!$B$14+0,ISNUMBER(G673),G673&gt;0),668,"")</f>
        <v/>
      </c>
      <c r="B674" s="4" t="str">
        <f>IF(A674="","",IF('Loan Inputs'!$B$14=12,DATE(YEAR('Loan Inputs'!$B$8),MONTH('Loan Inputs'!$B$8)+A674,DAY('Loan Inputs'!$B$8)),'Loan Inputs'!$B$8+A674*IF('Loan Inputs'!$B$14=26,14,7)))</f>
        <v/>
      </c>
      <c r="C674" s="2" t="str">
        <f t="shared" si="32"/>
        <v/>
      </c>
      <c r="D674" s="2" t="str">
        <f>IF(A674="","",MIN('Loan Inputs'!$B$17,C674+E674)+H674)</f>
        <v/>
      </c>
      <c r="E674" s="2" t="str">
        <f>IF(A674="","",C674*'Loan Inputs'!$B$15)</f>
        <v/>
      </c>
      <c r="F674" s="2" t="str">
        <f t="shared" si="30"/>
        <v/>
      </c>
      <c r="G674" s="2" t="str">
        <f t="shared" si="31"/>
        <v/>
      </c>
      <c r="H674" s="2" t="str">
        <f>IF(A674="","",MIN(0,MAX(0,C674+E674-'Loan Inputs'!$B$17)))</f>
        <v/>
      </c>
    </row>
    <row r="675" spans="1:8" ht="22" customHeight="1">
      <c r="A675" s="1" t="str">
        <f>IF(AND('Loan Inputs'!$B$12,669&lt;=IF('Loan Inputs'!$B$12,'Loan Inputs'!$B$7,0)*'Loan Inputs'!$B$14+0,ISNUMBER(G674),G674&gt;0),669,"")</f>
        <v/>
      </c>
      <c r="B675" s="4" t="str">
        <f>IF(A675="","",IF('Loan Inputs'!$B$14=12,DATE(YEAR('Loan Inputs'!$B$8),MONTH('Loan Inputs'!$B$8)+A675,DAY('Loan Inputs'!$B$8)),'Loan Inputs'!$B$8+A675*IF('Loan Inputs'!$B$14=26,14,7)))</f>
        <v/>
      </c>
      <c r="C675" s="2" t="str">
        <f t="shared" si="32"/>
        <v/>
      </c>
      <c r="D675" s="2" t="str">
        <f>IF(A675="","",MIN('Loan Inputs'!$B$17,C675+E675)+H675)</f>
        <v/>
      </c>
      <c r="E675" s="2" t="str">
        <f>IF(A675="","",C675*'Loan Inputs'!$B$15)</f>
        <v/>
      </c>
      <c r="F675" s="2" t="str">
        <f t="shared" si="30"/>
        <v/>
      </c>
      <c r="G675" s="2" t="str">
        <f t="shared" si="31"/>
        <v/>
      </c>
      <c r="H675" s="2" t="str">
        <f>IF(A675="","",MIN(0,MAX(0,C675+E675-'Loan Inputs'!$B$17)))</f>
        <v/>
      </c>
    </row>
    <row r="676" spans="1:8" ht="22" customHeight="1">
      <c r="A676" s="1" t="str">
        <f>IF(AND('Loan Inputs'!$B$12,670&lt;=IF('Loan Inputs'!$B$12,'Loan Inputs'!$B$7,0)*'Loan Inputs'!$B$14+0,ISNUMBER(G675),G675&gt;0),670,"")</f>
        <v/>
      </c>
      <c r="B676" s="4" t="str">
        <f>IF(A676="","",IF('Loan Inputs'!$B$14=12,DATE(YEAR('Loan Inputs'!$B$8),MONTH('Loan Inputs'!$B$8)+A676,DAY('Loan Inputs'!$B$8)),'Loan Inputs'!$B$8+A676*IF('Loan Inputs'!$B$14=26,14,7)))</f>
        <v/>
      </c>
      <c r="C676" s="2" t="str">
        <f t="shared" si="32"/>
        <v/>
      </c>
      <c r="D676" s="2" t="str">
        <f>IF(A676="","",MIN('Loan Inputs'!$B$17,C676+E676)+H676)</f>
        <v/>
      </c>
      <c r="E676" s="2" t="str">
        <f>IF(A676="","",C676*'Loan Inputs'!$B$15)</f>
        <v/>
      </c>
      <c r="F676" s="2" t="str">
        <f t="shared" si="30"/>
        <v/>
      </c>
      <c r="G676" s="2" t="str">
        <f t="shared" si="31"/>
        <v/>
      </c>
      <c r="H676" s="2" t="str">
        <f>IF(A676="","",MIN(0,MAX(0,C676+E676-'Loan Inputs'!$B$17)))</f>
        <v/>
      </c>
    </row>
    <row r="677" spans="1:8" ht="22" customHeight="1">
      <c r="A677" s="1" t="str">
        <f>IF(AND('Loan Inputs'!$B$12,671&lt;=IF('Loan Inputs'!$B$12,'Loan Inputs'!$B$7,0)*'Loan Inputs'!$B$14+0,ISNUMBER(G676),G676&gt;0),671,"")</f>
        <v/>
      </c>
      <c r="B677" s="4" t="str">
        <f>IF(A677="","",IF('Loan Inputs'!$B$14=12,DATE(YEAR('Loan Inputs'!$B$8),MONTH('Loan Inputs'!$B$8)+A677,DAY('Loan Inputs'!$B$8)),'Loan Inputs'!$B$8+A677*IF('Loan Inputs'!$B$14=26,14,7)))</f>
        <v/>
      </c>
      <c r="C677" s="2" t="str">
        <f t="shared" si="32"/>
        <v/>
      </c>
      <c r="D677" s="2" t="str">
        <f>IF(A677="","",MIN('Loan Inputs'!$B$17,C677+E677)+H677)</f>
        <v/>
      </c>
      <c r="E677" s="2" t="str">
        <f>IF(A677="","",C677*'Loan Inputs'!$B$15)</f>
        <v/>
      </c>
      <c r="F677" s="2" t="str">
        <f t="shared" si="30"/>
        <v/>
      </c>
      <c r="G677" s="2" t="str">
        <f t="shared" si="31"/>
        <v/>
      </c>
      <c r="H677" s="2" t="str">
        <f>IF(A677="","",MIN(0,MAX(0,C677+E677-'Loan Inputs'!$B$17)))</f>
        <v/>
      </c>
    </row>
    <row r="678" spans="1:8" ht="22" customHeight="1">
      <c r="A678" s="1" t="str">
        <f>IF(AND('Loan Inputs'!$B$12,672&lt;=IF('Loan Inputs'!$B$12,'Loan Inputs'!$B$7,0)*'Loan Inputs'!$B$14+0,ISNUMBER(G677),G677&gt;0),672,"")</f>
        <v/>
      </c>
      <c r="B678" s="4" t="str">
        <f>IF(A678="","",IF('Loan Inputs'!$B$14=12,DATE(YEAR('Loan Inputs'!$B$8),MONTH('Loan Inputs'!$B$8)+A678,DAY('Loan Inputs'!$B$8)),'Loan Inputs'!$B$8+A678*IF('Loan Inputs'!$B$14=26,14,7)))</f>
        <v/>
      </c>
      <c r="C678" s="2" t="str">
        <f t="shared" si="32"/>
        <v/>
      </c>
      <c r="D678" s="2" t="str">
        <f>IF(A678="","",MIN('Loan Inputs'!$B$17,C678+E678)+H678)</f>
        <v/>
      </c>
      <c r="E678" s="2" t="str">
        <f>IF(A678="","",C678*'Loan Inputs'!$B$15)</f>
        <v/>
      </c>
      <c r="F678" s="2" t="str">
        <f t="shared" si="30"/>
        <v/>
      </c>
      <c r="G678" s="2" t="str">
        <f t="shared" si="31"/>
        <v/>
      </c>
      <c r="H678" s="2" t="str">
        <f>IF(A678="","",MIN(0,MAX(0,C678+E678-'Loan Inputs'!$B$17)))</f>
        <v/>
      </c>
    </row>
    <row r="679" spans="1:8" ht="22" customHeight="1">
      <c r="A679" s="1" t="str">
        <f>IF(AND('Loan Inputs'!$B$12,673&lt;=IF('Loan Inputs'!$B$12,'Loan Inputs'!$B$7,0)*'Loan Inputs'!$B$14+0,ISNUMBER(G678),G678&gt;0),673,"")</f>
        <v/>
      </c>
      <c r="B679" s="4" t="str">
        <f>IF(A679="","",IF('Loan Inputs'!$B$14=12,DATE(YEAR('Loan Inputs'!$B$8),MONTH('Loan Inputs'!$B$8)+A679,DAY('Loan Inputs'!$B$8)),'Loan Inputs'!$B$8+A679*IF('Loan Inputs'!$B$14=26,14,7)))</f>
        <v/>
      </c>
      <c r="C679" s="2" t="str">
        <f t="shared" si="32"/>
        <v/>
      </c>
      <c r="D679" s="2" t="str">
        <f>IF(A679="","",MIN('Loan Inputs'!$B$17,C679+E679)+H679)</f>
        <v/>
      </c>
      <c r="E679" s="2" t="str">
        <f>IF(A679="","",C679*'Loan Inputs'!$B$15)</f>
        <v/>
      </c>
      <c r="F679" s="2" t="str">
        <f t="shared" si="30"/>
        <v/>
      </c>
      <c r="G679" s="2" t="str">
        <f t="shared" si="31"/>
        <v/>
      </c>
      <c r="H679" s="2" t="str">
        <f>IF(A679="","",MIN(0,MAX(0,C679+E679-'Loan Inputs'!$B$17)))</f>
        <v/>
      </c>
    </row>
    <row r="680" spans="1:8" ht="22" customHeight="1">
      <c r="A680" s="1" t="str">
        <f>IF(AND('Loan Inputs'!$B$12,674&lt;=IF('Loan Inputs'!$B$12,'Loan Inputs'!$B$7,0)*'Loan Inputs'!$B$14+0,ISNUMBER(G679),G679&gt;0),674,"")</f>
        <v/>
      </c>
      <c r="B680" s="4" t="str">
        <f>IF(A680="","",IF('Loan Inputs'!$B$14=12,DATE(YEAR('Loan Inputs'!$B$8),MONTH('Loan Inputs'!$B$8)+A680,DAY('Loan Inputs'!$B$8)),'Loan Inputs'!$B$8+A680*IF('Loan Inputs'!$B$14=26,14,7)))</f>
        <v/>
      </c>
      <c r="C680" s="2" t="str">
        <f t="shared" si="32"/>
        <v/>
      </c>
      <c r="D680" s="2" t="str">
        <f>IF(A680="","",MIN('Loan Inputs'!$B$17,C680+E680)+H680)</f>
        <v/>
      </c>
      <c r="E680" s="2" t="str">
        <f>IF(A680="","",C680*'Loan Inputs'!$B$15)</f>
        <v/>
      </c>
      <c r="F680" s="2" t="str">
        <f t="shared" si="30"/>
        <v/>
      </c>
      <c r="G680" s="2" t="str">
        <f t="shared" si="31"/>
        <v/>
      </c>
      <c r="H680" s="2" t="str">
        <f>IF(A680="","",MIN(0,MAX(0,C680+E680-'Loan Inputs'!$B$17)))</f>
        <v/>
      </c>
    </row>
    <row r="681" spans="1:8" ht="22" customHeight="1">
      <c r="A681" s="1" t="str">
        <f>IF(AND('Loan Inputs'!$B$12,675&lt;=IF('Loan Inputs'!$B$12,'Loan Inputs'!$B$7,0)*'Loan Inputs'!$B$14+0,ISNUMBER(G680),G680&gt;0),675,"")</f>
        <v/>
      </c>
      <c r="B681" s="4" t="str">
        <f>IF(A681="","",IF('Loan Inputs'!$B$14=12,DATE(YEAR('Loan Inputs'!$B$8),MONTH('Loan Inputs'!$B$8)+A681,DAY('Loan Inputs'!$B$8)),'Loan Inputs'!$B$8+A681*IF('Loan Inputs'!$B$14=26,14,7)))</f>
        <v/>
      </c>
      <c r="C681" s="2" t="str">
        <f t="shared" si="32"/>
        <v/>
      </c>
      <c r="D681" s="2" t="str">
        <f>IF(A681="","",MIN('Loan Inputs'!$B$17,C681+E681)+H681)</f>
        <v/>
      </c>
      <c r="E681" s="2" t="str">
        <f>IF(A681="","",C681*'Loan Inputs'!$B$15)</f>
        <v/>
      </c>
      <c r="F681" s="2" t="str">
        <f t="shared" si="30"/>
        <v/>
      </c>
      <c r="G681" s="2" t="str">
        <f t="shared" si="31"/>
        <v/>
      </c>
      <c r="H681" s="2" t="str">
        <f>IF(A681="","",MIN(0,MAX(0,C681+E681-'Loan Inputs'!$B$17)))</f>
        <v/>
      </c>
    </row>
    <row r="682" spans="1:8" ht="22" customHeight="1">
      <c r="A682" s="1" t="str">
        <f>IF(AND('Loan Inputs'!$B$12,676&lt;=IF('Loan Inputs'!$B$12,'Loan Inputs'!$B$7,0)*'Loan Inputs'!$B$14+0,ISNUMBER(G681),G681&gt;0),676,"")</f>
        <v/>
      </c>
      <c r="B682" s="4" t="str">
        <f>IF(A682="","",IF('Loan Inputs'!$B$14=12,DATE(YEAR('Loan Inputs'!$B$8),MONTH('Loan Inputs'!$B$8)+A682,DAY('Loan Inputs'!$B$8)),'Loan Inputs'!$B$8+A682*IF('Loan Inputs'!$B$14=26,14,7)))</f>
        <v/>
      </c>
      <c r="C682" s="2" t="str">
        <f t="shared" si="32"/>
        <v/>
      </c>
      <c r="D682" s="2" t="str">
        <f>IF(A682="","",MIN('Loan Inputs'!$B$17,C682+E682)+H682)</f>
        <v/>
      </c>
      <c r="E682" s="2" t="str">
        <f>IF(A682="","",C682*'Loan Inputs'!$B$15)</f>
        <v/>
      </c>
      <c r="F682" s="2" t="str">
        <f t="shared" si="30"/>
        <v/>
      </c>
      <c r="G682" s="2" t="str">
        <f t="shared" si="31"/>
        <v/>
      </c>
      <c r="H682" s="2" t="str">
        <f>IF(A682="","",MIN(0,MAX(0,C682+E682-'Loan Inputs'!$B$17)))</f>
        <v/>
      </c>
    </row>
    <row r="683" spans="1:8" ht="22" customHeight="1">
      <c r="A683" s="1" t="str">
        <f>IF(AND('Loan Inputs'!$B$12,677&lt;=IF('Loan Inputs'!$B$12,'Loan Inputs'!$B$7,0)*'Loan Inputs'!$B$14+0,ISNUMBER(G682),G682&gt;0),677,"")</f>
        <v/>
      </c>
      <c r="B683" s="4" t="str">
        <f>IF(A683="","",IF('Loan Inputs'!$B$14=12,DATE(YEAR('Loan Inputs'!$B$8),MONTH('Loan Inputs'!$B$8)+A683,DAY('Loan Inputs'!$B$8)),'Loan Inputs'!$B$8+A683*IF('Loan Inputs'!$B$14=26,14,7)))</f>
        <v/>
      </c>
      <c r="C683" s="2" t="str">
        <f t="shared" si="32"/>
        <v/>
      </c>
      <c r="D683" s="2" t="str">
        <f>IF(A683="","",MIN('Loan Inputs'!$B$17,C683+E683)+H683)</f>
        <v/>
      </c>
      <c r="E683" s="2" t="str">
        <f>IF(A683="","",C683*'Loan Inputs'!$B$15)</f>
        <v/>
      </c>
      <c r="F683" s="2" t="str">
        <f t="shared" si="30"/>
        <v/>
      </c>
      <c r="G683" s="2" t="str">
        <f t="shared" si="31"/>
        <v/>
      </c>
      <c r="H683" s="2" t="str">
        <f>IF(A683="","",MIN(0,MAX(0,C683+E683-'Loan Inputs'!$B$17)))</f>
        <v/>
      </c>
    </row>
    <row r="684" spans="1:8" ht="22" customHeight="1">
      <c r="A684" s="1" t="str">
        <f>IF(AND('Loan Inputs'!$B$12,678&lt;=IF('Loan Inputs'!$B$12,'Loan Inputs'!$B$7,0)*'Loan Inputs'!$B$14+0,ISNUMBER(G683),G683&gt;0),678,"")</f>
        <v/>
      </c>
      <c r="B684" s="4" t="str">
        <f>IF(A684="","",IF('Loan Inputs'!$B$14=12,DATE(YEAR('Loan Inputs'!$B$8),MONTH('Loan Inputs'!$B$8)+A684,DAY('Loan Inputs'!$B$8)),'Loan Inputs'!$B$8+A684*IF('Loan Inputs'!$B$14=26,14,7)))</f>
        <v/>
      </c>
      <c r="C684" s="2" t="str">
        <f t="shared" si="32"/>
        <v/>
      </c>
      <c r="D684" s="2" t="str">
        <f>IF(A684="","",MIN('Loan Inputs'!$B$17,C684+E684)+H684)</f>
        <v/>
      </c>
      <c r="E684" s="2" t="str">
        <f>IF(A684="","",C684*'Loan Inputs'!$B$15)</f>
        <v/>
      </c>
      <c r="F684" s="2" t="str">
        <f t="shared" si="30"/>
        <v/>
      </c>
      <c r="G684" s="2" t="str">
        <f t="shared" si="31"/>
        <v/>
      </c>
      <c r="H684" s="2" t="str">
        <f>IF(A684="","",MIN(0,MAX(0,C684+E684-'Loan Inputs'!$B$17)))</f>
        <v/>
      </c>
    </row>
    <row r="685" spans="1:8" ht="22" customHeight="1">
      <c r="A685" s="1" t="str">
        <f>IF(AND('Loan Inputs'!$B$12,679&lt;=IF('Loan Inputs'!$B$12,'Loan Inputs'!$B$7,0)*'Loan Inputs'!$B$14+0,ISNUMBER(G684),G684&gt;0),679,"")</f>
        <v/>
      </c>
      <c r="B685" s="4" t="str">
        <f>IF(A685="","",IF('Loan Inputs'!$B$14=12,DATE(YEAR('Loan Inputs'!$B$8),MONTH('Loan Inputs'!$B$8)+A685,DAY('Loan Inputs'!$B$8)),'Loan Inputs'!$B$8+A685*IF('Loan Inputs'!$B$14=26,14,7)))</f>
        <v/>
      </c>
      <c r="C685" s="2" t="str">
        <f t="shared" si="32"/>
        <v/>
      </c>
      <c r="D685" s="2" t="str">
        <f>IF(A685="","",MIN('Loan Inputs'!$B$17,C685+E685)+H685)</f>
        <v/>
      </c>
      <c r="E685" s="2" t="str">
        <f>IF(A685="","",C685*'Loan Inputs'!$B$15)</f>
        <v/>
      </c>
      <c r="F685" s="2" t="str">
        <f t="shared" si="30"/>
        <v/>
      </c>
      <c r="G685" s="2" t="str">
        <f t="shared" si="31"/>
        <v/>
      </c>
      <c r="H685" s="2" t="str">
        <f>IF(A685="","",MIN(0,MAX(0,C685+E685-'Loan Inputs'!$B$17)))</f>
        <v/>
      </c>
    </row>
    <row r="686" spans="1:8" ht="22" customHeight="1">
      <c r="A686" s="1" t="str">
        <f>IF(AND('Loan Inputs'!$B$12,680&lt;=IF('Loan Inputs'!$B$12,'Loan Inputs'!$B$7,0)*'Loan Inputs'!$B$14+0,ISNUMBER(G685),G685&gt;0),680,"")</f>
        <v/>
      </c>
      <c r="B686" s="4" t="str">
        <f>IF(A686="","",IF('Loan Inputs'!$B$14=12,DATE(YEAR('Loan Inputs'!$B$8),MONTH('Loan Inputs'!$B$8)+A686,DAY('Loan Inputs'!$B$8)),'Loan Inputs'!$B$8+A686*IF('Loan Inputs'!$B$14=26,14,7)))</f>
        <v/>
      </c>
      <c r="C686" s="2" t="str">
        <f t="shared" si="32"/>
        <v/>
      </c>
      <c r="D686" s="2" t="str">
        <f>IF(A686="","",MIN('Loan Inputs'!$B$17,C686+E686)+H686)</f>
        <v/>
      </c>
      <c r="E686" s="2" t="str">
        <f>IF(A686="","",C686*'Loan Inputs'!$B$15)</f>
        <v/>
      </c>
      <c r="F686" s="2" t="str">
        <f t="shared" si="30"/>
        <v/>
      </c>
      <c r="G686" s="2" t="str">
        <f t="shared" si="31"/>
        <v/>
      </c>
      <c r="H686" s="2" t="str">
        <f>IF(A686="","",MIN(0,MAX(0,C686+E686-'Loan Inputs'!$B$17)))</f>
        <v/>
      </c>
    </row>
    <row r="687" spans="1:8" ht="22" customHeight="1">
      <c r="A687" s="1" t="str">
        <f>IF(AND('Loan Inputs'!$B$12,681&lt;=IF('Loan Inputs'!$B$12,'Loan Inputs'!$B$7,0)*'Loan Inputs'!$B$14+0,ISNUMBER(G686),G686&gt;0),681,"")</f>
        <v/>
      </c>
      <c r="B687" s="4" t="str">
        <f>IF(A687="","",IF('Loan Inputs'!$B$14=12,DATE(YEAR('Loan Inputs'!$B$8),MONTH('Loan Inputs'!$B$8)+A687,DAY('Loan Inputs'!$B$8)),'Loan Inputs'!$B$8+A687*IF('Loan Inputs'!$B$14=26,14,7)))</f>
        <v/>
      </c>
      <c r="C687" s="2" t="str">
        <f t="shared" si="32"/>
        <v/>
      </c>
      <c r="D687" s="2" t="str">
        <f>IF(A687="","",MIN('Loan Inputs'!$B$17,C687+E687)+H687)</f>
        <v/>
      </c>
      <c r="E687" s="2" t="str">
        <f>IF(A687="","",C687*'Loan Inputs'!$B$15)</f>
        <v/>
      </c>
      <c r="F687" s="2" t="str">
        <f t="shared" si="30"/>
        <v/>
      </c>
      <c r="G687" s="2" t="str">
        <f t="shared" si="31"/>
        <v/>
      </c>
      <c r="H687" s="2" t="str">
        <f>IF(A687="","",MIN(0,MAX(0,C687+E687-'Loan Inputs'!$B$17)))</f>
        <v/>
      </c>
    </row>
    <row r="688" spans="1:8" ht="22" customHeight="1">
      <c r="A688" s="1" t="str">
        <f>IF(AND('Loan Inputs'!$B$12,682&lt;=IF('Loan Inputs'!$B$12,'Loan Inputs'!$B$7,0)*'Loan Inputs'!$B$14+0,ISNUMBER(G687),G687&gt;0),682,"")</f>
        <v/>
      </c>
      <c r="B688" s="4" t="str">
        <f>IF(A688="","",IF('Loan Inputs'!$B$14=12,DATE(YEAR('Loan Inputs'!$B$8),MONTH('Loan Inputs'!$B$8)+A688,DAY('Loan Inputs'!$B$8)),'Loan Inputs'!$B$8+A688*IF('Loan Inputs'!$B$14=26,14,7)))</f>
        <v/>
      </c>
      <c r="C688" s="2" t="str">
        <f t="shared" si="32"/>
        <v/>
      </c>
      <c r="D688" s="2" t="str">
        <f>IF(A688="","",MIN('Loan Inputs'!$B$17,C688+E688)+H688)</f>
        <v/>
      </c>
      <c r="E688" s="2" t="str">
        <f>IF(A688="","",C688*'Loan Inputs'!$B$15)</f>
        <v/>
      </c>
      <c r="F688" s="2" t="str">
        <f t="shared" si="30"/>
        <v/>
      </c>
      <c r="G688" s="2" t="str">
        <f t="shared" si="31"/>
        <v/>
      </c>
      <c r="H688" s="2" t="str">
        <f>IF(A688="","",MIN(0,MAX(0,C688+E688-'Loan Inputs'!$B$17)))</f>
        <v/>
      </c>
    </row>
    <row r="689" spans="1:8" ht="22" customHeight="1">
      <c r="A689" s="1" t="str">
        <f>IF(AND('Loan Inputs'!$B$12,683&lt;=IF('Loan Inputs'!$B$12,'Loan Inputs'!$B$7,0)*'Loan Inputs'!$B$14+0,ISNUMBER(G688),G688&gt;0),683,"")</f>
        <v/>
      </c>
      <c r="B689" s="4" t="str">
        <f>IF(A689="","",IF('Loan Inputs'!$B$14=12,DATE(YEAR('Loan Inputs'!$B$8),MONTH('Loan Inputs'!$B$8)+A689,DAY('Loan Inputs'!$B$8)),'Loan Inputs'!$B$8+A689*IF('Loan Inputs'!$B$14=26,14,7)))</f>
        <v/>
      </c>
      <c r="C689" s="2" t="str">
        <f t="shared" si="32"/>
        <v/>
      </c>
      <c r="D689" s="2" t="str">
        <f>IF(A689="","",MIN('Loan Inputs'!$B$17,C689+E689)+H689)</f>
        <v/>
      </c>
      <c r="E689" s="2" t="str">
        <f>IF(A689="","",C689*'Loan Inputs'!$B$15)</f>
        <v/>
      </c>
      <c r="F689" s="2" t="str">
        <f t="shared" si="30"/>
        <v/>
      </c>
      <c r="G689" s="2" t="str">
        <f t="shared" si="31"/>
        <v/>
      </c>
      <c r="H689" s="2" t="str">
        <f>IF(A689="","",MIN(0,MAX(0,C689+E689-'Loan Inputs'!$B$17)))</f>
        <v/>
      </c>
    </row>
    <row r="690" spans="1:8" ht="22" customHeight="1">
      <c r="A690" s="1" t="str">
        <f>IF(AND('Loan Inputs'!$B$12,684&lt;=IF('Loan Inputs'!$B$12,'Loan Inputs'!$B$7,0)*'Loan Inputs'!$B$14+0,ISNUMBER(G689),G689&gt;0),684,"")</f>
        <v/>
      </c>
      <c r="B690" s="4" t="str">
        <f>IF(A690="","",IF('Loan Inputs'!$B$14=12,DATE(YEAR('Loan Inputs'!$B$8),MONTH('Loan Inputs'!$B$8)+A690,DAY('Loan Inputs'!$B$8)),'Loan Inputs'!$B$8+A690*IF('Loan Inputs'!$B$14=26,14,7)))</f>
        <v/>
      </c>
      <c r="C690" s="2" t="str">
        <f t="shared" si="32"/>
        <v/>
      </c>
      <c r="D690" s="2" t="str">
        <f>IF(A690="","",MIN('Loan Inputs'!$B$17,C690+E690)+H690)</f>
        <v/>
      </c>
      <c r="E690" s="2" t="str">
        <f>IF(A690="","",C690*'Loan Inputs'!$B$15)</f>
        <v/>
      </c>
      <c r="F690" s="2" t="str">
        <f t="shared" si="30"/>
        <v/>
      </c>
      <c r="G690" s="2" t="str">
        <f t="shared" si="31"/>
        <v/>
      </c>
      <c r="H690" s="2" t="str">
        <f>IF(A690="","",MIN(0,MAX(0,C690+E690-'Loan Inputs'!$B$17)))</f>
        <v/>
      </c>
    </row>
    <row r="691" spans="1:8" ht="22" customHeight="1">
      <c r="A691" s="1" t="str">
        <f>IF(AND('Loan Inputs'!$B$12,685&lt;=IF('Loan Inputs'!$B$12,'Loan Inputs'!$B$7,0)*'Loan Inputs'!$B$14+0,ISNUMBER(G690),G690&gt;0),685,"")</f>
        <v/>
      </c>
      <c r="B691" s="4" t="str">
        <f>IF(A691="","",IF('Loan Inputs'!$B$14=12,DATE(YEAR('Loan Inputs'!$B$8),MONTH('Loan Inputs'!$B$8)+A691,DAY('Loan Inputs'!$B$8)),'Loan Inputs'!$B$8+A691*IF('Loan Inputs'!$B$14=26,14,7)))</f>
        <v/>
      </c>
      <c r="C691" s="2" t="str">
        <f t="shared" si="32"/>
        <v/>
      </c>
      <c r="D691" s="2" t="str">
        <f>IF(A691="","",MIN('Loan Inputs'!$B$17,C691+E691)+H691)</f>
        <v/>
      </c>
      <c r="E691" s="2" t="str">
        <f>IF(A691="","",C691*'Loan Inputs'!$B$15)</f>
        <v/>
      </c>
      <c r="F691" s="2" t="str">
        <f t="shared" si="30"/>
        <v/>
      </c>
      <c r="G691" s="2" t="str">
        <f t="shared" si="31"/>
        <v/>
      </c>
      <c r="H691" s="2" t="str">
        <f>IF(A691="","",MIN(0,MAX(0,C691+E691-'Loan Inputs'!$B$17)))</f>
        <v/>
      </c>
    </row>
    <row r="692" spans="1:8" ht="22" customHeight="1">
      <c r="A692" s="1" t="str">
        <f>IF(AND('Loan Inputs'!$B$12,686&lt;=IF('Loan Inputs'!$B$12,'Loan Inputs'!$B$7,0)*'Loan Inputs'!$B$14+0,ISNUMBER(G691),G691&gt;0),686,"")</f>
        <v/>
      </c>
      <c r="B692" s="4" t="str">
        <f>IF(A692="","",IF('Loan Inputs'!$B$14=12,DATE(YEAR('Loan Inputs'!$B$8),MONTH('Loan Inputs'!$B$8)+A692,DAY('Loan Inputs'!$B$8)),'Loan Inputs'!$B$8+A692*IF('Loan Inputs'!$B$14=26,14,7)))</f>
        <v/>
      </c>
      <c r="C692" s="2" t="str">
        <f t="shared" si="32"/>
        <v/>
      </c>
      <c r="D692" s="2" t="str">
        <f>IF(A692="","",MIN('Loan Inputs'!$B$17,C692+E692)+H692)</f>
        <v/>
      </c>
      <c r="E692" s="2" t="str">
        <f>IF(A692="","",C692*'Loan Inputs'!$B$15)</f>
        <v/>
      </c>
      <c r="F692" s="2" t="str">
        <f t="shared" si="30"/>
        <v/>
      </c>
      <c r="G692" s="2" t="str">
        <f t="shared" si="31"/>
        <v/>
      </c>
      <c r="H692" s="2" t="str">
        <f>IF(A692="","",MIN(0,MAX(0,C692+E692-'Loan Inputs'!$B$17)))</f>
        <v/>
      </c>
    </row>
    <row r="693" spans="1:8" ht="22" customHeight="1">
      <c r="A693" s="1" t="str">
        <f>IF(AND('Loan Inputs'!$B$12,687&lt;=IF('Loan Inputs'!$B$12,'Loan Inputs'!$B$7,0)*'Loan Inputs'!$B$14+0,ISNUMBER(G692),G692&gt;0),687,"")</f>
        <v/>
      </c>
      <c r="B693" s="4" t="str">
        <f>IF(A693="","",IF('Loan Inputs'!$B$14=12,DATE(YEAR('Loan Inputs'!$B$8),MONTH('Loan Inputs'!$B$8)+A693,DAY('Loan Inputs'!$B$8)),'Loan Inputs'!$B$8+A693*IF('Loan Inputs'!$B$14=26,14,7)))</f>
        <v/>
      </c>
      <c r="C693" s="2" t="str">
        <f t="shared" si="32"/>
        <v/>
      </c>
      <c r="D693" s="2" t="str">
        <f>IF(A693="","",MIN('Loan Inputs'!$B$17,C693+E693)+H693)</f>
        <v/>
      </c>
      <c r="E693" s="2" t="str">
        <f>IF(A693="","",C693*'Loan Inputs'!$B$15)</f>
        <v/>
      </c>
      <c r="F693" s="2" t="str">
        <f t="shared" si="30"/>
        <v/>
      </c>
      <c r="G693" s="2" t="str">
        <f t="shared" si="31"/>
        <v/>
      </c>
      <c r="H693" s="2" t="str">
        <f>IF(A693="","",MIN(0,MAX(0,C693+E693-'Loan Inputs'!$B$17)))</f>
        <v/>
      </c>
    </row>
    <row r="694" spans="1:8" ht="22" customHeight="1">
      <c r="A694" s="1" t="str">
        <f>IF(AND('Loan Inputs'!$B$12,688&lt;=IF('Loan Inputs'!$B$12,'Loan Inputs'!$B$7,0)*'Loan Inputs'!$B$14+0,ISNUMBER(G693),G693&gt;0),688,"")</f>
        <v/>
      </c>
      <c r="B694" s="4" t="str">
        <f>IF(A694="","",IF('Loan Inputs'!$B$14=12,DATE(YEAR('Loan Inputs'!$B$8),MONTH('Loan Inputs'!$B$8)+A694,DAY('Loan Inputs'!$B$8)),'Loan Inputs'!$B$8+A694*IF('Loan Inputs'!$B$14=26,14,7)))</f>
        <v/>
      </c>
      <c r="C694" s="2" t="str">
        <f t="shared" si="32"/>
        <v/>
      </c>
      <c r="D694" s="2" t="str">
        <f>IF(A694="","",MIN('Loan Inputs'!$B$17,C694+E694)+H694)</f>
        <v/>
      </c>
      <c r="E694" s="2" t="str">
        <f>IF(A694="","",C694*'Loan Inputs'!$B$15)</f>
        <v/>
      </c>
      <c r="F694" s="2" t="str">
        <f t="shared" si="30"/>
        <v/>
      </c>
      <c r="G694" s="2" t="str">
        <f t="shared" si="31"/>
        <v/>
      </c>
      <c r="H694" s="2" t="str">
        <f>IF(A694="","",MIN(0,MAX(0,C694+E694-'Loan Inputs'!$B$17)))</f>
        <v/>
      </c>
    </row>
    <row r="695" spans="1:8" ht="22" customHeight="1">
      <c r="A695" s="1" t="str">
        <f>IF(AND('Loan Inputs'!$B$12,689&lt;=IF('Loan Inputs'!$B$12,'Loan Inputs'!$B$7,0)*'Loan Inputs'!$B$14+0,ISNUMBER(G694),G694&gt;0),689,"")</f>
        <v/>
      </c>
      <c r="B695" s="4" t="str">
        <f>IF(A695="","",IF('Loan Inputs'!$B$14=12,DATE(YEAR('Loan Inputs'!$B$8),MONTH('Loan Inputs'!$B$8)+A695,DAY('Loan Inputs'!$B$8)),'Loan Inputs'!$B$8+A695*IF('Loan Inputs'!$B$14=26,14,7)))</f>
        <v/>
      </c>
      <c r="C695" s="2" t="str">
        <f t="shared" si="32"/>
        <v/>
      </c>
      <c r="D695" s="2" t="str">
        <f>IF(A695="","",MIN('Loan Inputs'!$B$17,C695+E695)+H695)</f>
        <v/>
      </c>
      <c r="E695" s="2" t="str">
        <f>IF(A695="","",C695*'Loan Inputs'!$B$15)</f>
        <v/>
      </c>
      <c r="F695" s="2" t="str">
        <f t="shared" si="30"/>
        <v/>
      </c>
      <c r="G695" s="2" t="str">
        <f t="shared" si="31"/>
        <v/>
      </c>
      <c r="H695" s="2" t="str">
        <f>IF(A695="","",MIN(0,MAX(0,C695+E695-'Loan Inputs'!$B$17)))</f>
        <v/>
      </c>
    </row>
    <row r="696" spans="1:8" ht="22" customHeight="1">
      <c r="A696" s="1" t="str">
        <f>IF(AND('Loan Inputs'!$B$12,690&lt;=IF('Loan Inputs'!$B$12,'Loan Inputs'!$B$7,0)*'Loan Inputs'!$B$14+0,ISNUMBER(G695),G695&gt;0),690,"")</f>
        <v/>
      </c>
      <c r="B696" s="4" t="str">
        <f>IF(A696="","",IF('Loan Inputs'!$B$14=12,DATE(YEAR('Loan Inputs'!$B$8),MONTH('Loan Inputs'!$B$8)+A696,DAY('Loan Inputs'!$B$8)),'Loan Inputs'!$B$8+A696*IF('Loan Inputs'!$B$14=26,14,7)))</f>
        <v/>
      </c>
      <c r="C696" s="2" t="str">
        <f t="shared" si="32"/>
        <v/>
      </c>
      <c r="D696" s="2" t="str">
        <f>IF(A696="","",MIN('Loan Inputs'!$B$17,C696+E696)+H696)</f>
        <v/>
      </c>
      <c r="E696" s="2" t="str">
        <f>IF(A696="","",C696*'Loan Inputs'!$B$15)</f>
        <v/>
      </c>
      <c r="F696" s="2" t="str">
        <f t="shared" si="30"/>
        <v/>
      </c>
      <c r="G696" s="2" t="str">
        <f t="shared" si="31"/>
        <v/>
      </c>
      <c r="H696" s="2" t="str">
        <f>IF(A696="","",MIN(0,MAX(0,C696+E696-'Loan Inputs'!$B$17)))</f>
        <v/>
      </c>
    </row>
    <row r="697" spans="1:8" ht="22" customHeight="1">
      <c r="A697" s="1" t="str">
        <f>IF(AND('Loan Inputs'!$B$12,691&lt;=IF('Loan Inputs'!$B$12,'Loan Inputs'!$B$7,0)*'Loan Inputs'!$B$14+0,ISNUMBER(G696),G696&gt;0),691,"")</f>
        <v/>
      </c>
      <c r="B697" s="4" t="str">
        <f>IF(A697="","",IF('Loan Inputs'!$B$14=12,DATE(YEAR('Loan Inputs'!$B$8),MONTH('Loan Inputs'!$B$8)+A697,DAY('Loan Inputs'!$B$8)),'Loan Inputs'!$B$8+A697*IF('Loan Inputs'!$B$14=26,14,7)))</f>
        <v/>
      </c>
      <c r="C697" s="2" t="str">
        <f t="shared" si="32"/>
        <v/>
      </c>
      <c r="D697" s="2" t="str">
        <f>IF(A697="","",MIN('Loan Inputs'!$B$17,C697+E697)+H697)</f>
        <v/>
      </c>
      <c r="E697" s="2" t="str">
        <f>IF(A697="","",C697*'Loan Inputs'!$B$15)</f>
        <v/>
      </c>
      <c r="F697" s="2" t="str">
        <f t="shared" si="30"/>
        <v/>
      </c>
      <c r="G697" s="2" t="str">
        <f t="shared" si="31"/>
        <v/>
      </c>
      <c r="H697" s="2" t="str">
        <f>IF(A697="","",MIN(0,MAX(0,C697+E697-'Loan Inputs'!$B$17)))</f>
        <v/>
      </c>
    </row>
    <row r="698" spans="1:8" ht="22" customHeight="1">
      <c r="A698" s="1" t="str">
        <f>IF(AND('Loan Inputs'!$B$12,692&lt;=IF('Loan Inputs'!$B$12,'Loan Inputs'!$B$7,0)*'Loan Inputs'!$B$14+0,ISNUMBER(G697),G697&gt;0),692,"")</f>
        <v/>
      </c>
      <c r="B698" s="4" t="str">
        <f>IF(A698="","",IF('Loan Inputs'!$B$14=12,DATE(YEAR('Loan Inputs'!$B$8),MONTH('Loan Inputs'!$B$8)+A698,DAY('Loan Inputs'!$B$8)),'Loan Inputs'!$B$8+A698*IF('Loan Inputs'!$B$14=26,14,7)))</f>
        <v/>
      </c>
      <c r="C698" s="2" t="str">
        <f t="shared" si="32"/>
        <v/>
      </c>
      <c r="D698" s="2" t="str">
        <f>IF(A698="","",MIN('Loan Inputs'!$B$17,C698+E698)+H698)</f>
        <v/>
      </c>
      <c r="E698" s="2" t="str">
        <f>IF(A698="","",C698*'Loan Inputs'!$B$15)</f>
        <v/>
      </c>
      <c r="F698" s="2" t="str">
        <f t="shared" si="30"/>
        <v/>
      </c>
      <c r="G698" s="2" t="str">
        <f t="shared" si="31"/>
        <v/>
      </c>
      <c r="H698" s="2" t="str">
        <f>IF(A698="","",MIN(0,MAX(0,C698+E698-'Loan Inputs'!$B$17)))</f>
        <v/>
      </c>
    </row>
    <row r="699" spans="1:8" ht="22" customHeight="1">
      <c r="A699" s="1" t="str">
        <f>IF(AND('Loan Inputs'!$B$12,693&lt;=IF('Loan Inputs'!$B$12,'Loan Inputs'!$B$7,0)*'Loan Inputs'!$B$14+0,ISNUMBER(G698),G698&gt;0),693,"")</f>
        <v/>
      </c>
      <c r="B699" s="4" t="str">
        <f>IF(A699="","",IF('Loan Inputs'!$B$14=12,DATE(YEAR('Loan Inputs'!$B$8),MONTH('Loan Inputs'!$B$8)+A699,DAY('Loan Inputs'!$B$8)),'Loan Inputs'!$B$8+A699*IF('Loan Inputs'!$B$14=26,14,7)))</f>
        <v/>
      </c>
      <c r="C699" s="2" t="str">
        <f t="shared" si="32"/>
        <v/>
      </c>
      <c r="D699" s="2" t="str">
        <f>IF(A699="","",MIN('Loan Inputs'!$B$17,C699+E699)+H699)</f>
        <v/>
      </c>
      <c r="E699" s="2" t="str">
        <f>IF(A699="","",C699*'Loan Inputs'!$B$15)</f>
        <v/>
      </c>
      <c r="F699" s="2" t="str">
        <f t="shared" si="30"/>
        <v/>
      </c>
      <c r="G699" s="2" t="str">
        <f t="shared" si="31"/>
        <v/>
      </c>
      <c r="H699" s="2" t="str">
        <f>IF(A699="","",MIN(0,MAX(0,C699+E699-'Loan Inputs'!$B$17)))</f>
        <v/>
      </c>
    </row>
    <row r="700" spans="1:8" ht="22" customHeight="1">
      <c r="A700" s="1" t="str">
        <f>IF(AND('Loan Inputs'!$B$12,694&lt;=IF('Loan Inputs'!$B$12,'Loan Inputs'!$B$7,0)*'Loan Inputs'!$B$14+0,ISNUMBER(G699),G699&gt;0),694,"")</f>
        <v/>
      </c>
      <c r="B700" s="4" t="str">
        <f>IF(A700="","",IF('Loan Inputs'!$B$14=12,DATE(YEAR('Loan Inputs'!$B$8),MONTH('Loan Inputs'!$B$8)+A700,DAY('Loan Inputs'!$B$8)),'Loan Inputs'!$B$8+A700*IF('Loan Inputs'!$B$14=26,14,7)))</f>
        <v/>
      </c>
      <c r="C700" s="2" t="str">
        <f t="shared" si="32"/>
        <v/>
      </c>
      <c r="D700" s="2" t="str">
        <f>IF(A700="","",MIN('Loan Inputs'!$B$17,C700+E700)+H700)</f>
        <v/>
      </c>
      <c r="E700" s="2" t="str">
        <f>IF(A700="","",C700*'Loan Inputs'!$B$15)</f>
        <v/>
      </c>
      <c r="F700" s="2" t="str">
        <f t="shared" si="30"/>
        <v/>
      </c>
      <c r="G700" s="2" t="str">
        <f t="shared" si="31"/>
        <v/>
      </c>
      <c r="H700" s="2" t="str">
        <f>IF(A700="","",MIN(0,MAX(0,C700+E700-'Loan Inputs'!$B$17)))</f>
        <v/>
      </c>
    </row>
    <row r="701" spans="1:8" ht="22" customHeight="1">
      <c r="A701" s="1" t="str">
        <f>IF(AND('Loan Inputs'!$B$12,695&lt;=IF('Loan Inputs'!$B$12,'Loan Inputs'!$B$7,0)*'Loan Inputs'!$B$14+0,ISNUMBER(G700),G700&gt;0),695,"")</f>
        <v/>
      </c>
      <c r="B701" s="4" t="str">
        <f>IF(A701="","",IF('Loan Inputs'!$B$14=12,DATE(YEAR('Loan Inputs'!$B$8),MONTH('Loan Inputs'!$B$8)+A701,DAY('Loan Inputs'!$B$8)),'Loan Inputs'!$B$8+A701*IF('Loan Inputs'!$B$14=26,14,7)))</f>
        <v/>
      </c>
      <c r="C701" s="2" t="str">
        <f t="shared" si="32"/>
        <v/>
      </c>
      <c r="D701" s="2" t="str">
        <f>IF(A701="","",MIN('Loan Inputs'!$B$17,C701+E701)+H701)</f>
        <v/>
      </c>
      <c r="E701" s="2" t="str">
        <f>IF(A701="","",C701*'Loan Inputs'!$B$15)</f>
        <v/>
      </c>
      <c r="F701" s="2" t="str">
        <f t="shared" si="30"/>
        <v/>
      </c>
      <c r="G701" s="2" t="str">
        <f t="shared" si="31"/>
        <v/>
      </c>
      <c r="H701" s="2" t="str">
        <f>IF(A701="","",MIN(0,MAX(0,C701+E701-'Loan Inputs'!$B$17)))</f>
        <v/>
      </c>
    </row>
    <row r="702" spans="1:8" ht="22" customHeight="1">
      <c r="A702" s="1" t="str">
        <f>IF(AND('Loan Inputs'!$B$12,696&lt;=IF('Loan Inputs'!$B$12,'Loan Inputs'!$B$7,0)*'Loan Inputs'!$B$14+0,ISNUMBER(G701),G701&gt;0),696,"")</f>
        <v/>
      </c>
      <c r="B702" s="4" t="str">
        <f>IF(A702="","",IF('Loan Inputs'!$B$14=12,DATE(YEAR('Loan Inputs'!$B$8),MONTH('Loan Inputs'!$B$8)+A702,DAY('Loan Inputs'!$B$8)),'Loan Inputs'!$B$8+A702*IF('Loan Inputs'!$B$14=26,14,7)))</f>
        <v/>
      </c>
      <c r="C702" s="2" t="str">
        <f t="shared" si="32"/>
        <v/>
      </c>
      <c r="D702" s="2" t="str">
        <f>IF(A702="","",MIN('Loan Inputs'!$B$17,C702+E702)+H702)</f>
        <v/>
      </c>
      <c r="E702" s="2" t="str">
        <f>IF(A702="","",C702*'Loan Inputs'!$B$15)</f>
        <v/>
      </c>
      <c r="F702" s="2" t="str">
        <f t="shared" si="30"/>
        <v/>
      </c>
      <c r="G702" s="2" t="str">
        <f t="shared" si="31"/>
        <v/>
      </c>
      <c r="H702" s="2" t="str">
        <f>IF(A702="","",MIN(0,MAX(0,C702+E702-'Loan Inputs'!$B$17)))</f>
        <v/>
      </c>
    </row>
    <row r="703" spans="1:8" ht="22" customHeight="1">
      <c r="A703" s="1" t="str">
        <f>IF(AND('Loan Inputs'!$B$12,697&lt;=IF('Loan Inputs'!$B$12,'Loan Inputs'!$B$7,0)*'Loan Inputs'!$B$14+0,ISNUMBER(G702),G702&gt;0),697,"")</f>
        <v/>
      </c>
      <c r="B703" s="4" t="str">
        <f>IF(A703="","",IF('Loan Inputs'!$B$14=12,DATE(YEAR('Loan Inputs'!$B$8),MONTH('Loan Inputs'!$B$8)+A703,DAY('Loan Inputs'!$B$8)),'Loan Inputs'!$B$8+A703*IF('Loan Inputs'!$B$14=26,14,7)))</f>
        <v/>
      </c>
      <c r="C703" s="2" t="str">
        <f t="shared" si="32"/>
        <v/>
      </c>
      <c r="D703" s="2" t="str">
        <f>IF(A703="","",MIN('Loan Inputs'!$B$17,C703+E703)+H703)</f>
        <v/>
      </c>
      <c r="E703" s="2" t="str">
        <f>IF(A703="","",C703*'Loan Inputs'!$B$15)</f>
        <v/>
      </c>
      <c r="F703" s="2" t="str">
        <f t="shared" si="30"/>
        <v/>
      </c>
      <c r="G703" s="2" t="str">
        <f t="shared" si="31"/>
        <v/>
      </c>
      <c r="H703" s="2" t="str">
        <f>IF(A703="","",MIN(0,MAX(0,C703+E703-'Loan Inputs'!$B$17)))</f>
        <v/>
      </c>
    </row>
    <row r="704" spans="1:8" ht="22" customHeight="1">
      <c r="A704" s="1" t="str">
        <f>IF(AND('Loan Inputs'!$B$12,698&lt;=IF('Loan Inputs'!$B$12,'Loan Inputs'!$B$7,0)*'Loan Inputs'!$B$14+0,ISNUMBER(G703),G703&gt;0),698,"")</f>
        <v/>
      </c>
      <c r="B704" s="4" t="str">
        <f>IF(A704="","",IF('Loan Inputs'!$B$14=12,DATE(YEAR('Loan Inputs'!$B$8),MONTH('Loan Inputs'!$B$8)+A704,DAY('Loan Inputs'!$B$8)),'Loan Inputs'!$B$8+A704*IF('Loan Inputs'!$B$14=26,14,7)))</f>
        <v/>
      </c>
      <c r="C704" s="2" t="str">
        <f t="shared" si="32"/>
        <v/>
      </c>
      <c r="D704" s="2" t="str">
        <f>IF(A704="","",MIN('Loan Inputs'!$B$17,C704+E704)+H704)</f>
        <v/>
      </c>
      <c r="E704" s="2" t="str">
        <f>IF(A704="","",C704*'Loan Inputs'!$B$15)</f>
        <v/>
      </c>
      <c r="F704" s="2" t="str">
        <f t="shared" si="30"/>
        <v/>
      </c>
      <c r="G704" s="2" t="str">
        <f t="shared" si="31"/>
        <v/>
      </c>
      <c r="H704" s="2" t="str">
        <f>IF(A704="","",MIN(0,MAX(0,C704+E704-'Loan Inputs'!$B$17)))</f>
        <v/>
      </c>
    </row>
    <row r="705" spans="1:8" ht="22" customHeight="1">
      <c r="A705" s="1" t="str">
        <f>IF(AND('Loan Inputs'!$B$12,699&lt;=IF('Loan Inputs'!$B$12,'Loan Inputs'!$B$7,0)*'Loan Inputs'!$B$14+0,ISNUMBER(G704),G704&gt;0),699,"")</f>
        <v/>
      </c>
      <c r="B705" s="4" t="str">
        <f>IF(A705="","",IF('Loan Inputs'!$B$14=12,DATE(YEAR('Loan Inputs'!$B$8),MONTH('Loan Inputs'!$B$8)+A705,DAY('Loan Inputs'!$B$8)),'Loan Inputs'!$B$8+A705*IF('Loan Inputs'!$B$14=26,14,7)))</f>
        <v/>
      </c>
      <c r="C705" s="2" t="str">
        <f t="shared" si="32"/>
        <v/>
      </c>
      <c r="D705" s="2" t="str">
        <f>IF(A705="","",MIN('Loan Inputs'!$B$17,C705+E705)+H705)</f>
        <v/>
      </c>
      <c r="E705" s="2" t="str">
        <f>IF(A705="","",C705*'Loan Inputs'!$B$15)</f>
        <v/>
      </c>
      <c r="F705" s="2" t="str">
        <f t="shared" si="30"/>
        <v/>
      </c>
      <c r="G705" s="2" t="str">
        <f t="shared" si="31"/>
        <v/>
      </c>
      <c r="H705" s="2" t="str">
        <f>IF(A705="","",MIN(0,MAX(0,C705+E705-'Loan Inputs'!$B$17)))</f>
        <v/>
      </c>
    </row>
    <row r="706" spans="1:8" ht="22" customHeight="1">
      <c r="A706" s="1" t="str">
        <f>IF(AND('Loan Inputs'!$B$12,700&lt;=IF('Loan Inputs'!$B$12,'Loan Inputs'!$B$7,0)*'Loan Inputs'!$B$14+0,ISNUMBER(G705),G705&gt;0),700,"")</f>
        <v/>
      </c>
      <c r="B706" s="4" t="str">
        <f>IF(A706="","",IF('Loan Inputs'!$B$14=12,DATE(YEAR('Loan Inputs'!$B$8),MONTH('Loan Inputs'!$B$8)+A706,DAY('Loan Inputs'!$B$8)),'Loan Inputs'!$B$8+A706*IF('Loan Inputs'!$B$14=26,14,7)))</f>
        <v/>
      </c>
      <c r="C706" s="2" t="str">
        <f t="shared" si="32"/>
        <v/>
      </c>
      <c r="D706" s="2" t="str">
        <f>IF(A706="","",MIN('Loan Inputs'!$B$17,C706+E706)+H706)</f>
        <v/>
      </c>
      <c r="E706" s="2" t="str">
        <f>IF(A706="","",C706*'Loan Inputs'!$B$15)</f>
        <v/>
      </c>
      <c r="F706" s="2" t="str">
        <f t="shared" si="30"/>
        <v/>
      </c>
      <c r="G706" s="2" t="str">
        <f t="shared" si="31"/>
        <v/>
      </c>
      <c r="H706" s="2" t="str">
        <f>IF(A706="","",MIN(0,MAX(0,C706+E706-'Loan Inputs'!$B$17)))</f>
        <v/>
      </c>
    </row>
    <row r="707" spans="1:8" ht="22" customHeight="1">
      <c r="A707" s="1" t="str">
        <f>IF(AND('Loan Inputs'!$B$12,701&lt;=IF('Loan Inputs'!$B$12,'Loan Inputs'!$B$7,0)*'Loan Inputs'!$B$14+0,ISNUMBER(G706),G706&gt;0),701,"")</f>
        <v/>
      </c>
      <c r="B707" s="4" t="str">
        <f>IF(A707="","",IF('Loan Inputs'!$B$14=12,DATE(YEAR('Loan Inputs'!$B$8),MONTH('Loan Inputs'!$B$8)+A707,DAY('Loan Inputs'!$B$8)),'Loan Inputs'!$B$8+A707*IF('Loan Inputs'!$B$14=26,14,7)))</f>
        <v/>
      </c>
      <c r="C707" s="2" t="str">
        <f t="shared" si="32"/>
        <v/>
      </c>
      <c r="D707" s="2" t="str">
        <f>IF(A707="","",MIN('Loan Inputs'!$B$17,C707+E707)+H707)</f>
        <v/>
      </c>
      <c r="E707" s="2" t="str">
        <f>IF(A707="","",C707*'Loan Inputs'!$B$15)</f>
        <v/>
      </c>
      <c r="F707" s="2" t="str">
        <f t="shared" si="30"/>
        <v/>
      </c>
      <c r="G707" s="2" t="str">
        <f t="shared" si="31"/>
        <v/>
      </c>
      <c r="H707" s="2" t="str">
        <f>IF(A707="","",MIN(0,MAX(0,C707+E707-'Loan Inputs'!$B$17)))</f>
        <v/>
      </c>
    </row>
    <row r="708" spans="1:8" ht="22" customHeight="1">
      <c r="A708" s="1" t="str">
        <f>IF(AND('Loan Inputs'!$B$12,702&lt;=IF('Loan Inputs'!$B$12,'Loan Inputs'!$B$7,0)*'Loan Inputs'!$B$14+0,ISNUMBER(G707),G707&gt;0),702,"")</f>
        <v/>
      </c>
      <c r="B708" s="4" t="str">
        <f>IF(A708="","",IF('Loan Inputs'!$B$14=12,DATE(YEAR('Loan Inputs'!$B$8),MONTH('Loan Inputs'!$B$8)+A708,DAY('Loan Inputs'!$B$8)),'Loan Inputs'!$B$8+A708*IF('Loan Inputs'!$B$14=26,14,7)))</f>
        <v/>
      </c>
      <c r="C708" s="2" t="str">
        <f t="shared" si="32"/>
        <v/>
      </c>
      <c r="D708" s="2" t="str">
        <f>IF(A708="","",MIN('Loan Inputs'!$B$17,C708+E708)+H708)</f>
        <v/>
      </c>
      <c r="E708" s="2" t="str">
        <f>IF(A708="","",C708*'Loan Inputs'!$B$15)</f>
        <v/>
      </c>
      <c r="F708" s="2" t="str">
        <f t="shared" si="30"/>
        <v/>
      </c>
      <c r="G708" s="2" t="str">
        <f t="shared" si="31"/>
        <v/>
      </c>
      <c r="H708" s="2" t="str">
        <f>IF(A708="","",MIN(0,MAX(0,C708+E708-'Loan Inputs'!$B$17)))</f>
        <v/>
      </c>
    </row>
    <row r="709" spans="1:8" ht="22" customHeight="1">
      <c r="A709" s="1" t="str">
        <f>IF(AND('Loan Inputs'!$B$12,703&lt;=IF('Loan Inputs'!$B$12,'Loan Inputs'!$B$7,0)*'Loan Inputs'!$B$14+0,ISNUMBER(G708),G708&gt;0),703,"")</f>
        <v/>
      </c>
      <c r="B709" s="4" t="str">
        <f>IF(A709="","",IF('Loan Inputs'!$B$14=12,DATE(YEAR('Loan Inputs'!$B$8),MONTH('Loan Inputs'!$B$8)+A709,DAY('Loan Inputs'!$B$8)),'Loan Inputs'!$B$8+A709*IF('Loan Inputs'!$B$14=26,14,7)))</f>
        <v/>
      </c>
      <c r="C709" s="2" t="str">
        <f t="shared" si="32"/>
        <v/>
      </c>
      <c r="D709" s="2" t="str">
        <f>IF(A709="","",MIN('Loan Inputs'!$B$17,C709+E709)+H709)</f>
        <v/>
      </c>
      <c r="E709" s="2" t="str">
        <f>IF(A709="","",C709*'Loan Inputs'!$B$15)</f>
        <v/>
      </c>
      <c r="F709" s="2" t="str">
        <f t="shared" si="30"/>
        <v/>
      </c>
      <c r="G709" s="2" t="str">
        <f t="shared" si="31"/>
        <v/>
      </c>
      <c r="H709" s="2" t="str">
        <f>IF(A709="","",MIN(0,MAX(0,C709+E709-'Loan Inputs'!$B$17)))</f>
        <v/>
      </c>
    </row>
    <row r="710" spans="1:8" ht="22" customHeight="1">
      <c r="A710" s="1" t="str">
        <f>IF(AND('Loan Inputs'!$B$12,704&lt;=IF('Loan Inputs'!$B$12,'Loan Inputs'!$B$7,0)*'Loan Inputs'!$B$14+0,ISNUMBER(G709),G709&gt;0),704,"")</f>
        <v/>
      </c>
      <c r="B710" s="4" t="str">
        <f>IF(A710="","",IF('Loan Inputs'!$B$14=12,DATE(YEAR('Loan Inputs'!$B$8),MONTH('Loan Inputs'!$B$8)+A710,DAY('Loan Inputs'!$B$8)),'Loan Inputs'!$B$8+A710*IF('Loan Inputs'!$B$14=26,14,7)))</f>
        <v/>
      </c>
      <c r="C710" s="2" t="str">
        <f t="shared" si="32"/>
        <v/>
      </c>
      <c r="D710" s="2" t="str">
        <f>IF(A710="","",MIN('Loan Inputs'!$B$17,C710+E710)+H710)</f>
        <v/>
      </c>
      <c r="E710" s="2" t="str">
        <f>IF(A710="","",C710*'Loan Inputs'!$B$15)</f>
        <v/>
      </c>
      <c r="F710" s="2" t="str">
        <f t="shared" si="30"/>
        <v/>
      </c>
      <c r="G710" s="2" t="str">
        <f t="shared" si="31"/>
        <v/>
      </c>
      <c r="H710" s="2" t="str">
        <f>IF(A710="","",MIN(0,MAX(0,C710+E710-'Loan Inputs'!$B$17)))</f>
        <v/>
      </c>
    </row>
    <row r="711" spans="1:8" ht="22" customHeight="1">
      <c r="A711" s="1" t="str">
        <f>IF(AND('Loan Inputs'!$B$12,705&lt;=IF('Loan Inputs'!$B$12,'Loan Inputs'!$B$7,0)*'Loan Inputs'!$B$14+0,ISNUMBER(G710),G710&gt;0),705,"")</f>
        <v/>
      </c>
      <c r="B711" s="4" t="str">
        <f>IF(A711="","",IF('Loan Inputs'!$B$14=12,DATE(YEAR('Loan Inputs'!$B$8),MONTH('Loan Inputs'!$B$8)+A711,DAY('Loan Inputs'!$B$8)),'Loan Inputs'!$B$8+A711*IF('Loan Inputs'!$B$14=26,14,7)))</f>
        <v/>
      </c>
      <c r="C711" s="2" t="str">
        <f t="shared" si="32"/>
        <v/>
      </c>
      <c r="D711" s="2" t="str">
        <f>IF(A711="","",MIN('Loan Inputs'!$B$17,C711+E711)+H711)</f>
        <v/>
      </c>
      <c r="E711" s="2" t="str">
        <f>IF(A711="","",C711*'Loan Inputs'!$B$15)</f>
        <v/>
      </c>
      <c r="F711" s="2" t="str">
        <f t="shared" ref="F711:F774" si="33">IF(A711="","",MIN(C711,D711-E711))</f>
        <v/>
      </c>
      <c r="G711" s="2" t="str">
        <f t="shared" ref="G711:G774" si="34">IF(A711="","",IF(C711-F711&lt;0.01,0,MAX(0,C711-F711)))</f>
        <v/>
      </c>
      <c r="H711" s="2" t="str">
        <f>IF(A711="","",MIN(0,MAX(0,C711+E711-'Loan Inputs'!$B$17)))</f>
        <v/>
      </c>
    </row>
    <row r="712" spans="1:8" ht="22" customHeight="1">
      <c r="A712" s="1" t="str">
        <f>IF(AND('Loan Inputs'!$B$12,706&lt;=IF('Loan Inputs'!$B$12,'Loan Inputs'!$B$7,0)*'Loan Inputs'!$B$14+0,ISNUMBER(G711),G711&gt;0),706,"")</f>
        <v/>
      </c>
      <c r="B712" s="4" t="str">
        <f>IF(A712="","",IF('Loan Inputs'!$B$14=12,DATE(YEAR('Loan Inputs'!$B$8),MONTH('Loan Inputs'!$B$8)+A712,DAY('Loan Inputs'!$B$8)),'Loan Inputs'!$B$8+A712*IF('Loan Inputs'!$B$14=26,14,7)))</f>
        <v/>
      </c>
      <c r="C712" s="2" t="str">
        <f t="shared" ref="C712:C775" si="35">IF(A712="","",G711)</f>
        <v/>
      </c>
      <c r="D712" s="2" t="str">
        <f>IF(A712="","",MIN('Loan Inputs'!$B$17,C712+E712)+H712)</f>
        <v/>
      </c>
      <c r="E712" s="2" t="str">
        <f>IF(A712="","",C712*'Loan Inputs'!$B$15)</f>
        <v/>
      </c>
      <c r="F712" s="2" t="str">
        <f t="shared" si="33"/>
        <v/>
      </c>
      <c r="G712" s="2" t="str">
        <f t="shared" si="34"/>
        <v/>
      </c>
      <c r="H712" s="2" t="str">
        <f>IF(A712="","",MIN(0,MAX(0,C712+E712-'Loan Inputs'!$B$17)))</f>
        <v/>
      </c>
    </row>
    <row r="713" spans="1:8" ht="22" customHeight="1">
      <c r="A713" s="1" t="str">
        <f>IF(AND('Loan Inputs'!$B$12,707&lt;=IF('Loan Inputs'!$B$12,'Loan Inputs'!$B$7,0)*'Loan Inputs'!$B$14+0,ISNUMBER(G712),G712&gt;0),707,"")</f>
        <v/>
      </c>
      <c r="B713" s="4" t="str">
        <f>IF(A713="","",IF('Loan Inputs'!$B$14=12,DATE(YEAR('Loan Inputs'!$B$8),MONTH('Loan Inputs'!$B$8)+A713,DAY('Loan Inputs'!$B$8)),'Loan Inputs'!$B$8+A713*IF('Loan Inputs'!$B$14=26,14,7)))</f>
        <v/>
      </c>
      <c r="C713" s="2" t="str">
        <f t="shared" si="35"/>
        <v/>
      </c>
      <c r="D713" s="2" t="str">
        <f>IF(A713="","",MIN('Loan Inputs'!$B$17,C713+E713)+H713)</f>
        <v/>
      </c>
      <c r="E713" s="2" t="str">
        <f>IF(A713="","",C713*'Loan Inputs'!$B$15)</f>
        <v/>
      </c>
      <c r="F713" s="2" t="str">
        <f t="shared" si="33"/>
        <v/>
      </c>
      <c r="G713" s="2" t="str">
        <f t="shared" si="34"/>
        <v/>
      </c>
      <c r="H713" s="2" t="str">
        <f>IF(A713="","",MIN(0,MAX(0,C713+E713-'Loan Inputs'!$B$17)))</f>
        <v/>
      </c>
    </row>
    <row r="714" spans="1:8" ht="22" customHeight="1">
      <c r="A714" s="1" t="str">
        <f>IF(AND('Loan Inputs'!$B$12,708&lt;=IF('Loan Inputs'!$B$12,'Loan Inputs'!$B$7,0)*'Loan Inputs'!$B$14+0,ISNUMBER(G713),G713&gt;0),708,"")</f>
        <v/>
      </c>
      <c r="B714" s="4" t="str">
        <f>IF(A714="","",IF('Loan Inputs'!$B$14=12,DATE(YEAR('Loan Inputs'!$B$8),MONTH('Loan Inputs'!$B$8)+A714,DAY('Loan Inputs'!$B$8)),'Loan Inputs'!$B$8+A714*IF('Loan Inputs'!$B$14=26,14,7)))</f>
        <v/>
      </c>
      <c r="C714" s="2" t="str">
        <f t="shared" si="35"/>
        <v/>
      </c>
      <c r="D714" s="2" t="str">
        <f>IF(A714="","",MIN('Loan Inputs'!$B$17,C714+E714)+H714)</f>
        <v/>
      </c>
      <c r="E714" s="2" t="str">
        <f>IF(A714="","",C714*'Loan Inputs'!$B$15)</f>
        <v/>
      </c>
      <c r="F714" s="2" t="str">
        <f t="shared" si="33"/>
        <v/>
      </c>
      <c r="G714" s="2" t="str">
        <f t="shared" si="34"/>
        <v/>
      </c>
      <c r="H714" s="2" t="str">
        <f>IF(A714="","",MIN(0,MAX(0,C714+E714-'Loan Inputs'!$B$17)))</f>
        <v/>
      </c>
    </row>
    <row r="715" spans="1:8" ht="22" customHeight="1">
      <c r="A715" s="1" t="str">
        <f>IF(AND('Loan Inputs'!$B$12,709&lt;=IF('Loan Inputs'!$B$12,'Loan Inputs'!$B$7,0)*'Loan Inputs'!$B$14+0,ISNUMBER(G714),G714&gt;0),709,"")</f>
        <v/>
      </c>
      <c r="B715" s="4" t="str">
        <f>IF(A715="","",IF('Loan Inputs'!$B$14=12,DATE(YEAR('Loan Inputs'!$B$8),MONTH('Loan Inputs'!$B$8)+A715,DAY('Loan Inputs'!$B$8)),'Loan Inputs'!$B$8+A715*IF('Loan Inputs'!$B$14=26,14,7)))</f>
        <v/>
      </c>
      <c r="C715" s="2" t="str">
        <f t="shared" si="35"/>
        <v/>
      </c>
      <c r="D715" s="2" t="str">
        <f>IF(A715="","",MIN('Loan Inputs'!$B$17,C715+E715)+H715)</f>
        <v/>
      </c>
      <c r="E715" s="2" t="str">
        <f>IF(A715="","",C715*'Loan Inputs'!$B$15)</f>
        <v/>
      </c>
      <c r="F715" s="2" t="str">
        <f t="shared" si="33"/>
        <v/>
      </c>
      <c r="G715" s="2" t="str">
        <f t="shared" si="34"/>
        <v/>
      </c>
      <c r="H715" s="2" t="str">
        <f>IF(A715="","",MIN(0,MAX(0,C715+E715-'Loan Inputs'!$B$17)))</f>
        <v/>
      </c>
    </row>
    <row r="716" spans="1:8" ht="22" customHeight="1">
      <c r="A716" s="1" t="str">
        <f>IF(AND('Loan Inputs'!$B$12,710&lt;=IF('Loan Inputs'!$B$12,'Loan Inputs'!$B$7,0)*'Loan Inputs'!$B$14+0,ISNUMBER(G715),G715&gt;0),710,"")</f>
        <v/>
      </c>
      <c r="B716" s="4" t="str">
        <f>IF(A716="","",IF('Loan Inputs'!$B$14=12,DATE(YEAR('Loan Inputs'!$B$8),MONTH('Loan Inputs'!$B$8)+A716,DAY('Loan Inputs'!$B$8)),'Loan Inputs'!$B$8+A716*IF('Loan Inputs'!$B$14=26,14,7)))</f>
        <v/>
      </c>
      <c r="C716" s="2" t="str">
        <f t="shared" si="35"/>
        <v/>
      </c>
      <c r="D716" s="2" t="str">
        <f>IF(A716="","",MIN('Loan Inputs'!$B$17,C716+E716)+H716)</f>
        <v/>
      </c>
      <c r="E716" s="2" t="str">
        <f>IF(A716="","",C716*'Loan Inputs'!$B$15)</f>
        <v/>
      </c>
      <c r="F716" s="2" t="str">
        <f t="shared" si="33"/>
        <v/>
      </c>
      <c r="G716" s="2" t="str">
        <f t="shared" si="34"/>
        <v/>
      </c>
      <c r="H716" s="2" t="str">
        <f>IF(A716="","",MIN(0,MAX(0,C716+E716-'Loan Inputs'!$B$17)))</f>
        <v/>
      </c>
    </row>
    <row r="717" spans="1:8" ht="22" customHeight="1">
      <c r="A717" s="1" t="str">
        <f>IF(AND('Loan Inputs'!$B$12,711&lt;=IF('Loan Inputs'!$B$12,'Loan Inputs'!$B$7,0)*'Loan Inputs'!$B$14+0,ISNUMBER(G716),G716&gt;0),711,"")</f>
        <v/>
      </c>
      <c r="B717" s="4" t="str">
        <f>IF(A717="","",IF('Loan Inputs'!$B$14=12,DATE(YEAR('Loan Inputs'!$B$8),MONTH('Loan Inputs'!$B$8)+A717,DAY('Loan Inputs'!$B$8)),'Loan Inputs'!$B$8+A717*IF('Loan Inputs'!$B$14=26,14,7)))</f>
        <v/>
      </c>
      <c r="C717" s="2" t="str">
        <f t="shared" si="35"/>
        <v/>
      </c>
      <c r="D717" s="2" t="str">
        <f>IF(A717="","",MIN('Loan Inputs'!$B$17,C717+E717)+H717)</f>
        <v/>
      </c>
      <c r="E717" s="2" t="str">
        <f>IF(A717="","",C717*'Loan Inputs'!$B$15)</f>
        <v/>
      </c>
      <c r="F717" s="2" t="str">
        <f t="shared" si="33"/>
        <v/>
      </c>
      <c r="G717" s="2" t="str">
        <f t="shared" si="34"/>
        <v/>
      </c>
      <c r="H717" s="2" t="str">
        <f>IF(A717="","",MIN(0,MAX(0,C717+E717-'Loan Inputs'!$B$17)))</f>
        <v/>
      </c>
    </row>
    <row r="718" spans="1:8" ht="22" customHeight="1">
      <c r="A718" s="1" t="str">
        <f>IF(AND('Loan Inputs'!$B$12,712&lt;=IF('Loan Inputs'!$B$12,'Loan Inputs'!$B$7,0)*'Loan Inputs'!$B$14+0,ISNUMBER(G717),G717&gt;0),712,"")</f>
        <v/>
      </c>
      <c r="B718" s="4" t="str">
        <f>IF(A718="","",IF('Loan Inputs'!$B$14=12,DATE(YEAR('Loan Inputs'!$B$8),MONTH('Loan Inputs'!$B$8)+A718,DAY('Loan Inputs'!$B$8)),'Loan Inputs'!$B$8+A718*IF('Loan Inputs'!$B$14=26,14,7)))</f>
        <v/>
      </c>
      <c r="C718" s="2" t="str">
        <f t="shared" si="35"/>
        <v/>
      </c>
      <c r="D718" s="2" t="str">
        <f>IF(A718="","",MIN('Loan Inputs'!$B$17,C718+E718)+H718)</f>
        <v/>
      </c>
      <c r="E718" s="2" t="str">
        <f>IF(A718="","",C718*'Loan Inputs'!$B$15)</f>
        <v/>
      </c>
      <c r="F718" s="2" t="str">
        <f t="shared" si="33"/>
        <v/>
      </c>
      <c r="G718" s="2" t="str">
        <f t="shared" si="34"/>
        <v/>
      </c>
      <c r="H718" s="2" t="str">
        <f>IF(A718="","",MIN(0,MAX(0,C718+E718-'Loan Inputs'!$B$17)))</f>
        <v/>
      </c>
    </row>
    <row r="719" spans="1:8" ht="22" customHeight="1">
      <c r="A719" s="1" t="str">
        <f>IF(AND('Loan Inputs'!$B$12,713&lt;=IF('Loan Inputs'!$B$12,'Loan Inputs'!$B$7,0)*'Loan Inputs'!$B$14+0,ISNUMBER(G718),G718&gt;0),713,"")</f>
        <v/>
      </c>
      <c r="B719" s="4" t="str">
        <f>IF(A719="","",IF('Loan Inputs'!$B$14=12,DATE(YEAR('Loan Inputs'!$B$8),MONTH('Loan Inputs'!$B$8)+A719,DAY('Loan Inputs'!$B$8)),'Loan Inputs'!$B$8+A719*IF('Loan Inputs'!$B$14=26,14,7)))</f>
        <v/>
      </c>
      <c r="C719" s="2" t="str">
        <f t="shared" si="35"/>
        <v/>
      </c>
      <c r="D719" s="2" t="str">
        <f>IF(A719="","",MIN('Loan Inputs'!$B$17,C719+E719)+H719)</f>
        <v/>
      </c>
      <c r="E719" s="2" t="str">
        <f>IF(A719="","",C719*'Loan Inputs'!$B$15)</f>
        <v/>
      </c>
      <c r="F719" s="2" t="str">
        <f t="shared" si="33"/>
        <v/>
      </c>
      <c r="G719" s="2" t="str">
        <f t="shared" si="34"/>
        <v/>
      </c>
      <c r="H719" s="2" t="str">
        <f>IF(A719="","",MIN(0,MAX(0,C719+E719-'Loan Inputs'!$B$17)))</f>
        <v/>
      </c>
    </row>
    <row r="720" spans="1:8" ht="22" customHeight="1">
      <c r="A720" s="1" t="str">
        <f>IF(AND('Loan Inputs'!$B$12,714&lt;=IF('Loan Inputs'!$B$12,'Loan Inputs'!$B$7,0)*'Loan Inputs'!$B$14+0,ISNUMBER(G719),G719&gt;0),714,"")</f>
        <v/>
      </c>
      <c r="B720" s="4" t="str">
        <f>IF(A720="","",IF('Loan Inputs'!$B$14=12,DATE(YEAR('Loan Inputs'!$B$8),MONTH('Loan Inputs'!$B$8)+A720,DAY('Loan Inputs'!$B$8)),'Loan Inputs'!$B$8+A720*IF('Loan Inputs'!$B$14=26,14,7)))</f>
        <v/>
      </c>
      <c r="C720" s="2" t="str">
        <f t="shared" si="35"/>
        <v/>
      </c>
      <c r="D720" s="2" t="str">
        <f>IF(A720="","",MIN('Loan Inputs'!$B$17,C720+E720)+H720)</f>
        <v/>
      </c>
      <c r="E720" s="2" t="str">
        <f>IF(A720="","",C720*'Loan Inputs'!$B$15)</f>
        <v/>
      </c>
      <c r="F720" s="2" t="str">
        <f t="shared" si="33"/>
        <v/>
      </c>
      <c r="G720" s="2" t="str">
        <f t="shared" si="34"/>
        <v/>
      </c>
      <c r="H720" s="2" t="str">
        <f>IF(A720="","",MIN(0,MAX(0,C720+E720-'Loan Inputs'!$B$17)))</f>
        <v/>
      </c>
    </row>
    <row r="721" spans="1:8" ht="22" customHeight="1">
      <c r="A721" s="1" t="str">
        <f>IF(AND('Loan Inputs'!$B$12,715&lt;=IF('Loan Inputs'!$B$12,'Loan Inputs'!$B$7,0)*'Loan Inputs'!$B$14+0,ISNUMBER(G720),G720&gt;0),715,"")</f>
        <v/>
      </c>
      <c r="B721" s="4" t="str">
        <f>IF(A721="","",IF('Loan Inputs'!$B$14=12,DATE(YEAR('Loan Inputs'!$B$8),MONTH('Loan Inputs'!$B$8)+A721,DAY('Loan Inputs'!$B$8)),'Loan Inputs'!$B$8+A721*IF('Loan Inputs'!$B$14=26,14,7)))</f>
        <v/>
      </c>
      <c r="C721" s="2" t="str">
        <f t="shared" si="35"/>
        <v/>
      </c>
      <c r="D721" s="2" t="str">
        <f>IF(A721="","",MIN('Loan Inputs'!$B$17,C721+E721)+H721)</f>
        <v/>
      </c>
      <c r="E721" s="2" t="str">
        <f>IF(A721="","",C721*'Loan Inputs'!$B$15)</f>
        <v/>
      </c>
      <c r="F721" s="2" t="str">
        <f t="shared" si="33"/>
        <v/>
      </c>
      <c r="G721" s="2" t="str">
        <f t="shared" si="34"/>
        <v/>
      </c>
      <c r="H721" s="2" t="str">
        <f>IF(A721="","",MIN(0,MAX(0,C721+E721-'Loan Inputs'!$B$17)))</f>
        <v/>
      </c>
    </row>
    <row r="722" spans="1:8" ht="22" customHeight="1">
      <c r="A722" s="1" t="str">
        <f>IF(AND('Loan Inputs'!$B$12,716&lt;=IF('Loan Inputs'!$B$12,'Loan Inputs'!$B$7,0)*'Loan Inputs'!$B$14+0,ISNUMBER(G721),G721&gt;0),716,"")</f>
        <v/>
      </c>
      <c r="B722" s="4" t="str">
        <f>IF(A722="","",IF('Loan Inputs'!$B$14=12,DATE(YEAR('Loan Inputs'!$B$8),MONTH('Loan Inputs'!$B$8)+A722,DAY('Loan Inputs'!$B$8)),'Loan Inputs'!$B$8+A722*IF('Loan Inputs'!$B$14=26,14,7)))</f>
        <v/>
      </c>
      <c r="C722" s="2" t="str">
        <f t="shared" si="35"/>
        <v/>
      </c>
      <c r="D722" s="2" t="str">
        <f>IF(A722="","",MIN('Loan Inputs'!$B$17,C722+E722)+H722)</f>
        <v/>
      </c>
      <c r="E722" s="2" t="str">
        <f>IF(A722="","",C722*'Loan Inputs'!$B$15)</f>
        <v/>
      </c>
      <c r="F722" s="2" t="str">
        <f t="shared" si="33"/>
        <v/>
      </c>
      <c r="G722" s="2" t="str">
        <f t="shared" si="34"/>
        <v/>
      </c>
      <c r="H722" s="2" t="str">
        <f>IF(A722="","",MIN(0,MAX(0,C722+E722-'Loan Inputs'!$B$17)))</f>
        <v/>
      </c>
    </row>
    <row r="723" spans="1:8" ht="22" customHeight="1">
      <c r="A723" s="1" t="str">
        <f>IF(AND('Loan Inputs'!$B$12,717&lt;=IF('Loan Inputs'!$B$12,'Loan Inputs'!$B$7,0)*'Loan Inputs'!$B$14+0,ISNUMBER(G722),G722&gt;0),717,"")</f>
        <v/>
      </c>
      <c r="B723" s="4" t="str">
        <f>IF(A723="","",IF('Loan Inputs'!$B$14=12,DATE(YEAR('Loan Inputs'!$B$8),MONTH('Loan Inputs'!$B$8)+A723,DAY('Loan Inputs'!$B$8)),'Loan Inputs'!$B$8+A723*IF('Loan Inputs'!$B$14=26,14,7)))</f>
        <v/>
      </c>
      <c r="C723" s="2" t="str">
        <f t="shared" si="35"/>
        <v/>
      </c>
      <c r="D723" s="2" t="str">
        <f>IF(A723="","",MIN('Loan Inputs'!$B$17,C723+E723)+H723)</f>
        <v/>
      </c>
      <c r="E723" s="2" t="str">
        <f>IF(A723="","",C723*'Loan Inputs'!$B$15)</f>
        <v/>
      </c>
      <c r="F723" s="2" t="str">
        <f t="shared" si="33"/>
        <v/>
      </c>
      <c r="G723" s="2" t="str">
        <f t="shared" si="34"/>
        <v/>
      </c>
      <c r="H723" s="2" t="str">
        <f>IF(A723="","",MIN(0,MAX(0,C723+E723-'Loan Inputs'!$B$17)))</f>
        <v/>
      </c>
    </row>
    <row r="724" spans="1:8" ht="22" customHeight="1">
      <c r="A724" s="1" t="str">
        <f>IF(AND('Loan Inputs'!$B$12,718&lt;=IF('Loan Inputs'!$B$12,'Loan Inputs'!$B$7,0)*'Loan Inputs'!$B$14+0,ISNUMBER(G723),G723&gt;0),718,"")</f>
        <v/>
      </c>
      <c r="B724" s="4" t="str">
        <f>IF(A724="","",IF('Loan Inputs'!$B$14=12,DATE(YEAR('Loan Inputs'!$B$8),MONTH('Loan Inputs'!$B$8)+A724,DAY('Loan Inputs'!$B$8)),'Loan Inputs'!$B$8+A724*IF('Loan Inputs'!$B$14=26,14,7)))</f>
        <v/>
      </c>
      <c r="C724" s="2" t="str">
        <f t="shared" si="35"/>
        <v/>
      </c>
      <c r="D724" s="2" t="str">
        <f>IF(A724="","",MIN('Loan Inputs'!$B$17,C724+E724)+H724)</f>
        <v/>
      </c>
      <c r="E724" s="2" t="str">
        <f>IF(A724="","",C724*'Loan Inputs'!$B$15)</f>
        <v/>
      </c>
      <c r="F724" s="2" t="str">
        <f t="shared" si="33"/>
        <v/>
      </c>
      <c r="G724" s="2" t="str">
        <f t="shared" si="34"/>
        <v/>
      </c>
      <c r="H724" s="2" t="str">
        <f>IF(A724="","",MIN(0,MAX(0,C724+E724-'Loan Inputs'!$B$17)))</f>
        <v/>
      </c>
    </row>
    <row r="725" spans="1:8" ht="22" customHeight="1">
      <c r="A725" s="1" t="str">
        <f>IF(AND('Loan Inputs'!$B$12,719&lt;=IF('Loan Inputs'!$B$12,'Loan Inputs'!$B$7,0)*'Loan Inputs'!$B$14+0,ISNUMBER(G724),G724&gt;0),719,"")</f>
        <v/>
      </c>
      <c r="B725" s="4" t="str">
        <f>IF(A725="","",IF('Loan Inputs'!$B$14=12,DATE(YEAR('Loan Inputs'!$B$8),MONTH('Loan Inputs'!$B$8)+A725,DAY('Loan Inputs'!$B$8)),'Loan Inputs'!$B$8+A725*IF('Loan Inputs'!$B$14=26,14,7)))</f>
        <v/>
      </c>
      <c r="C725" s="2" t="str">
        <f t="shared" si="35"/>
        <v/>
      </c>
      <c r="D725" s="2" t="str">
        <f>IF(A725="","",MIN('Loan Inputs'!$B$17,C725+E725)+H725)</f>
        <v/>
      </c>
      <c r="E725" s="2" t="str">
        <f>IF(A725="","",C725*'Loan Inputs'!$B$15)</f>
        <v/>
      </c>
      <c r="F725" s="2" t="str">
        <f t="shared" si="33"/>
        <v/>
      </c>
      <c r="G725" s="2" t="str">
        <f t="shared" si="34"/>
        <v/>
      </c>
      <c r="H725" s="2" t="str">
        <f>IF(A725="","",MIN(0,MAX(0,C725+E725-'Loan Inputs'!$B$17)))</f>
        <v/>
      </c>
    </row>
    <row r="726" spans="1:8" ht="22" customHeight="1">
      <c r="A726" s="1" t="str">
        <f>IF(AND('Loan Inputs'!$B$12,720&lt;=IF('Loan Inputs'!$B$12,'Loan Inputs'!$B$7,0)*'Loan Inputs'!$B$14+0,ISNUMBER(G725),G725&gt;0),720,"")</f>
        <v/>
      </c>
      <c r="B726" s="4" t="str">
        <f>IF(A726="","",IF('Loan Inputs'!$B$14=12,DATE(YEAR('Loan Inputs'!$B$8),MONTH('Loan Inputs'!$B$8)+A726,DAY('Loan Inputs'!$B$8)),'Loan Inputs'!$B$8+A726*IF('Loan Inputs'!$B$14=26,14,7)))</f>
        <v/>
      </c>
      <c r="C726" s="2" t="str">
        <f t="shared" si="35"/>
        <v/>
      </c>
      <c r="D726" s="2" t="str">
        <f>IF(A726="","",MIN('Loan Inputs'!$B$17,C726+E726)+H726)</f>
        <v/>
      </c>
      <c r="E726" s="2" t="str">
        <f>IF(A726="","",C726*'Loan Inputs'!$B$15)</f>
        <v/>
      </c>
      <c r="F726" s="2" t="str">
        <f t="shared" si="33"/>
        <v/>
      </c>
      <c r="G726" s="2" t="str">
        <f t="shared" si="34"/>
        <v/>
      </c>
      <c r="H726" s="2" t="str">
        <f>IF(A726="","",MIN(0,MAX(0,C726+E726-'Loan Inputs'!$B$17)))</f>
        <v/>
      </c>
    </row>
    <row r="727" spans="1:8" ht="22" customHeight="1">
      <c r="A727" s="1" t="str">
        <f>IF(AND('Loan Inputs'!$B$12,721&lt;=IF('Loan Inputs'!$B$12,'Loan Inputs'!$B$7,0)*'Loan Inputs'!$B$14+0,ISNUMBER(G726),G726&gt;0),721,"")</f>
        <v/>
      </c>
      <c r="B727" s="4" t="str">
        <f>IF(A727="","",IF('Loan Inputs'!$B$14=12,DATE(YEAR('Loan Inputs'!$B$8),MONTH('Loan Inputs'!$B$8)+A727,DAY('Loan Inputs'!$B$8)),'Loan Inputs'!$B$8+A727*IF('Loan Inputs'!$B$14=26,14,7)))</f>
        <v/>
      </c>
      <c r="C727" s="2" t="str">
        <f t="shared" si="35"/>
        <v/>
      </c>
      <c r="D727" s="2" t="str">
        <f>IF(A727="","",MIN('Loan Inputs'!$B$17,C727+E727)+H727)</f>
        <v/>
      </c>
      <c r="E727" s="2" t="str">
        <f>IF(A727="","",C727*'Loan Inputs'!$B$15)</f>
        <v/>
      </c>
      <c r="F727" s="2" t="str">
        <f t="shared" si="33"/>
        <v/>
      </c>
      <c r="G727" s="2" t="str">
        <f t="shared" si="34"/>
        <v/>
      </c>
      <c r="H727" s="2" t="str">
        <f>IF(A727="","",MIN(0,MAX(0,C727+E727-'Loan Inputs'!$B$17)))</f>
        <v/>
      </c>
    </row>
    <row r="728" spans="1:8" ht="22" customHeight="1">
      <c r="A728" s="1" t="str">
        <f>IF(AND('Loan Inputs'!$B$12,722&lt;=IF('Loan Inputs'!$B$12,'Loan Inputs'!$B$7,0)*'Loan Inputs'!$B$14+0,ISNUMBER(G727),G727&gt;0),722,"")</f>
        <v/>
      </c>
      <c r="B728" s="4" t="str">
        <f>IF(A728="","",IF('Loan Inputs'!$B$14=12,DATE(YEAR('Loan Inputs'!$B$8),MONTH('Loan Inputs'!$B$8)+A728,DAY('Loan Inputs'!$B$8)),'Loan Inputs'!$B$8+A728*IF('Loan Inputs'!$B$14=26,14,7)))</f>
        <v/>
      </c>
      <c r="C728" s="2" t="str">
        <f t="shared" si="35"/>
        <v/>
      </c>
      <c r="D728" s="2" t="str">
        <f>IF(A728="","",MIN('Loan Inputs'!$B$17,C728+E728)+H728)</f>
        <v/>
      </c>
      <c r="E728" s="2" t="str">
        <f>IF(A728="","",C728*'Loan Inputs'!$B$15)</f>
        <v/>
      </c>
      <c r="F728" s="2" t="str">
        <f t="shared" si="33"/>
        <v/>
      </c>
      <c r="G728" s="2" t="str">
        <f t="shared" si="34"/>
        <v/>
      </c>
      <c r="H728" s="2" t="str">
        <f>IF(A728="","",MIN(0,MAX(0,C728+E728-'Loan Inputs'!$B$17)))</f>
        <v/>
      </c>
    </row>
    <row r="729" spans="1:8" ht="22" customHeight="1">
      <c r="A729" s="1" t="str">
        <f>IF(AND('Loan Inputs'!$B$12,723&lt;=IF('Loan Inputs'!$B$12,'Loan Inputs'!$B$7,0)*'Loan Inputs'!$B$14+0,ISNUMBER(G728),G728&gt;0),723,"")</f>
        <v/>
      </c>
      <c r="B729" s="4" t="str">
        <f>IF(A729="","",IF('Loan Inputs'!$B$14=12,DATE(YEAR('Loan Inputs'!$B$8),MONTH('Loan Inputs'!$B$8)+A729,DAY('Loan Inputs'!$B$8)),'Loan Inputs'!$B$8+A729*IF('Loan Inputs'!$B$14=26,14,7)))</f>
        <v/>
      </c>
      <c r="C729" s="2" t="str">
        <f t="shared" si="35"/>
        <v/>
      </c>
      <c r="D729" s="2" t="str">
        <f>IF(A729="","",MIN('Loan Inputs'!$B$17,C729+E729)+H729)</f>
        <v/>
      </c>
      <c r="E729" s="2" t="str">
        <f>IF(A729="","",C729*'Loan Inputs'!$B$15)</f>
        <v/>
      </c>
      <c r="F729" s="2" t="str">
        <f t="shared" si="33"/>
        <v/>
      </c>
      <c r="G729" s="2" t="str">
        <f t="shared" si="34"/>
        <v/>
      </c>
      <c r="H729" s="2" t="str">
        <f>IF(A729="","",MIN(0,MAX(0,C729+E729-'Loan Inputs'!$B$17)))</f>
        <v/>
      </c>
    </row>
    <row r="730" spans="1:8" ht="22" customHeight="1">
      <c r="A730" s="1" t="str">
        <f>IF(AND('Loan Inputs'!$B$12,724&lt;=IF('Loan Inputs'!$B$12,'Loan Inputs'!$B$7,0)*'Loan Inputs'!$B$14+0,ISNUMBER(G729),G729&gt;0),724,"")</f>
        <v/>
      </c>
      <c r="B730" s="4" t="str">
        <f>IF(A730="","",IF('Loan Inputs'!$B$14=12,DATE(YEAR('Loan Inputs'!$B$8),MONTH('Loan Inputs'!$B$8)+A730,DAY('Loan Inputs'!$B$8)),'Loan Inputs'!$B$8+A730*IF('Loan Inputs'!$B$14=26,14,7)))</f>
        <v/>
      </c>
      <c r="C730" s="2" t="str">
        <f t="shared" si="35"/>
        <v/>
      </c>
      <c r="D730" s="2" t="str">
        <f>IF(A730="","",MIN('Loan Inputs'!$B$17,C730+E730)+H730)</f>
        <v/>
      </c>
      <c r="E730" s="2" t="str">
        <f>IF(A730="","",C730*'Loan Inputs'!$B$15)</f>
        <v/>
      </c>
      <c r="F730" s="2" t="str">
        <f t="shared" si="33"/>
        <v/>
      </c>
      <c r="G730" s="2" t="str">
        <f t="shared" si="34"/>
        <v/>
      </c>
      <c r="H730" s="2" t="str">
        <f>IF(A730="","",MIN(0,MAX(0,C730+E730-'Loan Inputs'!$B$17)))</f>
        <v/>
      </c>
    </row>
    <row r="731" spans="1:8" ht="22" customHeight="1">
      <c r="A731" s="1" t="str">
        <f>IF(AND('Loan Inputs'!$B$12,725&lt;=IF('Loan Inputs'!$B$12,'Loan Inputs'!$B$7,0)*'Loan Inputs'!$B$14+0,ISNUMBER(G730),G730&gt;0),725,"")</f>
        <v/>
      </c>
      <c r="B731" s="4" t="str">
        <f>IF(A731="","",IF('Loan Inputs'!$B$14=12,DATE(YEAR('Loan Inputs'!$B$8),MONTH('Loan Inputs'!$B$8)+A731,DAY('Loan Inputs'!$B$8)),'Loan Inputs'!$B$8+A731*IF('Loan Inputs'!$B$14=26,14,7)))</f>
        <v/>
      </c>
      <c r="C731" s="2" t="str">
        <f t="shared" si="35"/>
        <v/>
      </c>
      <c r="D731" s="2" t="str">
        <f>IF(A731="","",MIN('Loan Inputs'!$B$17,C731+E731)+H731)</f>
        <v/>
      </c>
      <c r="E731" s="2" t="str">
        <f>IF(A731="","",C731*'Loan Inputs'!$B$15)</f>
        <v/>
      </c>
      <c r="F731" s="2" t="str">
        <f t="shared" si="33"/>
        <v/>
      </c>
      <c r="G731" s="2" t="str">
        <f t="shared" si="34"/>
        <v/>
      </c>
      <c r="H731" s="2" t="str">
        <f>IF(A731="","",MIN(0,MAX(0,C731+E731-'Loan Inputs'!$B$17)))</f>
        <v/>
      </c>
    </row>
    <row r="732" spans="1:8" ht="22" customHeight="1">
      <c r="A732" s="1" t="str">
        <f>IF(AND('Loan Inputs'!$B$12,726&lt;=IF('Loan Inputs'!$B$12,'Loan Inputs'!$B$7,0)*'Loan Inputs'!$B$14+0,ISNUMBER(G731),G731&gt;0),726,"")</f>
        <v/>
      </c>
      <c r="B732" s="4" t="str">
        <f>IF(A732="","",IF('Loan Inputs'!$B$14=12,DATE(YEAR('Loan Inputs'!$B$8),MONTH('Loan Inputs'!$B$8)+A732,DAY('Loan Inputs'!$B$8)),'Loan Inputs'!$B$8+A732*IF('Loan Inputs'!$B$14=26,14,7)))</f>
        <v/>
      </c>
      <c r="C732" s="2" t="str">
        <f t="shared" si="35"/>
        <v/>
      </c>
      <c r="D732" s="2" t="str">
        <f>IF(A732="","",MIN('Loan Inputs'!$B$17,C732+E732)+H732)</f>
        <v/>
      </c>
      <c r="E732" s="2" t="str">
        <f>IF(A732="","",C732*'Loan Inputs'!$B$15)</f>
        <v/>
      </c>
      <c r="F732" s="2" t="str">
        <f t="shared" si="33"/>
        <v/>
      </c>
      <c r="G732" s="2" t="str">
        <f t="shared" si="34"/>
        <v/>
      </c>
      <c r="H732" s="2" t="str">
        <f>IF(A732="","",MIN(0,MAX(0,C732+E732-'Loan Inputs'!$B$17)))</f>
        <v/>
      </c>
    </row>
    <row r="733" spans="1:8" ht="22" customHeight="1">
      <c r="A733" s="1" t="str">
        <f>IF(AND('Loan Inputs'!$B$12,727&lt;=IF('Loan Inputs'!$B$12,'Loan Inputs'!$B$7,0)*'Loan Inputs'!$B$14+0,ISNUMBER(G732),G732&gt;0),727,"")</f>
        <v/>
      </c>
      <c r="B733" s="4" t="str">
        <f>IF(A733="","",IF('Loan Inputs'!$B$14=12,DATE(YEAR('Loan Inputs'!$B$8),MONTH('Loan Inputs'!$B$8)+A733,DAY('Loan Inputs'!$B$8)),'Loan Inputs'!$B$8+A733*IF('Loan Inputs'!$B$14=26,14,7)))</f>
        <v/>
      </c>
      <c r="C733" s="2" t="str">
        <f t="shared" si="35"/>
        <v/>
      </c>
      <c r="D733" s="2" t="str">
        <f>IF(A733="","",MIN('Loan Inputs'!$B$17,C733+E733)+H733)</f>
        <v/>
      </c>
      <c r="E733" s="2" t="str">
        <f>IF(A733="","",C733*'Loan Inputs'!$B$15)</f>
        <v/>
      </c>
      <c r="F733" s="2" t="str">
        <f t="shared" si="33"/>
        <v/>
      </c>
      <c r="G733" s="2" t="str">
        <f t="shared" si="34"/>
        <v/>
      </c>
      <c r="H733" s="2" t="str">
        <f>IF(A733="","",MIN(0,MAX(0,C733+E733-'Loan Inputs'!$B$17)))</f>
        <v/>
      </c>
    </row>
    <row r="734" spans="1:8" ht="22" customHeight="1">
      <c r="A734" s="1" t="str">
        <f>IF(AND('Loan Inputs'!$B$12,728&lt;=IF('Loan Inputs'!$B$12,'Loan Inputs'!$B$7,0)*'Loan Inputs'!$B$14+0,ISNUMBER(G733),G733&gt;0),728,"")</f>
        <v/>
      </c>
      <c r="B734" s="4" t="str">
        <f>IF(A734="","",IF('Loan Inputs'!$B$14=12,DATE(YEAR('Loan Inputs'!$B$8),MONTH('Loan Inputs'!$B$8)+A734,DAY('Loan Inputs'!$B$8)),'Loan Inputs'!$B$8+A734*IF('Loan Inputs'!$B$14=26,14,7)))</f>
        <v/>
      </c>
      <c r="C734" s="2" t="str">
        <f t="shared" si="35"/>
        <v/>
      </c>
      <c r="D734" s="2" t="str">
        <f>IF(A734="","",MIN('Loan Inputs'!$B$17,C734+E734)+H734)</f>
        <v/>
      </c>
      <c r="E734" s="2" t="str">
        <f>IF(A734="","",C734*'Loan Inputs'!$B$15)</f>
        <v/>
      </c>
      <c r="F734" s="2" t="str">
        <f t="shared" si="33"/>
        <v/>
      </c>
      <c r="G734" s="2" t="str">
        <f t="shared" si="34"/>
        <v/>
      </c>
      <c r="H734" s="2" t="str">
        <f>IF(A734="","",MIN(0,MAX(0,C734+E734-'Loan Inputs'!$B$17)))</f>
        <v/>
      </c>
    </row>
    <row r="735" spans="1:8" ht="22" customHeight="1">
      <c r="A735" s="1" t="str">
        <f>IF(AND('Loan Inputs'!$B$12,729&lt;=IF('Loan Inputs'!$B$12,'Loan Inputs'!$B$7,0)*'Loan Inputs'!$B$14+0,ISNUMBER(G734),G734&gt;0),729,"")</f>
        <v/>
      </c>
      <c r="B735" s="4" t="str">
        <f>IF(A735="","",IF('Loan Inputs'!$B$14=12,DATE(YEAR('Loan Inputs'!$B$8),MONTH('Loan Inputs'!$B$8)+A735,DAY('Loan Inputs'!$B$8)),'Loan Inputs'!$B$8+A735*IF('Loan Inputs'!$B$14=26,14,7)))</f>
        <v/>
      </c>
      <c r="C735" s="2" t="str">
        <f t="shared" si="35"/>
        <v/>
      </c>
      <c r="D735" s="2" t="str">
        <f>IF(A735="","",MIN('Loan Inputs'!$B$17,C735+E735)+H735)</f>
        <v/>
      </c>
      <c r="E735" s="2" t="str">
        <f>IF(A735="","",C735*'Loan Inputs'!$B$15)</f>
        <v/>
      </c>
      <c r="F735" s="2" t="str">
        <f t="shared" si="33"/>
        <v/>
      </c>
      <c r="G735" s="2" t="str">
        <f t="shared" si="34"/>
        <v/>
      </c>
      <c r="H735" s="2" t="str">
        <f>IF(A735="","",MIN(0,MAX(0,C735+E735-'Loan Inputs'!$B$17)))</f>
        <v/>
      </c>
    </row>
    <row r="736" spans="1:8" ht="22" customHeight="1">
      <c r="A736" s="1" t="str">
        <f>IF(AND('Loan Inputs'!$B$12,730&lt;=IF('Loan Inputs'!$B$12,'Loan Inputs'!$B$7,0)*'Loan Inputs'!$B$14+0,ISNUMBER(G735),G735&gt;0),730,"")</f>
        <v/>
      </c>
      <c r="B736" s="4" t="str">
        <f>IF(A736="","",IF('Loan Inputs'!$B$14=12,DATE(YEAR('Loan Inputs'!$B$8),MONTH('Loan Inputs'!$B$8)+A736,DAY('Loan Inputs'!$B$8)),'Loan Inputs'!$B$8+A736*IF('Loan Inputs'!$B$14=26,14,7)))</f>
        <v/>
      </c>
      <c r="C736" s="2" t="str">
        <f t="shared" si="35"/>
        <v/>
      </c>
      <c r="D736" s="2" t="str">
        <f>IF(A736="","",MIN('Loan Inputs'!$B$17,C736+E736)+H736)</f>
        <v/>
      </c>
      <c r="E736" s="2" t="str">
        <f>IF(A736="","",C736*'Loan Inputs'!$B$15)</f>
        <v/>
      </c>
      <c r="F736" s="2" t="str">
        <f t="shared" si="33"/>
        <v/>
      </c>
      <c r="G736" s="2" t="str">
        <f t="shared" si="34"/>
        <v/>
      </c>
      <c r="H736" s="2" t="str">
        <f>IF(A736="","",MIN(0,MAX(0,C736+E736-'Loan Inputs'!$B$17)))</f>
        <v/>
      </c>
    </row>
    <row r="737" spans="1:8" ht="22" customHeight="1">
      <c r="A737" s="1" t="str">
        <f>IF(AND('Loan Inputs'!$B$12,731&lt;=IF('Loan Inputs'!$B$12,'Loan Inputs'!$B$7,0)*'Loan Inputs'!$B$14+0,ISNUMBER(G736),G736&gt;0),731,"")</f>
        <v/>
      </c>
      <c r="B737" s="4" t="str">
        <f>IF(A737="","",IF('Loan Inputs'!$B$14=12,DATE(YEAR('Loan Inputs'!$B$8),MONTH('Loan Inputs'!$B$8)+A737,DAY('Loan Inputs'!$B$8)),'Loan Inputs'!$B$8+A737*IF('Loan Inputs'!$B$14=26,14,7)))</f>
        <v/>
      </c>
      <c r="C737" s="2" t="str">
        <f t="shared" si="35"/>
        <v/>
      </c>
      <c r="D737" s="2" t="str">
        <f>IF(A737="","",MIN('Loan Inputs'!$B$17,C737+E737)+H737)</f>
        <v/>
      </c>
      <c r="E737" s="2" t="str">
        <f>IF(A737="","",C737*'Loan Inputs'!$B$15)</f>
        <v/>
      </c>
      <c r="F737" s="2" t="str">
        <f t="shared" si="33"/>
        <v/>
      </c>
      <c r="G737" s="2" t="str">
        <f t="shared" si="34"/>
        <v/>
      </c>
      <c r="H737" s="2" t="str">
        <f>IF(A737="","",MIN(0,MAX(0,C737+E737-'Loan Inputs'!$B$17)))</f>
        <v/>
      </c>
    </row>
    <row r="738" spans="1:8" ht="22" customHeight="1">
      <c r="A738" s="1" t="str">
        <f>IF(AND('Loan Inputs'!$B$12,732&lt;=IF('Loan Inputs'!$B$12,'Loan Inputs'!$B$7,0)*'Loan Inputs'!$B$14+0,ISNUMBER(G737),G737&gt;0),732,"")</f>
        <v/>
      </c>
      <c r="B738" s="4" t="str">
        <f>IF(A738="","",IF('Loan Inputs'!$B$14=12,DATE(YEAR('Loan Inputs'!$B$8),MONTH('Loan Inputs'!$B$8)+A738,DAY('Loan Inputs'!$B$8)),'Loan Inputs'!$B$8+A738*IF('Loan Inputs'!$B$14=26,14,7)))</f>
        <v/>
      </c>
      <c r="C738" s="2" t="str">
        <f t="shared" si="35"/>
        <v/>
      </c>
      <c r="D738" s="2" t="str">
        <f>IF(A738="","",MIN('Loan Inputs'!$B$17,C738+E738)+H738)</f>
        <v/>
      </c>
      <c r="E738" s="2" t="str">
        <f>IF(A738="","",C738*'Loan Inputs'!$B$15)</f>
        <v/>
      </c>
      <c r="F738" s="2" t="str">
        <f t="shared" si="33"/>
        <v/>
      </c>
      <c r="G738" s="2" t="str">
        <f t="shared" si="34"/>
        <v/>
      </c>
      <c r="H738" s="2" t="str">
        <f>IF(A738="","",MIN(0,MAX(0,C738+E738-'Loan Inputs'!$B$17)))</f>
        <v/>
      </c>
    </row>
    <row r="739" spans="1:8" ht="22" customHeight="1">
      <c r="A739" s="1" t="str">
        <f>IF(AND('Loan Inputs'!$B$12,733&lt;=IF('Loan Inputs'!$B$12,'Loan Inputs'!$B$7,0)*'Loan Inputs'!$B$14+0,ISNUMBER(G738),G738&gt;0),733,"")</f>
        <v/>
      </c>
      <c r="B739" s="4" t="str">
        <f>IF(A739="","",IF('Loan Inputs'!$B$14=12,DATE(YEAR('Loan Inputs'!$B$8),MONTH('Loan Inputs'!$B$8)+A739,DAY('Loan Inputs'!$B$8)),'Loan Inputs'!$B$8+A739*IF('Loan Inputs'!$B$14=26,14,7)))</f>
        <v/>
      </c>
      <c r="C739" s="2" t="str">
        <f t="shared" si="35"/>
        <v/>
      </c>
      <c r="D739" s="2" t="str">
        <f>IF(A739="","",MIN('Loan Inputs'!$B$17,C739+E739)+H739)</f>
        <v/>
      </c>
      <c r="E739" s="2" t="str">
        <f>IF(A739="","",C739*'Loan Inputs'!$B$15)</f>
        <v/>
      </c>
      <c r="F739" s="2" t="str">
        <f t="shared" si="33"/>
        <v/>
      </c>
      <c r="G739" s="2" t="str">
        <f t="shared" si="34"/>
        <v/>
      </c>
      <c r="H739" s="2" t="str">
        <f>IF(A739="","",MIN(0,MAX(0,C739+E739-'Loan Inputs'!$B$17)))</f>
        <v/>
      </c>
    </row>
    <row r="740" spans="1:8" ht="22" customHeight="1">
      <c r="A740" s="1" t="str">
        <f>IF(AND('Loan Inputs'!$B$12,734&lt;=IF('Loan Inputs'!$B$12,'Loan Inputs'!$B$7,0)*'Loan Inputs'!$B$14+0,ISNUMBER(G739),G739&gt;0),734,"")</f>
        <v/>
      </c>
      <c r="B740" s="4" t="str">
        <f>IF(A740="","",IF('Loan Inputs'!$B$14=12,DATE(YEAR('Loan Inputs'!$B$8),MONTH('Loan Inputs'!$B$8)+A740,DAY('Loan Inputs'!$B$8)),'Loan Inputs'!$B$8+A740*IF('Loan Inputs'!$B$14=26,14,7)))</f>
        <v/>
      </c>
      <c r="C740" s="2" t="str">
        <f t="shared" si="35"/>
        <v/>
      </c>
      <c r="D740" s="2" t="str">
        <f>IF(A740="","",MIN('Loan Inputs'!$B$17,C740+E740)+H740)</f>
        <v/>
      </c>
      <c r="E740" s="2" t="str">
        <f>IF(A740="","",C740*'Loan Inputs'!$B$15)</f>
        <v/>
      </c>
      <c r="F740" s="2" t="str">
        <f t="shared" si="33"/>
        <v/>
      </c>
      <c r="G740" s="2" t="str">
        <f t="shared" si="34"/>
        <v/>
      </c>
      <c r="H740" s="2" t="str">
        <f>IF(A740="","",MIN(0,MAX(0,C740+E740-'Loan Inputs'!$B$17)))</f>
        <v/>
      </c>
    </row>
    <row r="741" spans="1:8" ht="22" customHeight="1">
      <c r="A741" s="1" t="str">
        <f>IF(AND('Loan Inputs'!$B$12,735&lt;=IF('Loan Inputs'!$B$12,'Loan Inputs'!$B$7,0)*'Loan Inputs'!$B$14+0,ISNUMBER(G740),G740&gt;0),735,"")</f>
        <v/>
      </c>
      <c r="B741" s="4" t="str">
        <f>IF(A741="","",IF('Loan Inputs'!$B$14=12,DATE(YEAR('Loan Inputs'!$B$8),MONTH('Loan Inputs'!$B$8)+A741,DAY('Loan Inputs'!$B$8)),'Loan Inputs'!$B$8+A741*IF('Loan Inputs'!$B$14=26,14,7)))</f>
        <v/>
      </c>
      <c r="C741" s="2" t="str">
        <f t="shared" si="35"/>
        <v/>
      </c>
      <c r="D741" s="2" t="str">
        <f>IF(A741="","",MIN('Loan Inputs'!$B$17,C741+E741)+H741)</f>
        <v/>
      </c>
      <c r="E741" s="2" t="str">
        <f>IF(A741="","",C741*'Loan Inputs'!$B$15)</f>
        <v/>
      </c>
      <c r="F741" s="2" t="str">
        <f t="shared" si="33"/>
        <v/>
      </c>
      <c r="G741" s="2" t="str">
        <f t="shared" si="34"/>
        <v/>
      </c>
      <c r="H741" s="2" t="str">
        <f>IF(A741="","",MIN(0,MAX(0,C741+E741-'Loan Inputs'!$B$17)))</f>
        <v/>
      </c>
    </row>
    <row r="742" spans="1:8" ht="22" customHeight="1">
      <c r="A742" s="1" t="str">
        <f>IF(AND('Loan Inputs'!$B$12,736&lt;=IF('Loan Inputs'!$B$12,'Loan Inputs'!$B$7,0)*'Loan Inputs'!$B$14+0,ISNUMBER(G741),G741&gt;0),736,"")</f>
        <v/>
      </c>
      <c r="B742" s="4" t="str">
        <f>IF(A742="","",IF('Loan Inputs'!$B$14=12,DATE(YEAR('Loan Inputs'!$B$8),MONTH('Loan Inputs'!$B$8)+A742,DAY('Loan Inputs'!$B$8)),'Loan Inputs'!$B$8+A742*IF('Loan Inputs'!$B$14=26,14,7)))</f>
        <v/>
      </c>
      <c r="C742" s="2" t="str">
        <f t="shared" si="35"/>
        <v/>
      </c>
      <c r="D742" s="2" t="str">
        <f>IF(A742="","",MIN('Loan Inputs'!$B$17,C742+E742)+H742)</f>
        <v/>
      </c>
      <c r="E742" s="2" t="str">
        <f>IF(A742="","",C742*'Loan Inputs'!$B$15)</f>
        <v/>
      </c>
      <c r="F742" s="2" t="str">
        <f t="shared" si="33"/>
        <v/>
      </c>
      <c r="G742" s="2" t="str">
        <f t="shared" si="34"/>
        <v/>
      </c>
      <c r="H742" s="2" t="str">
        <f>IF(A742="","",MIN(0,MAX(0,C742+E742-'Loan Inputs'!$B$17)))</f>
        <v/>
      </c>
    </row>
    <row r="743" spans="1:8" ht="22" customHeight="1">
      <c r="A743" s="1" t="str">
        <f>IF(AND('Loan Inputs'!$B$12,737&lt;=IF('Loan Inputs'!$B$12,'Loan Inputs'!$B$7,0)*'Loan Inputs'!$B$14+0,ISNUMBER(G742),G742&gt;0),737,"")</f>
        <v/>
      </c>
      <c r="B743" s="4" t="str">
        <f>IF(A743="","",IF('Loan Inputs'!$B$14=12,DATE(YEAR('Loan Inputs'!$B$8),MONTH('Loan Inputs'!$B$8)+A743,DAY('Loan Inputs'!$B$8)),'Loan Inputs'!$B$8+A743*IF('Loan Inputs'!$B$14=26,14,7)))</f>
        <v/>
      </c>
      <c r="C743" s="2" t="str">
        <f t="shared" si="35"/>
        <v/>
      </c>
      <c r="D743" s="2" t="str">
        <f>IF(A743="","",MIN('Loan Inputs'!$B$17,C743+E743)+H743)</f>
        <v/>
      </c>
      <c r="E743" s="2" t="str">
        <f>IF(A743="","",C743*'Loan Inputs'!$B$15)</f>
        <v/>
      </c>
      <c r="F743" s="2" t="str">
        <f t="shared" si="33"/>
        <v/>
      </c>
      <c r="G743" s="2" t="str">
        <f t="shared" si="34"/>
        <v/>
      </c>
      <c r="H743" s="2" t="str">
        <f>IF(A743="","",MIN(0,MAX(0,C743+E743-'Loan Inputs'!$B$17)))</f>
        <v/>
      </c>
    </row>
    <row r="744" spans="1:8" ht="22" customHeight="1">
      <c r="A744" s="1" t="str">
        <f>IF(AND('Loan Inputs'!$B$12,738&lt;=IF('Loan Inputs'!$B$12,'Loan Inputs'!$B$7,0)*'Loan Inputs'!$B$14+0,ISNUMBER(G743),G743&gt;0),738,"")</f>
        <v/>
      </c>
      <c r="B744" s="4" t="str">
        <f>IF(A744="","",IF('Loan Inputs'!$B$14=12,DATE(YEAR('Loan Inputs'!$B$8),MONTH('Loan Inputs'!$B$8)+A744,DAY('Loan Inputs'!$B$8)),'Loan Inputs'!$B$8+A744*IF('Loan Inputs'!$B$14=26,14,7)))</f>
        <v/>
      </c>
      <c r="C744" s="2" t="str">
        <f t="shared" si="35"/>
        <v/>
      </c>
      <c r="D744" s="2" t="str">
        <f>IF(A744="","",MIN('Loan Inputs'!$B$17,C744+E744)+H744)</f>
        <v/>
      </c>
      <c r="E744" s="2" t="str">
        <f>IF(A744="","",C744*'Loan Inputs'!$B$15)</f>
        <v/>
      </c>
      <c r="F744" s="2" t="str">
        <f t="shared" si="33"/>
        <v/>
      </c>
      <c r="G744" s="2" t="str">
        <f t="shared" si="34"/>
        <v/>
      </c>
      <c r="H744" s="2" t="str">
        <f>IF(A744="","",MIN(0,MAX(0,C744+E744-'Loan Inputs'!$B$17)))</f>
        <v/>
      </c>
    </row>
    <row r="745" spans="1:8" ht="22" customHeight="1">
      <c r="A745" s="1" t="str">
        <f>IF(AND('Loan Inputs'!$B$12,739&lt;=IF('Loan Inputs'!$B$12,'Loan Inputs'!$B$7,0)*'Loan Inputs'!$B$14+0,ISNUMBER(G744),G744&gt;0),739,"")</f>
        <v/>
      </c>
      <c r="B745" s="4" t="str">
        <f>IF(A745="","",IF('Loan Inputs'!$B$14=12,DATE(YEAR('Loan Inputs'!$B$8),MONTH('Loan Inputs'!$B$8)+A745,DAY('Loan Inputs'!$B$8)),'Loan Inputs'!$B$8+A745*IF('Loan Inputs'!$B$14=26,14,7)))</f>
        <v/>
      </c>
      <c r="C745" s="2" t="str">
        <f t="shared" si="35"/>
        <v/>
      </c>
      <c r="D745" s="2" t="str">
        <f>IF(A745="","",MIN('Loan Inputs'!$B$17,C745+E745)+H745)</f>
        <v/>
      </c>
      <c r="E745" s="2" t="str">
        <f>IF(A745="","",C745*'Loan Inputs'!$B$15)</f>
        <v/>
      </c>
      <c r="F745" s="2" t="str">
        <f t="shared" si="33"/>
        <v/>
      </c>
      <c r="G745" s="2" t="str">
        <f t="shared" si="34"/>
        <v/>
      </c>
      <c r="H745" s="2" t="str">
        <f>IF(A745="","",MIN(0,MAX(0,C745+E745-'Loan Inputs'!$B$17)))</f>
        <v/>
      </c>
    </row>
    <row r="746" spans="1:8" ht="22" customHeight="1">
      <c r="A746" s="1" t="str">
        <f>IF(AND('Loan Inputs'!$B$12,740&lt;=IF('Loan Inputs'!$B$12,'Loan Inputs'!$B$7,0)*'Loan Inputs'!$B$14+0,ISNUMBER(G745),G745&gt;0),740,"")</f>
        <v/>
      </c>
      <c r="B746" s="4" t="str">
        <f>IF(A746="","",IF('Loan Inputs'!$B$14=12,DATE(YEAR('Loan Inputs'!$B$8),MONTH('Loan Inputs'!$B$8)+A746,DAY('Loan Inputs'!$B$8)),'Loan Inputs'!$B$8+A746*IF('Loan Inputs'!$B$14=26,14,7)))</f>
        <v/>
      </c>
      <c r="C746" s="2" t="str">
        <f t="shared" si="35"/>
        <v/>
      </c>
      <c r="D746" s="2" t="str">
        <f>IF(A746="","",MIN('Loan Inputs'!$B$17,C746+E746)+H746)</f>
        <v/>
      </c>
      <c r="E746" s="2" t="str">
        <f>IF(A746="","",C746*'Loan Inputs'!$B$15)</f>
        <v/>
      </c>
      <c r="F746" s="2" t="str">
        <f t="shared" si="33"/>
        <v/>
      </c>
      <c r="G746" s="2" t="str">
        <f t="shared" si="34"/>
        <v/>
      </c>
      <c r="H746" s="2" t="str">
        <f>IF(A746="","",MIN(0,MAX(0,C746+E746-'Loan Inputs'!$B$17)))</f>
        <v/>
      </c>
    </row>
    <row r="747" spans="1:8" ht="22" customHeight="1">
      <c r="A747" s="1" t="str">
        <f>IF(AND('Loan Inputs'!$B$12,741&lt;=IF('Loan Inputs'!$B$12,'Loan Inputs'!$B$7,0)*'Loan Inputs'!$B$14+0,ISNUMBER(G746),G746&gt;0),741,"")</f>
        <v/>
      </c>
      <c r="B747" s="4" t="str">
        <f>IF(A747="","",IF('Loan Inputs'!$B$14=12,DATE(YEAR('Loan Inputs'!$B$8),MONTH('Loan Inputs'!$B$8)+A747,DAY('Loan Inputs'!$B$8)),'Loan Inputs'!$B$8+A747*IF('Loan Inputs'!$B$14=26,14,7)))</f>
        <v/>
      </c>
      <c r="C747" s="2" t="str">
        <f t="shared" si="35"/>
        <v/>
      </c>
      <c r="D747" s="2" t="str">
        <f>IF(A747="","",MIN('Loan Inputs'!$B$17,C747+E747)+H747)</f>
        <v/>
      </c>
      <c r="E747" s="2" t="str">
        <f>IF(A747="","",C747*'Loan Inputs'!$B$15)</f>
        <v/>
      </c>
      <c r="F747" s="2" t="str">
        <f t="shared" si="33"/>
        <v/>
      </c>
      <c r="G747" s="2" t="str">
        <f t="shared" si="34"/>
        <v/>
      </c>
      <c r="H747" s="2" t="str">
        <f>IF(A747="","",MIN(0,MAX(0,C747+E747-'Loan Inputs'!$B$17)))</f>
        <v/>
      </c>
    </row>
    <row r="748" spans="1:8" ht="22" customHeight="1">
      <c r="A748" s="1" t="str">
        <f>IF(AND('Loan Inputs'!$B$12,742&lt;=IF('Loan Inputs'!$B$12,'Loan Inputs'!$B$7,0)*'Loan Inputs'!$B$14+0,ISNUMBER(G747),G747&gt;0),742,"")</f>
        <v/>
      </c>
      <c r="B748" s="4" t="str">
        <f>IF(A748="","",IF('Loan Inputs'!$B$14=12,DATE(YEAR('Loan Inputs'!$B$8),MONTH('Loan Inputs'!$B$8)+A748,DAY('Loan Inputs'!$B$8)),'Loan Inputs'!$B$8+A748*IF('Loan Inputs'!$B$14=26,14,7)))</f>
        <v/>
      </c>
      <c r="C748" s="2" t="str">
        <f t="shared" si="35"/>
        <v/>
      </c>
      <c r="D748" s="2" t="str">
        <f>IF(A748="","",MIN('Loan Inputs'!$B$17,C748+E748)+H748)</f>
        <v/>
      </c>
      <c r="E748" s="2" t="str">
        <f>IF(A748="","",C748*'Loan Inputs'!$B$15)</f>
        <v/>
      </c>
      <c r="F748" s="2" t="str">
        <f t="shared" si="33"/>
        <v/>
      </c>
      <c r="G748" s="2" t="str">
        <f t="shared" si="34"/>
        <v/>
      </c>
      <c r="H748" s="2" t="str">
        <f>IF(A748="","",MIN(0,MAX(0,C748+E748-'Loan Inputs'!$B$17)))</f>
        <v/>
      </c>
    </row>
    <row r="749" spans="1:8" ht="22" customHeight="1">
      <c r="A749" s="1" t="str">
        <f>IF(AND('Loan Inputs'!$B$12,743&lt;=IF('Loan Inputs'!$B$12,'Loan Inputs'!$B$7,0)*'Loan Inputs'!$B$14+0,ISNUMBER(G748),G748&gt;0),743,"")</f>
        <v/>
      </c>
      <c r="B749" s="4" t="str">
        <f>IF(A749="","",IF('Loan Inputs'!$B$14=12,DATE(YEAR('Loan Inputs'!$B$8),MONTH('Loan Inputs'!$B$8)+A749,DAY('Loan Inputs'!$B$8)),'Loan Inputs'!$B$8+A749*IF('Loan Inputs'!$B$14=26,14,7)))</f>
        <v/>
      </c>
      <c r="C749" s="2" t="str">
        <f t="shared" si="35"/>
        <v/>
      </c>
      <c r="D749" s="2" t="str">
        <f>IF(A749="","",MIN('Loan Inputs'!$B$17,C749+E749)+H749)</f>
        <v/>
      </c>
      <c r="E749" s="2" t="str">
        <f>IF(A749="","",C749*'Loan Inputs'!$B$15)</f>
        <v/>
      </c>
      <c r="F749" s="2" t="str">
        <f t="shared" si="33"/>
        <v/>
      </c>
      <c r="G749" s="2" t="str">
        <f t="shared" si="34"/>
        <v/>
      </c>
      <c r="H749" s="2" t="str">
        <f>IF(A749="","",MIN(0,MAX(0,C749+E749-'Loan Inputs'!$B$17)))</f>
        <v/>
      </c>
    </row>
    <row r="750" spans="1:8" ht="22" customHeight="1">
      <c r="A750" s="1" t="str">
        <f>IF(AND('Loan Inputs'!$B$12,744&lt;=IF('Loan Inputs'!$B$12,'Loan Inputs'!$B$7,0)*'Loan Inputs'!$B$14+0,ISNUMBER(G749),G749&gt;0),744,"")</f>
        <v/>
      </c>
      <c r="B750" s="4" t="str">
        <f>IF(A750="","",IF('Loan Inputs'!$B$14=12,DATE(YEAR('Loan Inputs'!$B$8),MONTH('Loan Inputs'!$B$8)+A750,DAY('Loan Inputs'!$B$8)),'Loan Inputs'!$B$8+A750*IF('Loan Inputs'!$B$14=26,14,7)))</f>
        <v/>
      </c>
      <c r="C750" s="2" t="str">
        <f t="shared" si="35"/>
        <v/>
      </c>
      <c r="D750" s="2" t="str">
        <f>IF(A750="","",MIN('Loan Inputs'!$B$17,C750+E750)+H750)</f>
        <v/>
      </c>
      <c r="E750" s="2" t="str">
        <f>IF(A750="","",C750*'Loan Inputs'!$B$15)</f>
        <v/>
      </c>
      <c r="F750" s="2" t="str">
        <f t="shared" si="33"/>
        <v/>
      </c>
      <c r="G750" s="2" t="str">
        <f t="shared" si="34"/>
        <v/>
      </c>
      <c r="H750" s="2" t="str">
        <f>IF(A750="","",MIN(0,MAX(0,C750+E750-'Loan Inputs'!$B$17)))</f>
        <v/>
      </c>
    </row>
    <row r="751" spans="1:8" ht="22" customHeight="1">
      <c r="A751" s="1" t="str">
        <f>IF(AND('Loan Inputs'!$B$12,745&lt;=IF('Loan Inputs'!$B$12,'Loan Inputs'!$B$7,0)*'Loan Inputs'!$B$14+0,ISNUMBER(G750),G750&gt;0),745,"")</f>
        <v/>
      </c>
      <c r="B751" s="4" t="str">
        <f>IF(A751="","",IF('Loan Inputs'!$B$14=12,DATE(YEAR('Loan Inputs'!$B$8),MONTH('Loan Inputs'!$B$8)+A751,DAY('Loan Inputs'!$B$8)),'Loan Inputs'!$B$8+A751*IF('Loan Inputs'!$B$14=26,14,7)))</f>
        <v/>
      </c>
      <c r="C751" s="2" t="str">
        <f t="shared" si="35"/>
        <v/>
      </c>
      <c r="D751" s="2" t="str">
        <f>IF(A751="","",MIN('Loan Inputs'!$B$17,C751+E751)+H751)</f>
        <v/>
      </c>
      <c r="E751" s="2" t="str">
        <f>IF(A751="","",C751*'Loan Inputs'!$B$15)</f>
        <v/>
      </c>
      <c r="F751" s="2" t="str">
        <f t="shared" si="33"/>
        <v/>
      </c>
      <c r="G751" s="2" t="str">
        <f t="shared" si="34"/>
        <v/>
      </c>
      <c r="H751" s="2" t="str">
        <f>IF(A751="","",MIN(0,MAX(0,C751+E751-'Loan Inputs'!$B$17)))</f>
        <v/>
      </c>
    </row>
    <row r="752" spans="1:8" ht="22" customHeight="1">
      <c r="A752" s="1" t="str">
        <f>IF(AND('Loan Inputs'!$B$12,746&lt;=IF('Loan Inputs'!$B$12,'Loan Inputs'!$B$7,0)*'Loan Inputs'!$B$14+0,ISNUMBER(G751),G751&gt;0),746,"")</f>
        <v/>
      </c>
      <c r="B752" s="4" t="str">
        <f>IF(A752="","",IF('Loan Inputs'!$B$14=12,DATE(YEAR('Loan Inputs'!$B$8),MONTH('Loan Inputs'!$B$8)+A752,DAY('Loan Inputs'!$B$8)),'Loan Inputs'!$B$8+A752*IF('Loan Inputs'!$B$14=26,14,7)))</f>
        <v/>
      </c>
      <c r="C752" s="2" t="str">
        <f t="shared" si="35"/>
        <v/>
      </c>
      <c r="D752" s="2" t="str">
        <f>IF(A752="","",MIN('Loan Inputs'!$B$17,C752+E752)+H752)</f>
        <v/>
      </c>
      <c r="E752" s="2" t="str">
        <f>IF(A752="","",C752*'Loan Inputs'!$B$15)</f>
        <v/>
      </c>
      <c r="F752" s="2" t="str">
        <f t="shared" si="33"/>
        <v/>
      </c>
      <c r="G752" s="2" t="str">
        <f t="shared" si="34"/>
        <v/>
      </c>
      <c r="H752" s="2" t="str">
        <f>IF(A752="","",MIN(0,MAX(0,C752+E752-'Loan Inputs'!$B$17)))</f>
        <v/>
      </c>
    </row>
    <row r="753" spans="1:8" ht="22" customHeight="1">
      <c r="A753" s="1" t="str">
        <f>IF(AND('Loan Inputs'!$B$12,747&lt;=IF('Loan Inputs'!$B$12,'Loan Inputs'!$B$7,0)*'Loan Inputs'!$B$14+0,ISNUMBER(G752),G752&gt;0),747,"")</f>
        <v/>
      </c>
      <c r="B753" s="4" t="str">
        <f>IF(A753="","",IF('Loan Inputs'!$B$14=12,DATE(YEAR('Loan Inputs'!$B$8),MONTH('Loan Inputs'!$B$8)+A753,DAY('Loan Inputs'!$B$8)),'Loan Inputs'!$B$8+A753*IF('Loan Inputs'!$B$14=26,14,7)))</f>
        <v/>
      </c>
      <c r="C753" s="2" t="str">
        <f t="shared" si="35"/>
        <v/>
      </c>
      <c r="D753" s="2" t="str">
        <f>IF(A753="","",MIN('Loan Inputs'!$B$17,C753+E753)+H753)</f>
        <v/>
      </c>
      <c r="E753" s="2" t="str">
        <f>IF(A753="","",C753*'Loan Inputs'!$B$15)</f>
        <v/>
      </c>
      <c r="F753" s="2" t="str">
        <f t="shared" si="33"/>
        <v/>
      </c>
      <c r="G753" s="2" t="str">
        <f t="shared" si="34"/>
        <v/>
      </c>
      <c r="H753" s="2" t="str">
        <f>IF(A753="","",MIN(0,MAX(0,C753+E753-'Loan Inputs'!$B$17)))</f>
        <v/>
      </c>
    </row>
    <row r="754" spans="1:8" ht="22" customHeight="1">
      <c r="A754" s="1" t="str">
        <f>IF(AND('Loan Inputs'!$B$12,748&lt;=IF('Loan Inputs'!$B$12,'Loan Inputs'!$B$7,0)*'Loan Inputs'!$B$14+0,ISNUMBER(G753),G753&gt;0),748,"")</f>
        <v/>
      </c>
      <c r="B754" s="4" t="str">
        <f>IF(A754="","",IF('Loan Inputs'!$B$14=12,DATE(YEAR('Loan Inputs'!$B$8),MONTH('Loan Inputs'!$B$8)+A754,DAY('Loan Inputs'!$B$8)),'Loan Inputs'!$B$8+A754*IF('Loan Inputs'!$B$14=26,14,7)))</f>
        <v/>
      </c>
      <c r="C754" s="2" t="str">
        <f t="shared" si="35"/>
        <v/>
      </c>
      <c r="D754" s="2" t="str">
        <f>IF(A754="","",MIN('Loan Inputs'!$B$17,C754+E754)+H754)</f>
        <v/>
      </c>
      <c r="E754" s="2" t="str">
        <f>IF(A754="","",C754*'Loan Inputs'!$B$15)</f>
        <v/>
      </c>
      <c r="F754" s="2" t="str">
        <f t="shared" si="33"/>
        <v/>
      </c>
      <c r="G754" s="2" t="str">
        <f t="shared" si="34"/>
        <v/>
      </c>
      <c r="H754" s="2" t="str">
        <f>IF(A754="","",MIN(0,MAX(0,C754+E754-'Loan Inputs'!$B$17)))</f>
        <v/>
      </c>
    </row>
    <row r="755" spans="1:8" ht="22" customHeight="1">
      <c r="A755" s="1" t="str">
        <f>IF(AND('Loan Inputs'!$B$12,749&lt;=IF('Loan Inputs'!$B$12,'Loan Inputs'!$B$7,0)*'Loan Inputs'!$B$14+0,ISNUMBER(G754),G754&gt;0),749,"")</f>
        <v/>
      </c>
      <c r="B755" s="4" t="str">
        <f>IF(A755="","",IF('Loan Inputs'!$B$14=12,DATE(YEAR('Loan Inputs'!$B$8),MONTH('Loan Inputs'!$B$8)+A755,DAY('Loan Inputs'!$B$8)),'Loan Inputs'!$B$8+A755*IF('Loan Inputs'!$B$14=26,14,7)))</f>
        <v/>
      </c>
      <c r="C755" s="2" t="str">
        <f t="shared" si="35"/>
        <v/>
      </c>
      <c r="D755" s="2" t="str">
        <f>IF(A755="","",MIN('Loan Inputs'!$B$17,C755+E755)+H755)</f>
        <v/>
      </c>
      <c r="E755" s="2" t="str">
        <f>IF(A755="","",C755*'Loan Inputs'!$B$15)</f>
        <v/>
      </c>
      <c r="F755" s="2" t="str">
        <f t="shared" si="33"/>
        <v/>
      </c>
      <c r="G755" s="2" t="str">
        <f t="shared" si="34"/>
        <v/>
      </c>
      <c r="H755" s="2" t="str">
        <f>IF(A755="","",MIN(0,MAX(0,C755+E755-'Loan Inputs'!$B$17)))</f>
        <v/>
      </c>
    </row>
    <row r="756" spans="1:8" ht="22" customHeight="1">
      <c r="A756" s="1" t="str">
        <f>IF(AND('Loan Inputs'!$B$12,750&lt;=IF('Loan Inputs'!$B$12,'Loan Inputs'!$B$7,0)*'Loan Inputs'!$B$14+0,ISNUMBER(G755),G755&gt;0),750,"")</f>
        <v/>
      </c>
      <c r="B756" s="4" t="str">
        <f>IF(A756="","",IF('Loan Inputs'!$B$14=12,DATE(YEAR('Loan Inputs'!$B$8),MONTH('Loan Inputs'!$B$8)+A756,DAY('Loan Inputs'!$B$8)),'Loan Inputs'!$B$8+A756*IF('Loan Inputs'!$B$14=26,14,7)))</f>
        <v/>
      </c>
      <c r="C756" s="2" t="str">
        <f t="shared" si="35"/>
        <v/>
      </c>
      <c r="D756" s="2" t="str">
        <f>IF(A756="","",MIN('Loan Inputs'!$B$17,C756+E756)+H756)</f>
        <v/>
      </c>
      <c r="E756" s="2" t="str">
        <f>IF(A756="","",C756*'Loan Inputs'!$B$15)</f>
        <v/>
      </c>
      <c r="F756" s="2" t="str">
        <f t="shared" si="33"/>
        <v/>
      </c>
      <c r="G756" s="2" t="str">
        <f t="shared" si="34"/>
        <v/>
      </c>
      <c r="H756" s="2" t="str">
        <f>IF(A756="","",MIN(0,MAX(0,C756+E756-'Loan Inputs'!$B$17)))</f>
        <v/>
      </c>
    </row>
    <row r="757" spans="1:8" ht="22" customHeight="1">
      <c r="A757" s="1" t="str">
        <f>IF(AND('Loan Inputs'!$B$12,751&lt;=IF('Loan Inputs'!$B$12,'Loan Inputs'!$B$7,0)*'Loan Inputs'!$B$14+0,ISNUMBER(G756),G756&gt;0),751,"")</f>
        <v/>
      </c>
      <c r="B757" s="4" t="str">
        <f>IF(A757="","",IF('Loan Inputs'!$B$14=12,DATE(YEAR('Loan Inputs'!$B$8),MONTH('Loan Inputs'!$B$8)+A757,DAY('Loan Inputs'!$B$8)),'Loan Inputs'!$B$8+A757*IF('Loan Inputs'!$B$14=26,14,7)))</f>
        <v/>
      </c>
      <c r="C757" s="2" t="str">
        <f t="shared" si="35"/>
        <v/>
      </c>
      <c r="D757" s="2" t="str">
        <f>IF(A757="","",MIN('Loan Inputs'!$B$17,C757+E757)+H757)</f>
        <v/>
      </c>
      <c r="E757" s="2" t="str">
        <f>IF(A757="","",C757*'Loan Inputs'!$B$15)</f>
        <v/>
      </c>
      <c r="F757" s="2" t="str">
        <f t="shared" si="33"/>
        <v/>
      </c>
      <c r="G757" s="2" t="str">
        <f t="shared" si="34"/>
        <v/>
      </c>
      <c r="H757" s="2" t="str">
        <f>IF(A757="","",MIN(0,MAX(0,C757+E757-'Loan Inputs'!$B$17)))</f>
        <v/>
      </c>
    </row>
    <row r="758" spans="1:8" ht="22" customHeight="1">
      <c r="A758" s="1" t="str">
        <f>IF(AND('Loan Inputs'!$B$12,752&lt;=IF('Loan Inputs'!$B$12,'Loan Inputs'!$B$7,0)*'Loan Inputs'!$B$14+0,ISNUMBER(G757),G757&gt;0),752,"")</f>
        <v/>
      </c>
      <c r="B758" s="4" t="str">
        <f>IF(A758="","",IF('Loan Inputs'!$B$14=12,DATE(YEAR('Loan Inputs'!$B$8),MONTH('Loan Inputs'!$B$8)+A758,DAY('Loan Inputs'!$B$8)),'Loan Inputs'!$B$8+A758*IF('Loan Inputs'!$B$14=26,14,7)))</f>
        <v/>
      </c>
      <c r="C758" s="2" t="str">
        <f t="shared" si="35"/>
        <v/>
      </c>
      <c r="D758" s="2" t="str">
        <f>IF(A758="","",MIN('Loan Inputs'!$B$17,C758+E758)+H758)</f>
        <v/>
      </c>
      <c r="E758" s="2" t="str">
        <f>IF(A758="","",C758*'Loan Inputs'!$B$15)</f>
        <v/>
      </c>
      <c r="F758" s="2" t="str">
        <f t="shared" si="33"/>
        <v/>
      </c>
      <c r="G758" s="2" t="str">
        <f t="shared" si="34"/>
        <v/>
      </c>
      <c r="H758" s="2" t="str">
        <f>IF(A758="","",MIN(0,MAX(0,C758+E758-'Loan Inputs'!$B$17)))</f>
        <v/>
      </c>
    </row>
    <row r="759" spans="1:8" ht="22" customHeight="1">
      <c r="A759" s="1" t="str">
        <f>IF(AND('Loan Inputs'!$B$12,753&lt;=IF('Loan Inputs'!$B$12,'Loan Inputs'!$B$7,0)*'Loan Inputs'!$B$14+0,ISNUMBER(G758),G758&gt;0),753,"")</f>
        <v/>
      </c>
      <c r="B759" s="4" t="str">
        <f>IF(A759="","",IF('Loan Inputs'!$B$14=12,DATE(YEAR('Loan Inputs'!$B$8),MONTH('Loan Inputs'!$B$8)+A759,DAY('Loan Inputs'!$B$8)),'Loan Inputs'!$B$8+A759*IF('Loan Inputs'!$B$14=26,14,7)))</f>
        <v/>
      </c>
      <c r="C759" s="2" t="str">
        <f t="shared" si="35"/>
        <v/>
      </c>
      <c r="D759" s="2" t="str">
        <f>IF(A759="","",MIN('Loan Inputs'!$B$17,C759+E759)+H759)</f>
        <v/>
      </c>
      <c r="E759" s="2" t="str">
        <f>IF(A759="","",C759*'Loan Inputs'!$B$15)</f>
        <v/>
      </c>
      <c r="F759" s="2" t="str">
        <f t="shared" si="33"/>
        <v/>
      </c>
      <c r="G759" s="2" t="str">
        <f t="shared" si="34"/>
        <v/>
      </c>
      <c r="H759" s="2" t="str">
        <f>IF(A759="","",MIN(0,MAX(0,C759+E759-'Loan Inputs'!$B$17)))</f>
        <v/>
      </c>
    </row>
    <row r="760" spans="1:8" ht="22" customHeight="1">
      <c r="A760" s="1" t="str">
        <f>IF(AND('Loan Inputs'!$B$12,754&lt;=IF('Loan Inputs'!$B$12,'Loan Inputs'!$B$7,0)*'Loan Inputs'!$B$14+0,ISNUMBER(G759),G759&gt;0),754,"")</f>
        <v/>
      </c>
      <c r="B760" s="4" t="str">
        <f>IF(A760="","",IF('Loan Inputs'!$B$14=12,DATE(YEAR('Loan Inputs'!$B$8),MONTH('Loan Inputs'!$B$8)+A760,DAY('Loan Inputs'!$B$8)),'Loan Inputs'!$B$8+A760*IF('Loan Inputs'!$B$14=26,14,7)))</f>
        <v/>
      </c>
      <c r="C760" s="2" t="str">
        <f t="shared" si="35"/>
        <v/>
      </c>
      <c r="D760" s="2" t="str">
        <f>IF(A760="","",MIN('Loan Inputs'!$B$17,C760+E760)+H760)</f>
        <v/>
      </c>
      <c r="E760" s="2" t="str">
        <f>IF(A760="","",C760*'Loan Inputs'!$B$15)</f>
        <v/>
      </c>
      <c r="F760" s="2" t="str">
        <f t="shared" si="33"/>
        <v/>
      </c>
      <c r="G760" s="2" t="str">
        <f t="shared" si="34"/>
        <v/>
      </c>
      <c r="H760" s="2" t="str">
        <f>IF(A760="","",MIN(0,MAX(0,C760+E760-'Loan Inputs'!$B$17)))</f>
        <v/>
      </c>
    </row>
    <row r="761" spans="1:8" ht="22" customHeight="1">
      <c r="A761" s="1" t="str">
        <f>IF(AND('Loan Inputs'!$B$12,755&lt;=IF('Loan Inputs'!$B$12,'Loan Inputs'!$B$7,0)*'Loan Inputs'!$B$14+0,ISNUMBER(G760),G760&gt;0),755,"")</f>
        <v/>
      </c>
      <c r="B761" s="4" t="str">
        <f>IF(A761="","",IF('Loan Inputs'!$B$14=12,DATE(YEAR('Loan Inputs'!$B$8),MONTH('Loan Inputs'!$B$8)+A761,DAY('Loan Inputs'!$B$8)),'Loan Inputs'!$B$8+A761*IF('Loan Inputs'!$B$14=26,14,7)))</f>
        <v/>
      </c>
      <c r="C761" s="2" t="str">
        <f t="shared" si="35"/>
        <v/>
      </c>
      <c r="D761" s="2" t="str">
        <f>IF(A761="","",MIN('Loan Inputs'!$B$17,C761+E761)+H761)</f>
        <v/>
      </c>
      <c r="E761" s="2" t="str">
        <f>IF(A761="","",C761*'Loan Inputs'!$B$15)</f>
        <v/>
      </c>
      <c r="F761" s="2" t="str">
        <f t="shared" si="33"/>
        <v/>
      </c>
      <c r="G761" s="2" t="str">
        <f t="shared" si="34"/>
        <v/>
      </c>
      <c r="H761" s="2" t="str">
        <f>IF(A761="","",MIN(0,MAX(0,C761+E761-'Loan Inputs'!$B$17)))</f>
        <v/>
      </c>
    </row>
    <row r="762" spans="1:8" ht="22" customHeight="1">
      <c r="A762" s="1" t="str">
        <f>IF(AND('Loan Inputs'!$B$12,756&lt;=IF('Loan Inputs'!$B$12,'Loan Inputs'!$B$7,0)*'Loan Inputs'!$B$14+0,ISNUMBER(G761),G761&gt;0),756,"")</f>
        <v/>
      </c>
      <c r="B762" s="4" t="str">
        <f>IF(A762="","",IF('Loan Inputs'!$B$14=12,DATE(YEAR('Loan Inputs'!$B$8),MONTH('Loan Inputs'!$B$8)+A762,DAY('Loan Inputs'!$B$8)),'Loan Inputs'!$B$8+A762*IF('Loan Inputs'!$B$14=26,14,7)))</f>
        <v/>
      </c>
      <c r="C762" s="2" t="str">
        <f t="shared" si="35"/>
        <v/>
      </c>
      <c r="D762" s="2" t="str">
        <f>IF(A762="","",MIN('Loan Inputs'!$B$17,C762+E762)+H762)</f>
        <v/>
      </c>
      <c r="E762" s="2" t="str">
        <f>IF(A762="","",C762*'Loan Inputs'!$B$15)</f>
        <v/>
      </c>
      <c r="F762" s="2" t="str">
        <f t="shared" si="33"/>
        <v/>
      </c>
      <c r="G762" s="2" t="str">
        <f t="shared" si="34"/>
        <v/>
      </c>
      <c r="H762" s="2" t="str">
        <f>IF(A762="","",MIN(0,MAX(0,C762+E762-'Loan Inputs'!$B$17)))</f>
        <v/>
      </c>
    </row>
    <row r="763" spans="1:8" ht="22" customHeight="1">
      <c r="A763" s="1" t="str">
        <f>IF(AND('Loan Inputs'!$B$12,757&lt;=IF('Loan Inputs'!$B$12,'Loan Inputs'!$B$7,0)*'Loan Inputs'!$B$14+0,ISNUMBER(G762),G762&gt;0),757,"")</f>
        <v/>
      </c>
      <c r="B763" s="4" t="str">
        <f>IF(A763="","",IF('Loan Inputs'!$B$14=12,DATE(YEAR('Loan Inputs'!$B$8),MONTH('Loan Inputs'!$B$8)+A763,DAY('Loan Inputs'!$B$8)),'Loan Inputs'!$B$8+A763*IF('Loan Inputs'!$B$14=26,14,7)))</f>
        <v/>
      </c>
      <c r="C763" s="2" t="str">
        <f t="shared" si="35"/>
        <v/>
      </c>
      <c r="D763" s="2" t="str">
        <f>IF(A763="","",MIN('Loan Inputs'!$B$17,C763+E763)+H763)</f>
        <v/>
      </c>
      <c r="E763" s="2" t="str">
        <f>IF(A763="","",C763*'Loan Inputs'!$B$15)</f>
        <v/>
      </c>
      <c r="F763" s="2" t="str">
        <f t="shared" si="33"/>
        <v/>
      </c>
      <c r="G763" s="2" t="str">
        <f t="shared" si="34"/>
        <v/>
      </c>
      <c r="H763" s="2" t="str">
        <f>IF(A763="","",MIN(0,MAX(0,C763+E763-'Loan Inputs'!$B$17)))</f>
        <v/>
      </c>
    </row>
    <row r="764" spans="1:8" ht="22" customHeight="1">
      <c r="A764" s="1" t="str">
        <f>IF(AND('Loan Inputs'!$B$12,758&lt;=IF('Loan Inputs'!$B$12,'Loan Inputs'!$B$7,0)*'Loan Inputs'!$B$14+0,ISNUMBER(G763),G763&gt;0),758,"")</f>
        <v/>
      </c>
      <c r="B764" s="4" t="str">
        <f>IF(A764="","",IF('Loan Inputs'!$B$14=12,DATE(YEAR('Loan Inputs'!$B$8),MONTH('Loan Inputs'!$B$8)+A764,DAY('Loan Inputs'!$B$8)),'Loan Inputs'!$B$8+A764*IF('Loan Inputs'!$B$14=26,14,7)))</f>
        <v/>
      </c>
      <c r="C764" s="2" t="str">
        <f t="shared" si="35"/>
        <v/>
      </c>
      <c r="D764" s="2" t="str">
        <f>IF(A764="","",MIN('Loan Inputs'!$B$17,C764+E764)+H764)</f>
        <v/>
      </c>
      <c r="E764" s="2" t="str">
        <f>IF(A764="","",C764*'Loan Inputs'!$B$15)</f>
        <v/>
      </c>
      <c r="F764" s="2" t="str">
        <f t="shared" si="33"/>
        <v/>
      </c>
      <c r="G764" s="2" t="str">
        <f t="shared" si="34"/>
        <v/>
      </c>
      <c r="H764" s="2" t="str">
        <f>IF(A764="","",MIN(0,MAX(0,C764+E764-'Loan Inputs'!$B$17)))</f>
        <v/>
      </c>
    </row>
    <row r="765" spans="1:8" ht="22" customHeight="1">
      <c r="A765" s="1" t="str">
        <f>IF(AND('Loan Inputs'!$B$12,759&lt;=IF('Loan Inputs'!$B$12,'Loan Inputs'!$B$7,0)*'Loan Inputs'!$B$14+0,ISNUMBER(G764),G764&gt;0),759,"")</f>
        <v/>
      </c>
      <c r="B765" s="4" t="str">
        <f>IF(A765="","",IF('Loan Inputs'!$B$14=12,DATE(YEAR('Loan Inputs'!$B$8),MONTH('Loan Inputs'!$B$8)+A765,DAY('Loan Inputs'!$B$8)),'Loan Inputs'!$B$8+A765*IF('Loan Inputs'!$B$14=26,14,7)))</f>
        <v/>
      </c>
      <c r="C765" s="2" t="str">
        <f t="shared" si="35"/>
        <v/>
      </c>
      <c r="D765" s="2" t="str">
        <f>IF(A765="","",MIN('Loan Inputs'!$B$17,C765+E765)+H765)</f>
        <v/>
      </c>
      <c r="E765" s="2" t="str">
        <f>IF(A765="","",C765*'Loan Inputs'!$B$15)</f>
        <v/>
      </c>
      <c r="F765" s="2" t="str">
        <f t="shared" si="33"/>
        <v/>
      </c>
      <c r="G765" s="2" t="str">
        <f t="shared" si="34"/>
        <v/>
      </c>
      <c r="H765" s="2" t="str">
        <f>IF(A765="","",MIN(0,MAX(0,C765+E765-'Loan Inputs'!$B$17)))</f>
        <v/>
      </c>
    </row>
    <row r="766" spans="1:8" ht="22" customHeight="1">
      <c r="A766" s="1" t="str">
        <f>IF(AND('Loan Inputs'!$B$12,760&lt;=IF('Loan Inputs'!$B$12,'Loan Inputs'!$B$7,0)*'Loan Inputs'!$B$14+0,ISNUMBER(G765),G765&gt;0),760,"")</f>
        <v/>
      </c>
      <c r="B766" s="4" t="str">
        <f>IF(A766="","",IF('Loan Inputs'!$B$14=12,DATE(YEAR('Loan Inputs'!$B$8),MONTH('Loan Inputs'!$B$8)+A766,DAY('Loan Inputs'!$B$8)),'Loan Inputs'!$B$8+A766*IF('Loan Inputs'!$B$14=26,14,7)))</f>
        <v/>
      </c>
      <c r="C766" s="2" t="str">
        <f t="shared" si="35"/>
        <v/>
      </c>
      <c r="D766" s="2" t="str">
        <f>IF(A766="","",MIN('Loan Inputs'!$B$17,C766+E766)+H766)</f>
        <v/>
      </c>
      <c r="E766" s="2" t="str">
        <f>IF(A766="","",C766*'Loan Inputs'!$B$15)</f>
        <v/>
      </c>
      <c r="F766" s="2" t="str">
        <f t="shared" si="33"/>
        <v/>
      </c>
      <c r="G766" s="2" t="str">
        <f t="shared" si="34"/>
        <v/>
      </c>
      <c r="H766" s="2" t="str">
        <f>IF(A766="","",MIN(0,MAX(0,C766+E766-'Loan Inputs'!$B$17)))</f>
        <v/>
      </c>
    </row>
    <row r="767" spans="1:8" ht="22" customHeight="1">
      <c r="A767" s="1" t="str">
        <f>IF(AND('Loan Inputs'!$B$12,761&lt;=IF('Loan Inputs'!$B$12,'Loan Inputs'!$B$7,0)*'Loan Inputs'!$B$14+0,ISNUMBER(G766),G766&gt;0),761,"")</f>
        <v/>
      </c>
      <c r="B767" s="4" t="str">
        <f>IF(A767="","",IF('Loan Inputs'!$B$14=12,DATE(YEAR('Loan Inputs'!$B$8),MONTH('Loan Inputs'!$B$8)+A767,DAY('Loan Inputs'!$B$8)),'Loan Inputs'!$B$8+A767*IF('Loan Inputs'!$B$14=26,14,7)))</f>
        <v/>
      </c>
      <c r="C767" s="2" t="str">
        <f t="shared" si="35"/>
        <v/>
      </c>
      <c r="D767" s="2" t="str">
        <f>IF(A767="","",MIN('Loan Inputs'!$B$17,C767+E767)+H767)</f>
        <v/>
      </c>
      <c r="E767" s="2" t="str">
        <f>IF(A767="","",C767*'Loan Inputs'!$B$15)</f>
        <v/>
      </c>
      <c r="F767" s="2" t="str">
        <f t="shared" si="33"/>
        <v/>
      </c>
      <c r="G767" s="2" t="str">
        <f t="shared" si="34"/>
        <v/>
      </c>
      <c r="H767" s="2" t="str">
        <f>IF(A767="","",MIN(0,MAX(0,C767+E767-'Loan Inputs'!$B$17)))</f>
        <v/>
      </c>
    </row>
    <row r="768" spans="1:8" ht="22" customHeight="1">
      <c r="A768" s="1" t="str">
        <f>IF(AND('Loan Inputs'!$B$12,762&lt;=IF('Loan Inputs'!$B$12,'Loan Inputs'!$B$7,0)*'Loan Inputs'!$B$14+0,ISNUMBER(G767),G767&gt;0),762,"")</f>
        <v/>
      </c>
      <c r="B768" s="4" t="str">
        <f>IF(A768="","",IF('Loan Inputs'!$B$14=12,DATE(YEAR('Loan Inputs'!$B$8),MONTH('Loan Inputs'!$B$8)+A768,DAY('Loan Inputs'!$B$8)),'Loan Inputs'!$B$8+A768*IF('Loan Inputs'!$B$14=26,14,7)))</f>
        <v/>
      </c>
      <c r="C768" s="2" t="str">
        <f t="shared" si="35"/>
        <v/>
      </c>
      <c r="D768" s="2" t="str">
        <f>IF(A768="","",MIN('Loan Inputs'!$B$17,C768+E768)+H768)</f>
        <v/>
      </c>
      <c r="E768" s="2" t="str">
        <f>IF(A768="","",C768*'Loan Inputs'!$B$15)</f>
        <v/>
      </c>
      <c r="F768" s="2" t="str">
        <f t="shared" si="33"/>
        <v/>
      </c>
      <c r="G768" s="2" t="str">
        <f t="shared" si="34"/>
        <v/>
      </c>
      <c r="H768" s="2" t="str">
        <f>IF(A768="","",MIN(0,MAX(0,C768+E768-'Loan Inputs'!$B$17)))</f>
        <v/>
      </c>
    </row>
    <row r="769" spans="1:8" ht="22" customHeight="1">
      <c r="A769" s="1" t="str">
        <f>IF(AND('Loan Inputs'!$B$12,763&lt;=IF('Loan Inputs'!$B$12,'Loan Inputs'!$B$7,0)*'Loan Inputs'!$B$14+0,ISNUMBER(G768),G768&gt;0),763,"")</f>
        <v/>
      </c>
      <c r="B769" s="4" t="str">
        <f>IF(A769="","",IF('Loan Inputs'!$B$14=12,DATE(YEAR('Loan Inputs'!$B$8),MONTH('Loan Inputs'!$B$8)+A769,DAY('Loan Inputs'!$B$8)),'Loan Inputs'!$B$8+A769*IF('Loan Inputs'!$B$14=26,14,7)))</f>
        <v/>
      </c>
      <c r="C769" s="2" t="str">
        <f t="shared" si="35"/>
        <v/>
      </c>
      <c r="D769" s="2" t="str">
        <f>IF(A769="","",MIN('Loan Inputs'!$B$17,C769+E769)+H769)</f>
        <v/>
      </c>
      <c r="E769" s="2" t="str">
        <f>IF(A769="","",C769*'Loan Inputs'!$B$15)</f>
        <v/>
      </c>
      <c r="F769" s="2" t="str">
        <f t="shared" si="33"/>
        <v/>
      </c>
      <c r="G769" s="2" t="str">
        <f t="shared" si="34"/>
        <v/>
      </c>
      <c r="H769" s="2" t="str">
        <f>IF(A769="","",MIN(0,MAX(0,C769+E769-'Loan Inputs'!$B$17)))</f>
        <v/>
      </c>
    </row>
    <row r="770" spans="1:8" ht="22" customHeight="1">
      <c r="A770" s="1" t="str">
        <f>IF(AND('Loan Inputs'!$B$12,764&lt;=IF('Loan Inputs'!$B$12,'Loan Inputs'!$B$7,0)*'Loan Inputs'!$B$14+0,ISNUMBER(G769),G769&gt;0),764,"")</f>
        <v/>
      </c>
      <c r="B770" s="4" t="str">
        <f>IF(A770="","",IF('Loan Inputs'!$B$14=12,DATE(YEAR('Loan Inputs'!$B$8),MONTH('Loan Inputs'!$B$8)+A770,DAY('Loan Inputs'!$B$8)),'Loan Inputs'!$B$8+A770*IF('Loan Inputs'!$B$14=26,14,7)))</f>
        <v/>
      </c>
      <c r="C770" s="2" t="str">
        <f t="shared" si="35"/>
        <v/>
      </c>
      <c r="D770" s="2" t="str">
        <f>IF(A770="","",MIN('Loan Inputs'!$B$17,C770+E770)+H770)</f>
        <v/>
      </c>
      <c r="E770" s="2" t="str">
        <f>IF(A770="","",C770*'Loan Inputs'!$B$15)</f>
        <v/>
      </c>
      <c r="F770" s="2" t="str">
        <f t="shared" si="33"/>
        <v/>
      </c>
      <c r="G770" s="2" t="str">
        <f t="shared" si="34"/>
        <v/>
      </c>
      <c r="H770" s="2" t="str">
        <f>IF(A770="","",MIN(0,MAX(0,C770+E770-'Loan Inputs'!$B$17)))</f>
        <v/>
      </c>
    </row>
    <row r="771" spans="1:8" ht="22" customHeight="1">
      <c r="A771" s="1" t="str">
        <f>IF(AND('Loan Inputs'!$B$12,765&lt;=IF('Loan Inputs'!$B$12,'Loan Inputs'!$B$7,0)*'Loan Inputs'!$B$14+0,ISNUMBER(G770),G770&gt;0),765,"")</f>
        <v/>
      </c>
      <c r="B771" s="4" t="str">
        <f>IF(A771="","",IF('Loan Inputs'!$B$14=12,DATE(YEAR('Loan Inputs'!$B$8),MONTH('Loan Inputs'!$B$8)+A771,DAY('Loan Inputs'!$B$8)),'Loan Inputs'!$B$8+A771*IF('Loan Inputs'!$B$14=26,14,7)))</f>
        <v/>
      </c>
      <c r="C771" s="2" t="str">
        <f t="shared" si="35"/>
        <v/>
      </c>
      <c r="D771" s="2" t="str">
        <f>IF(A771="","",MIN('Loan Inputs'!$B$17,C771+E771)+H771)</f>
        <v/>
      </c>
      <c r="E771" s="2" t="str">
        <f>IF(A771="","",C771*'Loan Inputs'!$B$15)</f>
        <v/>
      </c>
      <c r="F771" s="2" t="str">
        <f t="shared" si="33"/>
        <v/>
      </c>
      <c r="G771" s="2" t="str">
        <f t="shared" si="34"/>
        <v/>
      </c>
      <c r="H771" s="2" t="str">
        <f>IF(A771="","",MIN(0,MAX(0,C771+E771-'Loan Inputs'!$B$17)))</f>
        <v/>
      </c>
    </row>
    <row r="772" spans="1:8" ht="22" customHeight="1">
      <c r="A772" s="1" t="str">
        <f>IF(AND('Loan Inputs'!$B$12,766&lt;=IF('Loan Inputs'!$B$12,'Loan Inputs'!$B$7,0)*'Loan Inputs'!$B$14+0,ISNUMBER(G771),G771&gt;0),766,"")</f>
        <v/>
      </c>
      <c r="B772" s="4" t="str">
        <f>IF(A772="","",IF('Loan Inputs'!$B$14=12,DATE(YEAR('Loan Inputs'!$B$8),MONTH('Loan Inputs'!$B$8)+A772,DAY('Loan Inputs'!$B$8)),'Loan Inputs'!$B$8+A772*IF('Loan Inputs'!$B$14=26,14,7)))</f>
        <v/>
      </c>
      <c r="C772" s="2" t="str">
        <f t="shared" si="35"/>
        <v/>
      </c>
      <c r="D772" s="2" t="str">
        <f>IF(A772="","",MIN('Loan Inputs'!$B$17,C772+E772)+H772)</f>
        <v/>
      </c>
      <c r="E772" s="2" t="str">
        <f>IF(A772="","",C772*'Loan Inputs'!$B$15)</f>
        <v/>
      </c>
      <c r="F772" s="2" t="str">
        <f t="shared" si="33"/>
        <v/>
      </c>
      <c r="G772" s="2" t="str">
        <f t="shared" si="34"/>
        <v/>
      </c>
      <c r="H772" s="2" t="str">
        <f>IF(A772="","",MIN(0,MAX(0,C772+E772-'Loan Inputs'!$B$17)))</f>
        <v/>
      </c>
    </row>
    <row r="773" spans="1:8" ht="22" customHeight="1">
      <c r="A773" s="1" t="str">
        <f>IF(AND('Loan Inputs'!$B$12,767&lt;=IF('Loan Inputs'!$B$12,'Loan Inputs'!$B$7,0)*'Loan Inputs'!$B$14+0,ISNUMBER(G772),G772&gt;0),767,"")</f>
        <v/>
      </c>
      <c r="B773" s="4" t="str">
        <f>IF(A773="","",IF('Loan Inputs'!$B$14=12,DATE(YEAR('Loan Inputs'!$B$8),MONTH('Loan Inputs'!$B$8)+A773,DAY('Loan Inputs'!$B$8)),'Loan Inputs'!$B$8+A773*IF('Loan Inputs'!$B$14=26,14,7)))</f>
        <v/>
      </c>
      <c r="C773" s="2" t="str">
        <f t="shared" si="35"/>
        <v/>
      </c>
      <c r="D773" s="2" t="str">
        <f>IF(A773="","",MIN('Loan Inputs'!$B$17,C773+E773)+H773)</f>
        <v/>
      </c>
      <c r="E773" s="2" t="str">
        <f>IF(A773="","",C773*'Loan Inputs'!$B$15)</f>
        <v/>
      </c>
      <c r="F773" s="2" t="str">
        <f t="shared" si="33"/>
        <v/>
      </c>
      <c r="G773" s="2" t="str">
        <f t="shared" si="34"/>
        <v/>
      </c>
      <c r="H773" s="2" t="str">
        <f>IF(A773="","",MIN(0,MAX(0,C773+E773-'Loan Inputs'!$B$17)))</f>
        <v/>
      </c>
    </row>
    <row r="774" spans="1:8" ht="22" customHeight="1">
      <c r="A774" s="1" t="str">
        <f>IF(AND('Loan Inputs'!$B$12,768&lt;=IF('Loan Inputs'!$B$12,'Loan Inputs'!$B$7,0)*'Loan Inputs'!$B$14+0,ISNUMBER(G773),G773&gt;0),768,"")</f>
        <v/>
      </c>
      <c r="B774" s="4" t="str">
        <f>IF(A774="","",IF('Loan Inputs'!$B$14=12,DATE(YEAR('Loan Inputs'!$B$8),MONTH('Loan Inputs'!$B$8)+A774,DAY('Loan Inputs'!$B$8)),'Loan Inputs'!$B$8+A774*IF('Loan Inputs'!$B$14=26,14,7)))</f>
        <v/>
      </c>
      <c r="C774" s="2" t="str">
        <f t="shared" si="35"/>
        <v/>
      </c>
      <c r="D774" s="2" t="str">
        <f>IF(A774="","",MIN('Loan Inputs'!$B$17,C774+E774)+H774)</f>
        <v/>
      </c>
      <c r="E774" s="2" t="str">
        <f>IF(A774="","",C774*'Loan Inputs'!$B$15)</f>
        <v/>
      </c>
      <c r="F774" s="2" t="str">
        <f t="shared" si="33"/>
        <v/>
      </c>
      <c r="G774" s="2" t="str">
        <f t="shared" si="34"/>
        <v/>
      </c>
      <c r="H774" s="2" t="str">
        <f>IF(A774="","",MIN(0,MAX(0,C774+E774-'Loan Inputs'!$B$17)))</f>
        <v/>
      </c>
    </row>
    <row r="775" spans="1:8" ht="22" customHeight="1">
      <c r="A775" s="1" t="str">
        <f>IF(AND('Loan Inputs'!$B$12,769&lt;=IF('Loan Inputs'!$B$12,'Loan Inputs'!$B$7,0)*'Loan Inputs'!$B$14+0,ISNUMBER(G774),G774&gt;0),769,"")</f>
        <v/>
      </c>
      <c r="B775" s="4" t="str">
        <f>IF(A775="","",IF('Loan Inputs'!$B$14=12,DATE(YEAR('Loan Inputs'!$B$8),MONTH('Loan Inputs'!$B$8)+A775,DAY('Loan Inputs'!$B$8)),'Loan Inputs'!$B$8+A775*IF('Loan Inputs'!$B$14=26,14,7)))</f>
        <v/>
      </c>
      <c r="C775" s="2" t="str">
        <f t="shared" si="35"/>
        <v/>
      </c>
      <c r="D775" s="2" t="str">
        <f>IF(A775="","",MIN('Loan Inputs'!$B$17,C775+E775)+H775)</f>
        <v/>
      </c>
      <c r="E775" s="2" t="str">
        <f>IF(A775="","",C775*'Loan Inputs'!$B$15)</f>
        <v/>
      </c>
      <c r="F775" s="2" t="str">
        <f t="shared" ref="F775:F838" si="36">IF(A775="","",MIN(C775,D775-E775))</f>
        <v/>
      </c>
      <c r="G775" s="2" t="str">
        <f t="shared" ref="G775:G838" si="37">IF(A775="","",IF(C775-F775&lt;0.01,0,MAX(0,C775-F775)))</f>
        <v/>
      </c>
      <c r="H775" s="2" t="str">
        <f>IF(A775="","",MIN(0,MAX(0,C775+E775-'Loan Inputs'!$B$17)))</f>
        <v/>
      </c>
    </row>
    <row r="776" spans="1:8" ht="22" customHeight="1">
      <c r="A776" s="1" t="str">
        <f>IF(AND('Loan Inputs'!$B$12,770&lt;=IF('Loan Inputs'!$B$12,'Loan Inputs'!$B$7,0)*'Loan Inputs'!$B$14+0,ISNUMBER(G775),G775&gt;0),770,"")</f>
        <v/>
      </c>
      <c r="B776" s="4" t="str">
        <f>IF(A776="","",IF('Loan Inputs'!$B$14=12,DATE(YEAR('Loan Inputs'!$B$8),MONTH('Loan Inputs'!$B$8)+A776,DAY('Loan Inputs'!$B$8)),'Loan Inputs'!$B$8+A776*IF('Loan Inputs'!$B$14=26,14,7)))</f>
        <v/>
      </c>
      <c r="C776" s="2" t="str">
        <f t="shared" ref="C776:C839" si="38">IF(A776="","",G775)</f>
        <v/>
      </c>
      <c r="D776" s="2" t="str">
        <f>IF(A776="","",MIN('Loan Inputs'!$B$17,C776+E776)+H776)</f>
        <v/>
      </c>
      <c r="E776" s="2" t="str">
        <f>IF(A776="","",C776*'Loan Inputs'!$B$15)</f>
        <v/>
      </c>
      <c r="F776" s="2" t="str">
        <f t="shared" si="36"/>
        <v/>
      </c>
      <c r="G776" s="2" t="str">
        <f t="shared" si="37"/>
        <v/>
      </c>
      <c r="H776" s="2" t="str">
        <f>IF(A776="","",MIN(0,MAX(0,C776+E776-'Loan Inputs'!$B$17)))</f>
        <v/>
      </c>
    </row>
    <row r="777" spans="1:8" ht="22" customHeight="1">
      <c r="A777" s="1" t="str">
        <f>IF(AND('Loan Inputs'!$B$12,771&lt;=IF('Loan Inputs'!$B$12,'Loan Inputs'!$B$7,0)*'Loan Inputs'!$B$14+0,ISNUMBER(G776),G776&gt;0),771,"")</f>
        <v/>
      </c>
      <c r="B777" s="4" t="str">
        <f>IF(A777="","",IF('Loan Inputs'!$B$14=12,DATE(YEAR('Loan Inputs'!$B$8),MONTH('Loan Inputs'!$B$8)+A777,DAY('Loan Inputs'!$B$8)),'Loan Inputs'!$B$8+A777*IF('Loan Inputs'!$B$14=26,14,7)))</f>
        <v/>
      </c>
      <c r="C777" s="2" t="str">
        <f t="shared" si="38"/>
        <v/>
      </c>
      <c r="D777" s="2" t="str">
        <f>IF(A777="","",MIN('Loan Inputs'!$B$17,C777+E777)+H777)</f>
        <v/>
      </c>
      <c r="E777" s="2" t="str">
        <f>IF(A777="","",C777*'Loan Inputs'!$B$15)</f>
        <v/>
      </c>
      <c r="F777" s="2" t="str">
        <f t="shared" si="36"/>
        <v/>
      </c>
      <c r="G777" s="2" t="str">
        <f t="shared" si="37"/>
        <v/>
      </c>
      <c r="H777" s="2" t="str">
        <f>IF(A777="","",MIN(0,MAX(0,C777+E777-'Loan Inputs'!$B$17)))</f>
        <v/>
      </c>
    </row>
    <row r="778" spans="1:8" ht="22" customHeight="1">
      <c r="A778" s="1" t="str">
        <f>IF(AND('Loan Inputs'!$B$12,772&lt;=IF('Loan Inputs'!$B$12,'Loan Inputs'!$B$7,0)*'Loan Inputs'!$B$14+0,ISNUMBER(G777),G777&gt;0),772,"")</f>
        <v/>
      </c>
      <c r="B778" s="4" t="str">
        <f>IF(A778="","",IF('Loan Inputs'!$B$14=12,DATE(YEAR('Loan Inputs'!$B$8),MONTH('Loan Inputs'!$B$8)+A778,DAY('Loan Inputs'!$B$8)),'Loan Inputs'!$B$8+A778*IF('Loan Inputs'!$B$14=26,14,7)))</f>
        <v/>
      </c>
      <c r="C778" s="2" t="str">
        <f t="shared" si="38"/>
        <v/>
      </c>
      <c r="D778" s="2" t="str">
        <f>IF(A778="","",MIN('Loan Inputs'!$B$17,C778+E778)+H778)</f>
        <v/>
      </c>
      <c r="E778" s="2" t="str">
        <f>IF(A778="","",C778*'Loan Inputs'!$B$15)</f>
        <v/>
      </c>
      <c r="F778" s="2" t="str">
        <f t="shared" si="36"/>
        <v/>
      </c>
      <c r="G778" s="2" t="str">
        <f t="shared" si="37"/>
        <v/>
      </c>
      <c r="H778" s="2" t="str">
        <f>IF(A778="","",MIN(0,MAX(0,C778+E778-'Loan Inputs'!$B$17)))</f>
        <v/>
      </c>
    </row>
    <row r="779" spans="1:8" ht="22" customHeight="1">
      <c r="A779" s="1" t="str">
        <f>IF(AND('Loan Inputs'!$B$12,773&lt;=IF('Loan Inputs'!$B$12,'Loan Inputs'!$B$7,0)*'Loan Inputs'!$B$14+0,ISNUMBER(G778),G778&gt;0),773,"")</f>
        <v/>
      </c>
      <c r="B779" s="4" t="str">
        <f>IF(A779="","",IF('Loan Inputs'!$B$14=12,DATE(YEAR('Loan Inputs'!$B$8),MONTH('Loan Inputs'!$B$8)+A779,DAY('Loan Inputs'!$B$8)),'Loan Inputs'!$B$8+A779*IF('Loan Inputs'!$B$14=26,14,7)))</f>
        <v/>
      </c>
      <c r="C779" s="2" t="str">
        <f t="shared" si="38"/>
        <v/>
      </c>
      <c r="D779" s="2" t="str">
        <f>IF(A779="","",MIN('Loan Inputs'!$B$17,C779+E779)+H779)</f>
        <v/>
      </c>
      <c r="E779" s="2" t="str">
        <f>IF(A779="","",C779*'Loan Inputs'!$B$15)</f>
        <v/>
      </c>
      <c r="F779" s="2" t="str">
        <f t="shared" si="36"/>
        <v/>
      </c>
      <c r="G779" s="2" t="str">
        <f t="shared" si="37"/>
        <v/>
      </c>
      <c r="H779" s="2" t="str">
        <f>IF(A779="","",MIN(0,MAX(0,C779+E779-'Loan Inputs'!$B$17)))</f>
        <v/>
      </c>
    </row>
    <row r="780" spans="1:8" ht="22" customHeight="1">
      <c r="A780" s="1" t="str">
        <f>IF(AND('Loan Inputs'!$B$12,774&lt;=IF('Loan Inputs'!$B$12,'Loan Inputs'!$B$7,0)*'Loan Inputs'!$B$14+0,ISNUMBER(G779),G779&gt;0),774,"")</f>
        <v/>
      </c>
      <c r="B780" s="4" t="str">
        <f>IF(A780="","",IF('Loan Inputs'!$B$14=12,DATE(YEAR('Loan Inputs'!$B$8),MONTH('Loan Inputs'!$B$8)+A780,DAY('Loan Inputs'!$B$8)),'Loan Inputs'!$B$8+A780*IF('Loan Inputs'!$B$14=26,14,7)))</f>
        <v/>
      </c>
      <c r="C780" s="2" t="str">
        <f t="shared" si="38"/>
        <v/>
      </c>
      <c r="D780" s="2" t="str">
        <f>IF(A780="","",MIN('Loan Inputs'!$B$17,C780+E780)+H780)</f>
        <v/>
      </c>
      <c r="E780" s="2" t="str">
        <f>IF(A780="","",C780*'Loan Inputs'!$B$15)</f>
        <v/>
      </c>
      <c r="F780" s="2" t="str">
        <f t="shared" si="36"/>
        <v/>
      </c>
      <c r="G780" s="2" t="str">
        <f t="shared" si="37"/>
        <v/>
      </c>
      <c r="H780" s="2" t="str">
        <f>IF(A780="","",MIN(0,MAX(0,C780+E780-'Loan Inputs'!$B$17)))</f>
        <v/>
      </c>
    </row>
    <row r="781" spans="1:8" ht="22" customHeight="1">
      <c r="A781" s="1" t="str">
        <f>IF(AND('Loan Inputs'!$B$12,775&lt;=IF('Loan Inputs'!$B$12,'Loan Inputs'!$B$7,0)*'Loan Inputs'!$B$14+0,ISNUMBER(G780),G780&gt;0),775,"")</f>
        <v/>
      </c>
      <c r="B781" s="4" t="str">
        <f>IF(A781="","",IF('Loan Inputs'!$B$14=12,DATE(YEAR('Loan Inputs'!$B$8),MONTH('Loan Inputs'!$B$8)+A781,DAY('Loan Inputs'!$B$8)),'Loan Inputs'!$B$8+A781*IF('Loan Inputs'!$B$14=26,14,7)))</f>
        <v/>
      </c>
      <c r="C781" s="2" t="str">
        <f t="shared" si="38"/>
        <v/>
      </c>
      <c r="D781" s="2" t="str">
        <f>IF(A781="","",MIN('Loan Inputs'!$B$17,C781+E781)+H781)</f>
        <v/>
      </c>
      <c r="E781" s="2" t="str">
        <f>IF(A781="","",C781*'Loan Inputs'!$B$15)</f>
        <v/>
      </c>
      <c r="F781" s="2" t="str">
        <f t="shared" si="36"/>
        <v/>
      </c>
      <c r="G781" s="2" t="str">
        <f t="shared" si="37"/>
        <v/>
      </c>
      <c r="H781" s="2" t="str">
        <f>IF(A781="","",MIN(0,MAX(0,C781+E781-'Loan Inputs'!$B$17)))</f>
        <v/>
      </c>
    </row>
    <row r="782" spans="1:8" ht="22" customHeight="1">
      <c r="A782" s="1" t="str">
        <f>IF(AND('Loan Inputs'!$B$12,776&lt;=IF('Loan Inputs'!$B$12,'Loan Inputs'!$B$7,0)*'Loan Inputs'!$B$14+0,ISNUMBER(G781),G781&gt;0),776,"")</f>
        <v/>
      </c>
      <c r="B782" s="4" t="str">
        <f>IF(A782="","",IF('Loan Inputs'!$B$14=12,DATE(YEAR('Loan Inputs'!$B$8),MONTH('Loan Inputs'!$B$8)+A782,DAY('Loan Inputs'!$B$8)),'Loan Inputs'!$B$8+A782*IF('Loan Inputs'!$B$14=26,14,7)))</f>
        <v/>
      </c>
      <c r="C782" s="2" t="str">
        <f t="shared" si="38"/>
        <v/>
      </c>
      <c r="D782" s="2" t="str">
        <f>IF(A782="","",MIN('Loan Inputs'!$B$17,C782+E782)+H782)</f>
        <v/>
      </c>
      <c r="E782" s="2" t="str">
        <f>IF(A782="","",C782*'Loan Inputs'!$B$15)</f>
        <v/>
      </c>
      <c r="F782" s="2" t="str">
        <f t="shared" si="36"/>
        <v/>
      </c>
      <c r="G782" s="2" t="str">
        <f t="shared" si="37"/>
        <v/>
      </c>
      <c r="H782" s="2" t="str">
        <f>IF(A782="","",MIN(0,MAX(0,C782+E782-'Loan Inputs'!$B$17)))</f>
        <v/>
      </c>
    </row>
    <row r="783" spans="1:8" ht="22" customHeight="1">
      <c r="A783" s="1" t="str">
        <f>IF(AND('Loan Inputs'!$B$12,777&lt;=IF('Loan Inputs'!$B$12,'Loan Inputs'!$B$7,0)*'Loan Inputs'!$B$14+0,ISNUMBER(G782),G782&gt;0),777,"")</f>
        <v/>
      </c>
      <c r="B783" s="4" t="str">
        <f>IF(A783="","",IF('Loan Inputs'!$B$14=12,DATE(YEAR('Loan Inputs'!$B$8),MONTH('Loan Inputs'!$B$8)+A783,DAY('Loan Inputs'!$B$8)),'Loan Inputs'!$B$8+A783*IF('Loan Inputs'!$B$14=26,14,7)))</f>
        <v/>
      </c>
      <c r="C783" s="2" t="str">
        <f t="shared" si="38"/>
        <v/>
      </c>
      <c r="D783" s="2" t="str">
        <f>IF(A783="","",MIN('Loan Inputs'!$B$17,C783+E783)+H783)</f>
        <v/>
      </c>
      <c r="E783" s="2" t="str">
        <f>IF(A783="","",C783*'Loan Inputs'!$B$15)</f>
        <v/>
      </c>
      <c r="F783" s="2" t="str">
        <f t="shared" si="36"/>
        <v/>
      </c>
      <c r="G783" s="2" t="str">
        <f t="shared" si="37"/>
        <v/>
      </c>
      <c r="H783" s="2" t="str">
        <f>IF(A783="","",MIN(0,MAX(0,C783+E783-'Loan Inputs'!$B$17)))</f>
        <v/>
      </c>
    </row>
    <row r="784" spans="1:8" ht="22" customHeight="1">
      <c r="A784" s="1" t="str">
        <f>IF(AND('Loan Inputs'!$B$12,778&lt;=IF('Loan Inputs'!$B$12,'Loan Inputs'!$B$7,0)*'Loan Inputs'!$B$14+0,ISNUMBER(G783),G783&gt;0),778,"")</f>
        <v/>
      </c>
      <c r="B784" s="4" t="str">
        <f>IF(A784="","",IF('Loan Inputs'!$B$14=12,DATE(YEAR('Loan Inputs'!$B$8),MONTH('Loan Inputs'!$B$8)+A784,DAY('Loan Inputs'!$B$8)),'Loan Inputs'!$B$8+A784*IF('Loan Inputs'!$B$14=26,14,7)))</f>
        <v/>
      </c>
      <c r="C784" s="2" t="str">
        <f t="shared" si="38"/>
        <v/>
      </c>
      <c r="D784" s="2" t="str">
        <f>IF(A784="","",MIN('Loan Inputs'!$B$17,C784+E784)+H784)</f>
        <v/>
      </c>
      <c r="E784" s="2" t="str">
        <f>IF(A784="","",C784*'Loan Inputs'!$B$15)</f>
        <v/>
      </c>
      <c r="F784" s="2" t="str">
        <f t="shared" si="36"/>
        <v/>
      </c>
      <c r="G784" s="2" t="str">
        <f t="shared" si="37"/>
        <v/>
      </c>
      <c r="H784" s="2" t="str">
        <f>IF(A784="","",MIN(0,MAX(0,C784+E784-'Loan Inputs'!$B$17)))</f>
        <v/>
      </c>
    </row>
    <row r="785" spans="1:8" ht="22" customHeight="1">
      <c r="A785" s="1" t="str">
        <f>IF(AND('Loan Inputs'!$B$12,779&lt;=IF('Loan Inputs'!$B$12,'Loan Inputs'!$B$7,0)*'Loan Inputs'!$B$14+0,ISNUMBER(G784),G784&gt;0),779,"")</f>
        <v/>
      </c>
      <c r="B785" s="4" t="str">
        <f>IF(A785="","",IF('Loan Inputs'!$B$14=12,DATE(YEAR('Loan Inputs'!$B$8),MONTH('Loan Inputs'!$B$8)+A785,DAY('Loan Inputs'!$B$8)),'Loan Inputs'!$B$8+A785*IF('Loan Inputs'!$B$14=26,14,7)))</f>
        <v/>
      </c>
      <c r="C785" s="2" t="str">
        <f t="shared" si="38"/>
        <v/>
      </c>
      <c r="D785" s="2" t="str">
        <f>IF(A785="","",MIN('Loan Inputs'!$B$17,C785+E785)+H785)</f>
        <v/>
      </c>
      <c r="E785" s="2" t="str">
        <f>IF(A785="","",C785*'Loan Inputs'!$B$15)</f>
        <v/>
      </c>
      <c r="F785" s="2" t="str">
        <f t="shared" si="36"/>
        <v/>
      </c>
      <c r="G785" s="2" t="str">
        <f t="shared" si="37"/>
        <v/>
      </c>
      <c r="H785" s="2" t="str">
        <f>IF(A785="","",MIN(0,MAX(0,C785+E785-'Loan Inputs'!$B$17)))</f>
        <v/>
      </c>
    </row>
    <row r="786" spans="1:8" ht="22" customHeight="1">
      <c r="A786" s="1" t="str">
        <f>IF(AND('Loan Inputs'!$B$12,780&lt;=IF('Loan Inputs'!$B$12,'Loan Inputs'!$B$7,0)*'Loan Inputs'!$B$14+0,ISNUMBER(G785),G785&gt;0),780,"")</f>
        <v/>
      </c>
      <c r="B786" s="4" t="str">
        <f>IF(A786="","",IF('Loan Inputs'!$B$14=12,DATE(YEAR('Loan Inputs'!$B$8),MONTH('Loan Inputs'!$B$8)+A786,DAY('Loan Inputs'!$B$8)),'Loan Inputs'!$B$8+A786*IF('Loan Inputs'!$B$14=26,14,7)))</f>
        <v/>
      </c>
      <c r="C786" s="2" t="str">
        <f t="shared" si="38"/>
        <v/>
      </c>
      <c r="D786" s="2" t="str">
        <f>IF(A786="","",MIN('Loan Inputs'!$B$17,C786+E786)+H786)</f>
        <v/>
      </c>
      <c r="E786" s="2" t="str">
        <f>IF(A786="","",C786*'Loan Inputs'!$B$15)</f>
        <v/>
      </c>
      <c r="F786" s="2" t="str">
        <f t="shared" si="36"/>
        <v/>
      </c>
      <c r="G786" s="2" t="str">
        <f t="shared" si="37"/>
        <v/>
      </c>
      <c r="H786" s="2" t="str">
        <f>IF(A786="","",MIN(0,MAX(0,C786+E786-'Loan Inputs'!$B$17)))</f>
        <v/>
      </c>
    </row>
    <row r="787" spans="1:8" ht="22" customHeight="1">
      <c r="A787" s="1" t="str">
        <f>IF(AND('Loan Inputs'!$B$12,781&lt;=IF('Loan Inputs'!$B$12,'Loan Inputs'!$B$7,0)*'Loan Inputs'!$B$14+0,ISNUMBER(G786),G786&gt;0),781,"")</f>
        <v/>
      </c>
      <c r="B787" s="4" t="str">
        <f>IF(A787="","",IF('Loan Inputs'!$B$14=12,DATE(YEAR('Loan Inputs'!$B$8),MONTH('Loan Inputs'!$B$8)+A787,DAY('Loan Inputs'!$B$8)),'Loan Inputs'!$B$8+A787*IF('Loan Inputs'!$B$14=26,14,7)))</f>
        <v/>
      </c>
      <c r="C787" s="2" t="str">
        <f t="shared" si="38"/>
        <v/>
      </c>
      <c r="D787" s="2" t="str">
        <f>IF(A787="","",MIN('Loan Inputs'!$B$17,C787+E787)+H787)</f>
        <v/>
      </c>
      <c r="E787" s="2" t="str">
        <f>IF(A787="","",C787*'Loan Inputs'!$B$15)</f>
        <v/>
      </c>
      <c r="F787" s="2" t="str">
        <f t="shared" si="36"/>
        <v/>
      </c>
      <c r="G787" s="2" t="str">
        <f t="shared" si="37"/>
        <v/>
      </c>
      <c r="H787" s="2" t="str">
        <f>IF(A787="","",MIN(0,MAX(0,C787+E787-'Loan Inputs'!$B$17)))</f>
        <v/>
      </c>
    </row>
    <row r="788" spans="1:8" ht="22" customHeight="1">
      <c r="A788" s="1" t="str">
        <f>IF(AND('Loan Inputs'!$B$12,782&lt;=IF('Loan Inputs'!$B$12,'Loan Inputs'!$B$7,0)*'Loan Inputs'!$B$14+0,ISNUMBER(G787),G787&gt;0),782,"")</f>
        <v/>
      </c>
      <c r="B788" s="4" t="str">
        <f>IF(A788="","",IF('Loan Inputs'!$B$14=12,DATE(YEAR('Loan Inputs'!$B$8),MONTH('Loan Inputs'!$B$8)+A788,DAY('Loan Inputs'!$B$8)),'Loan Inputs'!$B$8+A788*IF('Loan Inputs'!$B$14=26,14,7)))</f>
        <v/>
      </c>
      <c r="C788" s="2" t="str">
        <f t="shared" si="38"/>
        <v/>
      </c>
      <c r="D788" s="2" t="str">
        <f>IF(A788="","",MIN('Loan Inputs'!$B$17,C788+E788)+H788)</f>
        <v/>
      </c>
      <c r="E788" s="2" t="str">
        <f>IF(A788="","",C788*'Loan Inputs'!$B$15)</f>
        <v/>
      </c>
      <c r="F788" s="2" t="str">
        <f t="shared" si="36"/>
        <v/>
      </c>
      <c r="G788" s="2" t="str">
        <f t="shared" si="37"/>
        <v/>
      </c>
      <c r="H788" s="2" t="str">
        <f>IF(A788="","",MIN(0,MAX(0,C788+E788-'Loan Inputs'!$B$17)))</f>
        <v/>
      </c>
    </row>
    <row r="789" spans="1:8" ht="22" customHeight="1">
      <c r="A789" s="1" t="str">
        <f>IF(AND('Loan Inputs'!$B$12,783&lt;=IF('Loan Inputs'!$B$12,'Loan Inputs'!$B$7,0)*'Loan Inputs'!$B$14+0,ISNUMBER(G788),G788&gt;0),783,"")</f>
        <v/>
      </c>
      <c r="B789" s="4" t="str">
        <f>IF(A789="","",IF('Loan Inputs'!$B$14=12,DATE(YEAR('Loan Inputs'!$B$8),MONTH('Loan Inputs'!$B$8)+A789,DAY('Loan Inputs'!$B$8)),'Loan Inputs'!$B$8+A789*IF('Loan Inputs'!$B$14=26,14,7)))</f>
        <v/>
      </c>
      <c r="C789" s="2" t="str">
        <f t="shared" si="38"/>
        <v/>
      </c>
      <c r="D789" s="2" t="str">
        <f>IF(A789="","",MIN('Loan Inputs'!$B$17,C789+E789)+H789)</f>
        <v/>
      </c>
      <c r="E789" s="2" t="str">
        <f>IF(A789="","",C789*'Loan Inputs'!$B$15)</f>
        <v/>
      </c>
      <c r="F789" s="2" t="str">
        <f t="shared" si="36"/>
        <v/>
      </c>
      <c r="G789" s="2" t="str">
        <f t="shared" si="37"/>
        <v/>
      </c>
      <c r="H789" s="2" t="str">
        <f>IF(A789="","",MIN(0,MAX(0,C789+E789-'Loan Inputs'!$B$17)))</f>
        <v/>
      </c>
    </row>
    <row r="790" spans="1:8" ht="22" customHeight="1">
      <c r="A790" s="1" t="str">
        <f>IF(AND('Loan Inputs'!$B$12,784&lt;=IF('Loan Inputs'!$B$12,'Loan Inputs'!$B$7,0)*'Loan Inputs'!$B$14+0,ISNUMBER(G789),G789&gt;0),784,"")</f>
        <v/>
      </c>
      <c r="B790" s="4" t="str">
        <f>IF(A790="","",IF('Loan Inputs'!$B$14=12,DATE(YEAR('Loan Inputs'!$B$8),MONTH('Loan Inputs'!$B$8)+A790,DAY('Loan Inputs'!$B$8)),'Loan Inputs'!$B$8+A790*IF('Loan Inputs'!$B$14=26,14,7)))</f>
        <v/>
      </c>
      <c r="C790" s="2" t="str">
        <f t="shared" si="38"/>
        <v/>
      </c>
      <c r="D790" s="2" t="str">
        <f>IF(A790="","",MIN('Loan Inputs'!$B$17,C790+E790)+H790)</f>
        <v/>
      </c>
      <c r="E790" s="2" t="str">
        <f>IF(A790="","",C790*'Loan Inputs'!$B$15)</f>
        <v/>
      </c>
      <c r="F790" s="2" t="str">
        <f t="shared" si="36"/>
        <v/>
      </c>
      <c r="G790" s="2" t="str">
        <f t="shared" si="37"/>
        <v/>
      </c>
      <c r="H790" s="2" t="str">
        <f>IF(A790="","",MIN(0,MAX(0,C790+E790-'Loan Inputs'!$B$17)))</f>
        <v/>
      </c>
    </row>
    <row r="791" spans="1:8" ht="22" customHeight="1">
      <c r="A791" s="1" t="str">
        <f>IF(AND('Loan Inputs'!$B$12,785&lt;=IF('Loan Inputs'!$B$12,'Loan Inputs'!$B$7,0)*'Loan Inputs'!$B$14+0,ISNUMBER(G790),G790&gt;0),785,"")</f>
        <v/>
      </c>
      <c r="B791" s="4" t="str">
        <f>IF(A791="","",IF('Loan Inputs'!$B$14=12,DATE(YEAR('Loan Inputs'!$B$8),MONTH('Loan Inputs'!$B$8)+A791,DAY('Loan Inputs'!$B$8)),'Loan Inputs'!$B$8+A791*IF('Loan Inputs'!$B$14=26,14,7)))</f>
        <v/>
      </c>
      <c r="C791" s="2" t="str">
        <f t="shared" si="38"/>
        <v/>
      </c>
      <c r="D791" s="2" t="str">
        <f>IF(A791="","",MIN('Loan Inputs'!$B$17,C791+E791)+H791)</f>
        <v/>
      </c>
      <c r="E791" s="2" t="str">
        <f>IF(A791="","",C791*'Loan Inputs'!$B$15)</f>
        <v/>
      </c>
      <c r="F791" s="2" t="str">
        <f t="shared" si="36"/>
        <v/>
      </c>
      <c r="G791" s="2" t="str">
        <f t="shared" si="37"/>
        <v/>
      </c>
      <c r="H791" s="2" t="str">
        <f>IF(A791="","",MIN(0,MAX(0,C791+E791-'Loan Inputs'!$B$17)))</f>
        <v/>
      </c>
    </row>
    <row r="792" spans="1:8" ht="22" customHeight="1">
      <c r="A792" s="1" t="str">
        <f>IF(AND('Loan Inputs'!$B$12,786&lt;=IF('Loan Inputs'!$B$12,'Loan Inputs'!$B$7,0)*'Loan Inputs'!$B$14+0,ISNUMBER(G791),G791&gt;0),786,"")</f>
        <v/>
      </c>
      <c r="B792" s="4" t="str">
        <f>IF(A792="","",IF('Loan Inputs'!$B$14=12,DATE(YEAR('Loan Inputs'!$B$8),MONTH('Loan Inputs'!$B$8)+A792,DAY('Loan Inputs'!$B$8)),'Loan Inputs'!$B$8+A792*IF('Loan Inputs'!$B$14=26,14,7)))</f>
        <v/>
      </c>
      <c r="C792" s="2" t="str">
        <f t="shared" si="38"/>
        <v/>
      </c>
      <c r="D792" s="2" t="str">
        <f>IF(A792="","",MIN('Loan Inputs'!$B$17,C792+E792)+H792)</f>
        <v/>
      </c>
      <c r="E792" s="2" t="str">
        <f>IF(A792="","",C792*'Loan Inputs'!$B$15)</f>
        <v/>
      </c>
      <c r="F792" s="2" t="str">
        <f t="shared" si="36"/>
        <v/>
      </c>
      <c r="G792" s="2" t="str">
        <f t="shared" si="37"/>
        <v/>
      </c>
      <c r="H792" s="2" t="str">
        <f>IF(A792="","",MIN(0,MAX(0,C792+E792-'Loan Inputs'!$B$17)))</f>
        <v/>
      </c>
    </row>
    <row r="793" spans="1:8" ht="22" customHeight="1">
      <c r="A793" s="1" t="str">
        <f>IF(AND('Loan Inputs'!$B$12,787&lt;=IF('Loan Inputs'!$B$12,'Loan Inputs'!$B$7,0)*'Loan Inputs'!$B$14+0,ISNUMBER(G792),G792&gt;0),787,"")</f>
        <v/>
      </c>
      <c r="B793" s="4" t="str">
        <f>IF(A793="","",IF('Loan Inputs'!$B$14=12,DATE(YEAR('Loan Inputs'!$B$8),MONTH('Loan Inputs'!$B$8)+A793,DAY('Loan Inputs'!$B$8)),'Loan Inputs'!$B$8+A793*IF('Loan Inputs'!$B$14=26,14,7)))</f>
        <v/>
      </c>
      <c r="C793" s="2" t="str">
        <f t="shared" si="38"/>
        <v/>
      </c>
      <c r="D793" s="2" t="str">
        <f>IF(A793="","",MIN('Loan Inputs'!$B$17,C793+E793)+H793)</f>
        <v/>
      </c>
      <c r="E793" s="2" t="str">
        <f>IF(A793="","",C793*'Loan Inputs'!$B$15)</f>
        <v/>
      </c>
      <c r="F793" s="2" t="str">
        <f t="shared" si="36"/>
        <v/>
      </c>
      <c r="G793" s="2" t="str">
        <f t="shared" si="37"/>
        <v/>
      </c>
      <c r="H793" s="2" t="str">
        <f>IF(A793="","",MIN(0,MAX(0,C793+E793-'Loan Inputs'!$B$17)))</f>
        <v/>
      </c>
    </row>
    <row r="794" spans="1:8" ht="22" customHeight="1">
      <c r="A794" s="1" t="str">
        <f>IF(AND('Loan Inputs'!$B$12,788&lt;=IF('Loan Inputs'!$B$12,'Loan Inputs'!$B$7,0)*'Loan Inputs'!$B$14+0,ISNUMBER(G793),G793&gt;0),788,"")</f>
        <v/>
      </c>
      <c r="B794" s="4" t="str">
        <f>IF(A794="","",IF('Loan Inputs'!$B$14=12,DATE(YEAR('Loan Inputs'!$B$8),MONTH('Loan Inputs'!$B$8)+A794,DAY('Loan Inputs'!$B$8)),'Loan Inputs'!$B$8+A794*IF('Loan Inputs'!$B$14=26,14,7)))</f>
        <v/>
      </c>
      <c r="C794" s="2" t="str">
        <f t="shared" si="38"/>
        <v/>
      </c>
      <c r="D794" s="2" t="str">
        <f>IF(A794="","",MIN('Loan Inputs'!$B$17,C794+E794)+H794)</f>
        <v/>
      </c>
      <c r="E794" s="2" t="str">
        <f>IF(A794="","",C794*'Loan Inputs'!$B$15)</f>
        <v/>
      </c>
      <c r="F794" s="2" t="str">
        <f t="shared" si="36"/>
        <v/>
      </c>
      <c r="G794" s="2" t="str">
        <f t="shared" si="37"/>
        <v/>
      </c>
      <c r="H794" s="2" t="str">
        <f>IF(A794="","",MIN(0,MAX(0,C794+E794-'Loan Inputs'!$B$17)))</f>
        <v/>
      </c>
    </row>
    <row r="795" spans="1:8" ht="22" customHeight="1">
      <c r="A795" s="1" t="str">
        <f>IF(AND('Loan Inputs'!$B$12,789&lt;=IF('Loan Inputs'!$B$12,'Loan Inputs'!$B$7,0)*'Loan Inputs'!$B$14+0,ISNUMBER(G794),G794&gt;0),789,"")</f>
        <v/>
      </c>
      <c r="B795" s="4" t="str">
        <f>IF(A795="","",IF('Loan Inputs'!$B$14=12,DATE(YEAR('Loan Inputs'!$B$8),MONTH('Loan Inputs'!$B$8)+A795,DAY('Loan Inputs'!$B$8)),'Loan Inputs'!$B$8+A795*IF('Loan Inputs'!$B$14=26,14,7)))</f>
        <v/>
      </c>
      <c r="C795" s="2" t="str">
        <f t="shared" si="38"/>
        <v/>
      </c>
      <c r="D795" s="2" t="str">
        <f>IF(A795="","",MIN('Loan Inputs'!$B$17,C795+E795)+H795)</f>
        <v/>
      </c>
      <c r="E795" s="2" t="str">
        <f>IF(A795="","",C795*'Loan Inputs'!$B$15)</f>
        <v/>
      </c>
      <c r="F795" s="2" t="str">
        <f t="shared" si="36"/>
        <v/>
      </c>
      <c r="G795" s="2" t="str">
        <f t="shared" si="37"/>
        <v/>
      </c>
      <c r="H795" s="2" t="str">
        <f>IF(A795="","",MIN(0,MAX(0,C795+E795-'Loan Inputs'!$B$17)))</f>
        <v/>
      </c>
    </row>
    <row r="796" spans="1:8" ht="22" customHeight="1">
      <c r="A796" s="1" t="str">
        <f>IF(AND('Loan Inputs'!$B$12,790&lt;=IF('Loan Inputs'!$B$12,'Loan Inputs'!$B$7,0)*'Loan Inputs'!$B$14+0,ISNUMBER(G795),G795&gt;0),790,"")</f>
        <v/>
      </c>
      <c r="B796" s="4" t="str">
        <f>IF(A796="","",IF('Loan Inputs'!$B$14=12,DATE(YEAR('Loan Inputs'!$B$8),MONTH('Loan Inputs'!$B$8)+A796,DAY('Loan Inputs'!$B$8)),'Loan Inputs'!$B$8+A796*IF('Loan Inputs'!$B$14=26,14,7)))</f>
        <v/>
      </c>
      <c r="C796" s="2" t="str">
        <f t="shared" si="38"/>
        <v/>
      </c>
      <c r="D796" s="2" t="str">
        <f>IF(A796="","",MIN('Loan Inputs'!$B$17,C796+E796)+H796)</f>
        <v/>
      </c>
      <c r="E796" s="2" t="str">
        <f>IF(A796="","",C796*'Loan Inputs'!$B$15)</f>
        <v/>
      </c>
      <c r="F796" s="2" t="str">
        <f t="shared" si="36"/>
        <v/>
      </c>
      <c r="G796" s="2" t="str">
        <f t="shared" si="37"/>
        <v/>
      </c>
      <c r="H796" s="2" t="str">
        <f>IF(A796="","",MIN(0,MAX(0,C796+E796-'Loan Inputs'!$B$17)))</f>
        <v/>
      </c>
    </row>
    <row r="797" spans="1:8" ht="22" customHeight="1">
      <c r="A797" s="1" t="str">
        <f>IF(AND('Loan Inputs'!$B$12,791&lt;=IF('Loan Inputs'!$B$12,'Loan Inputs'!$B$7,0)*'Loan Inputs'!$B$14+0,ISNUMBER(G796),G796&gt;0),791,"")</f>
        <v/>
      </c>
      <c r="B797" s="4" t="str">
        <f>IF(A797="","",IF('Loan Inputs'!$B$14=12,DATE(YEAR('Loan Inputs'!$B$8),MONTH('Loan Inputs'!$B$8)+A797,DAY('Loan Inputs'!$B$8)),'Loan Inputs'!$B$8+A797*IF('Loan Inputs'!$B$14=26,14,7)))</f>
        <v/>
      </c>
      <c r="C797" s="2" t="str">
        <f t="shared" si="38"/>
        <v/>
      </c>
      <c r="D797" s="2" t="str">
        <f>IF(A797="","",MIN('Loan Inputs'!$B$17,C797+E797)+H797)</f>
        <v/>
      </c>
      <c r="E797" s="2" t="str">
        <f>IF(A797="","",C797*'Loan Inputs'!$B$15)</f>
        <v/>
      </c>
      <c r="F797" s="2" t="str">
        <f t="shared" si="36"/>
        <v/>
      </c>
      <c r="G797" s="2" t="str">
        <f t="shared" si="37"/>
        <v/>
      </c>
      <c r="H797" s="2" t="str">
        <f>IF(A797="","",MIN(0,MAX(0,C797+E797-'Loan Inputs'!$B$17)))</f>
        <v/>
      </c>
    </row>
    <row r="798" spans="1:8" ht="22" customHeight="1">
      <c r="A798" s="1" t="str">
        <f>IF(AND('Loan Inputs'!$B$12,792&lt;=IF('Loan Inputs'!$B$12,'Loan Inputs'!$B$7,0)*'Loan Inputs'!$B$14+0,ISNUMBER(G797),G797&gt;0),792,"")</f>
        <v/>
      </c>
      <c r="B798" s="4" t="str">
        <f>IF(A798="","",IF('Loan Inputs'!$B$14=12,DATE(YEAR('Loan Inputs'!$B$8),MONTH('Loan Inputs'!$B$8)+A798,DAY('Loan Inputs'!$B$8)),'Loan Inputs'!$B$8+A798*IF('Loan Inputs'!$B$14=26,14,7)))</f>
        <v/>
      </c>
      <c r="C798" s="2" t="str">
        <f t="shared" si="38"/>
        <v/>
      </c>
      <c r="D798" s="2" t="str">
        <f>IF(A798="","",MIN('Loan Inputs'!$B$17,C798+E798)+H798)</f>
        <v/>
      </c>
      <c r="E798" s="2" t="str">
        <f>IF(A798="","",C798*'Loan Inputs'!$B$15)</f>
        <v/>
      </c>
      <c r="F798" s="2" t="str">
        <f t="shared" si="36"/>
        <v/>
      </c>
      <c r="G798" s="2" t="str">
        <f t="shared" si="37"/>
        <v/>
      </c>
      <c r="H798" s="2" t="str">
        <f>IF(A798="","",MIN(0,MAX(0,C798+E798-'Loan Inputs'!$B$17)))</f>
        <v/>
      </c>
    </row>
    <row r="799" spans="1:8" ht="22" customHeight="1">
      <c r="A799" s="1" t="str">
        <f>IF(AND('Loan Inputs'!$B$12,793&lt;=IF('Loan Inputs'!$B$12,'Loan Inputs'!$B$7,0)*'Loan Inputs'!$B$14+0,ISNUMBER(G798),G798&gt;0),793,"")</f>
        <v/>
      </c>
      <c r="B799" s="4" t="str">
        <f>IF(A799="","",IF('Loan Inputs'!$B$14=12,DATE(YEAR('Loan Inputs'!$B$8),MONTH('Loan Inputs'!$B$8)+A799,DAY('Loan Inputs'!$B$8)),'Loan Inputs'!$B$8+A799*IF('Loan Inputs'!$B$14=26,14,7)))</f>
        <v/>
      </c>
      <c r="C799" s="2" t="str">
        <f t="shared" si="38"/>
        <v/>
      </c>
      <c r="D799" s="2" t="str">
        <f>IF(A799="","",MIN('Loan Inputs'!$B$17,C799+E799)+H799)</f>
        <v/>
      </c>
      <c r="E799" s="2" t="str">
        <f>IF(A799="","",C799*'Loan Inputs'!$B$15)</f>
        <v/>
      </c>
      <c r="F799" s="2" t="str">
        <f t="shared" si="36"/>
        <v/>
      </c>
      <c r="G799" s="2" t="str">
        <f t="shared" si="37"/>
        <v/>
      </c>
      <c r="H799" s="2" t="str">
        <f>IF(A799="","",MIN(0,MAX(0,C799+E799-'Loan Inputs'!$B$17)))</f>
        <v/>
      </c>
    </row>
    <row r="800" spans="1:8" ht="22" customHeight="1">
      <c r="A800" s="1" t="str">
        <f>IF(AND('Loan Inputs'!$B$12,794&lt;=IF('Loan Inputs'!$B$12,'Loan Inputs'!$B$7,0)*'Loan Inputs'!$B$14+0,ISNUMBER(G799),G799&gt;0),794,"")</f>
        <v/>
      </c>
      <c r="B800" s="4" t="str">
        <f>IF(A800="","",IF('Loan Inputs'!$B$14=12,DATE(YEAR('Loan Inputs'!$B$8),MONTH('Loan Inputs'!$B$8)+A800,DAY('Loan Inputs'!$B$8)),'Loan Inputs'!$B$8+A800*IF('Loan Inputs'!$B$14=26,14,7)))</f>
        <v/>
      </c>
      <c r="C800" s="2" t="str">
        <f t="shared" si="38"/>
        <v/>
      </c>
      <c r="D800" s="2" t="str">
        <f>IF(A800="","",MIN('Loan Inputs'!$B$17,C800+E800)+H800)</f>
        <v/>
      </c>
      <c r="E800" s="2" t="str">
        <f>IF(A800="","",C800*'Loan Inputs'!$B$15)</f>
        <v/>
      </c>
      <c r="F800" s="2" t="str">
        <f t="shared" si="36"/>
        <v/>
      </c>
      <c r="G800" s="2" t="str">
        <f t="shared" si="37"/>
        <v/>
      </c>
      <c r="H800" s="2" t="str">
        <f>IF(A800="","",MIN(0,MAX(0,C800+E800-'Loan Inputs'!$B$17)))</f>
        <v/>
      </c>
    </row>
    <row r="801" spans="1:8" ht="22" customHeight="1">
      <c r="A801" s="1" t="str">
        <f>IF(AND('Loan Inputs'!$B$12,795&lt;=IF('Loan Inputs'!$B$12,'Loan Inputs'!$B$7,0)*'Loan Inputs'!$B$14+0,ISNUMBER(G800),G800&gt;0),795,"")</f>
        <v/>
      </c>
      <c r="B801" s="4" t="str">
        <f>IF(A801="","",IF('Loan Inputs'!$B$14=12,DATE(YEAR('Loan Inputs'!$B$8),MONTH('Loan Inputs'!$B$8)+A801,DAY('Loan Inputs'!$B$8)),'Loan Inputs'!$B$8+A801*IF('Loan Inputs'!$B$14=26,14,7)))</f>
        <v/>
      </c>
      <c r="C801" s="2" t="str">
        <f t="shared" si="38"/>
        <v/>
      </c>
      <c r="D801" s="2" t="str">
        <f>IF(A801="","",MIN('Loan Inputs'!$B$17,C801+E801)+H801)</f>
        <v/>
      </c>
      <c r="E801" s="2" t="str">
        <f>IF(A801="","",C801*'Loan Inputs'!$B$15)</f>
        <v/>
      </c>
      <c r="F801" s="2" t="str">
        <f t="shared" si="36"/>
        <v/>
      </c>
      <c r="G801" s="2" t="str">
        <f t="shared" si="37"/>
        <v/>
      </c>
      <c r="H801" s="2" t="str">
        <f>IF(A801="","",MIN(0,MAX(0,C801+E801-'Loan Inputs'!$B$17)))</f>
        <v/>
      </c>
    </row>
    <row r="802" spans="1:8" ht="22" customHeight="1">
      <c r="A802" s="1" t="str">
        <f>IF(AND('Loan Inputs'!$B$12,796&lt;=IF('Loan Inputs'!$B$12,'Loan Inputs'!$B$7,0)*'Loan Inputs'!$B$14+0,ISNUMBER(G801),G801&gt;0),796,"")</f>
        <v/>
      </c>
      <c r="B802" s="4" t="str">
        <f>IF(A802="","",IF('Loan Inputs'!$B$14=12,DATE(YEAR('Loan Inputs'!$B$8),MONTH('Loan Inputs'!$B$8)+A802,DAY('Loan Inputs'!$B$8)),'Loan Inputs'!$B$8+A802*IF('Loan Inputs'!$B$14=26,14,7)))</f>
        <v/>
      </c>
      <c r="C802" s="2" t="str">
        <f t="shared" si="38"/>
        <v/>
      </c>
      <c r="D802" s="2" t="str">
        <f>IF(A802="","",MIN('Loan Inputs'!$B$17,C802+E802)+H802)</f>
        <v/>
      </c>
      <c r="E802" s="2" t="str">
        <f>IF(A802="","",C802*'Loan Inputs'!$B$15)</f>
        <v/>
      </c>
      <c r="F802" s="2" t="str">
        <f t="shared" si="36"/>
        <v/>
      </c>
      <c r="G802" s="2" t="str">
        <f t="shared" si="37"/>
        <v/>
      </c>
      <c r="H802" s="2" t="str">
        <f>IF(A802="","",MIN(0,MAX(0,C802+E802-'Loan Inputs'!$B$17)))</f>
        <v/>
      </c>
    </row>
    <row r="803" spans="1:8" ht="22" customHeight="1">
      <c r="A803" s="1" t="str">
        <f>IF(AND('Loan Inputs'!$B$12,797&lt;=IF('Loan Inputs'!$B$12,'Loan Inputs'!$B$7,0)*'Loan Inputs'!$B$14+0,ISNUMBER(G802),G802&gt;0),797,"")</f>
        <v/>
      </c>
      <c r="B803" s="4" t="str">
        <f>IF(A803="","",IF('Loan Inputs'!$B$14=12,DATE(YEAR('Loan Inputs'!$B$8),MONTH('Loan Inputs'!$B$8)+A803,DAY('Loan Inputs'!$B$8)),'Loan Inputs'!$B$8+A803*IF('Loan Inputs'!$B$14=26,14,7)))</f>
        <v/>
      </c>
      <c r="C803" s="2" t="str">
        <f t="shared" si="38"/>
        <v/>
      </c>
      <c r="D803" s="2" t="str">
        <f>IF(A803="","",MIN('Loan Inputs'!$B$17,C803+E803)+H803)</f>
        <v/>
      </c>
      <c r="E803" s="2" t="str">
        <f>IF(A803="","",C803*'Loan Inputs'!$B$15)</f>
        <v/>
      </c>
      <c r="F803" s="2" t="str">
        <f t="shared" si="36"/>
        <v/>
      </c>
      <c r="G803" s="2" t="str">
        <f t="shared" si="37"/>
        <v/>
      </c>
      <c r="H803" s="2" t="str">
        <f>IF(A803="","",MIN(0,MAX(0,C803+E803-'Loan Inputs'!$B$17)))</f>
        <v/>
      </c>
    </row>
    <row r="804" spans="1:8" ht="22" customHeight="1">
      <c r="A804" s="1" t="str">
        <f>IF(AND('Loan Inputs'!$B$12,798&lt;=IF('Loan Inputs'!$B$12,'Loan Inputs'!$B$7,0)*'Loan Inputs'!$B$14+0,ISNUMBER(G803),G803&gt;0),798,"")</f>
        <v/>
      </c>
      <c r="B804" s="4" t="str">
        <f>IF(A804="","",IF('Loan Inputs'!$B$14=12,DATE(YEAR('Loan Inputs'!$B$8),MONTH('Loan Inputs'!$B$8)+A804,DAY('Loan Inputs'!$B$8)),'Loan Inputs'!$B$8+A804*IF('Loan Inputs'!$B$14=26,14,7)))</f>
        <v/>
      </c>
      <c r="C804" s="2" t="str">
        <f t="shared" si="38"/>
        <v/>
      </c>
      <c r="D804" s="2" t="str">
        <f>IF(A804="","",MIN('Loan Inputs'!$B$17,C804+E804)+H804)</f>
        <v/>
      </c>
      <c r="E804" s="2" t="str">
        <f>IF(A804="","",C804*'Loan Inputs'!$B$15)</f>
        <v/>
      </c>
      <c r="F804" s="2" t="str">
        <f t="shared" si="36"/>
        <v/>
      </c>
      <c r="G804" s="2" t="str">
        <f t="shared" si="37"/>
        <v/>
      </c>
      <c r="H804" s="2" t="str">
        <f>IF(A804="","",MIN(0,MAX(0,C804+E804-'Loan Inputs'!$B$17)))</f>
        <v/>
      </c>
    </row>
    <row r="805" spans="1:8" ht="22" customHeight="1">
      <c r="A805" s="1" t="str">
        <f>IF(AND('Loan Inputs'!$B$12,799&lt;=IF('Loan Inputs'!$B$12,'Loan Inputs'!$B$7,0)*'Loan Inputs'!$B$14+0,ISNUMBER(G804),G804&gt;0),799,"")</f>
        <v/>
      </c>
      <c r="B805" s="4" t="str">
        <f>IF(A805="","",IF('Loan Inputs'!$B$14=12,DATE(YEAR('Loan Inputs'!$B$8),MONTH('Loan Inputs'!$B$8)+A805,DAY('Loan Inputs'!$B$8)),'Loan Inputs'!$B$8+A805*IF('Loan Inputs'!$B$14=26,14,7)))</f>
        <v/>
      </c>
      <c r="C805" s="2" t="str">
        <f t="shared" si="38"/>
        <v/>
      </c>
      <c r="D805" s="2" t="str">
        <f>IF(A805="","",MIN('Loan Inputs'!$B$17,C805+E805)+H805)</f>
        <v/>
      </c>
      <c r="E805" s="2" t="str">
        <f>IF(A805="","",C805*'Loan Inputs'!$B$15)</f>
        <v/>
      </c>
      <c r="F805" s="2" t="str">
        <f t="shared" si="36"/>
        <v/>
      </c>
      <c r="G805" s="2" t="str">
        <f t="shared" si="37"/>
        <v/>
      </c>
      <c r="H805" s="2" t="str">
        <f>IF(A805="","",MIN(0,MAX(0,C805+E805-'Loan Inputs'!$B$17)))</f>
        <v/>
      </c>
    </row>
    <row r="806" spans="1:8" ht="22" customHeight="1">
      <c r="A806" s="1" t="str">
        <f>IF(AND('Loan Inputs'!$B$12,800&lt;=IF('Loan Inputs'!$B$12,'Loan Inputs'!$B$7,0)*'Loan Inputs'!$B$14+0,ISNUMBER(G805),G805&gt;0),800,"")</f>
        <v/>
      </c>
      <c r="B806" s="4" t="str">
        <f>IF(A806="","",IF('Loan Inputs'!$B$14=12,DATE(YEAR('Loan Inputs'!$B$8),MONTH('Loan Inputs'!$B$8)+A806,DAY('Loan Inputs'!$B$8)),'Loan Inputs'!$B$8+A806*IF('Loan Inputs'!$B$14=26,14,7)))</f>
        <v/>
      </c>
      <c r="C806" s="2" t="str">
        <f t="shared" si="38"/>
        <v/>
      </c>
      <c r="D806" s="2" t="str">
        <f>IF(A806="","",MIN('Loan Inputs'!$B$17,C806+E806)+H806)</f>
        <v/>
      </c>
      <c r="E806" s="2" t="str">
        <f>IF(A806="","",C806*'Loan Inputs'!$B$15)</f>
        <v/>
      </c>
      <c r="F806" s="2" t="str">
        <f t="shared" si="36"/>
        <v/>
      </c>
      <c r="G806" s="2" t="str">
        <f t="shared" si="37"/>
        <v/>
      </c>
      <c r="H806" s="2" t="str">
        <f>IF(A806="","",MIN(0,MAX(0,C806+E806-'Loan Inputs'!$B$17)))</f>
        <v/>
      </c>
    </row>
    <row r="807" spans="1:8" ht="22" customHeight="1">
      <c r="A807" s="1" t="str">
        <f>IF(AND('Loan Inputs'!$B$12,801&lt;=IF('Loan Inputs'!$B$12,'Loan Inputs'!$B$7,0)*'Loan Inputs'!$B$14+0,ISNUMBER(G806),G806&gt;0),801,"")</f>
        <v/>
      </c>
      <c r="B807" s="4" t="str">
        <f>IF(A807="","",IF('Loan Inputs'!$B$14=12,DATE(YEAR('Loan Inputs'!$B$8),MONTH('Loan Inputs'!$B$8)+A807,DAY('Loan Inputs'!$B$8)),'Loan Inputs'!$B$8+A807*IF('Loan Inputs'!$B$14=26,14,7)))</f>
        <v/>
      </c>
      <c r="C807" s="2" t="str">
        <f t="shared" si="38"/>
        <v/>
      </c>
      <c r="D807" s="2" t="str">
        <f>IF(A807="","",MIN('Loan Inputs'!$B$17,C807+E807)+H807)</f>
        <v/>
      </c>
      <c r="E807" s="2" t="str">
        <f>IF(A807="","",C807*'Loan Inputs'!$B$15)</f>
        <v/>
      </c>
      <c r="F807" s="2" t="str">
        <f t="shared" si="36"/>
        <v/>
      </c>
      <c r="G807" s="2" t="str">
        <f t="shared" si="37"/>
        <v/>
      </c>
      <c r="H807" s="2" t="str">
        <f>IF(A807="","",MIN(0,MAX(0,C807+E807-'Loan Inputs'!$B$17)))</f>
        <v/>
      </c>
    </row>
    <row r="808" spans="1:8" ht="22" customHeight="1">
      <c r="A808" s="1" t="str">
        <f>IF(AND('Loan Inputs'!$B$12,802&lt;=IF('Loan Inputs'!$B$12,'Loan Inputs'!$B$7,0)*'Loan Inputs'!$B$14+0,ISNUMBER(G807),G807&gt;0),802,"")</f>
        <v/>
      </c>
      <c r="B808" s="4" t="str">
        <f>IF(A808="","",IF('Loan Inputs'!$B$14=12,DATE(YEAR('Loan Inputs'!$B$8),MONTH('Loan Inputs'!$B$8)+A808,DAY('Loan Inputs'!$B$8)),'Loan Inputs'!$B$8+A808*IF('Loan Inputs'!$B$14=26,14,7)))</f>
        <v/>
      </c>
      <c r="C808" s="2" t="str">
        <f t="shared" si="38"/>
        <v/>
      </c>
      <c r="D808" s="2" t="str">
        <f>IF(A808="","",MIN('Loan Inputs'!$B$17,C808+E808)+H808)</f>
        <v/>
      </c>
      <c r="E808" s="2" t="str">
        <f>IF(A808="","",C808*'Loan Inputs'!$B$15)</f>
        <v/>
      </c>
      <c r="F808" s="2" t="str">
        <f t="shared" si="36"/>
        <v/>
      </c>
      <c r="G808" s="2" t="str">
        <f t="shared" si="37"/>
        <v/>
      </c>
      <c r="H808" s="2" t="str">
        <f>IF(A808="","",MIN(0,MAX(0,C808+E808-'Loan Inputs'!$B$17)))</f>
        <v/>
      </c>
    </row>
    <row r="809" spans="1:8" ht="22" customHeight="1">
      <c r="A809" s="1" t="str">
        <f>IF(AND('Loan Inputs'!$B$12,803&lt;=IF('Loan Inputs'!$B$12,'Loan Inputs'!$B$7,0)*'Loan Inputs'!$B$14+0,ISNUMBER(G808),G808&gt;0),803,"")</f>
        <v/>
      </c>
      <c r="B809" s="4" t="str">
        <f>IF(A809="","",IF('Loan Inputs'!$B$14=12,DATE(YEAR('Loan Inputs'!$B$8),MONTH('Loan Inputs'!$B$8)+A809,DAY('Loan Inputs'!$B$8)),'Loan Inputs'!$B$8+A809*IF('Loan Inputs'!$B$14=26,14,7)))</f>
        <v/>
      </c>
      <c r="C809" s="2" t="str">
        <f t="shared" si="38"/>
        <v/>
      </c>
      <c r="D809" s="2" t="str">
        <f>IF(A809="","",MIN('Loan Inputs'!$B$17,C809+E809)+H809)</f>
        <v/>
      </c>
      <c r="E809" s="2" t="str">
        <f>IF(A809="","",C809*'Loan Inputs'!$B$15)</f>
        <v/>
      </c>
      <c r="F809" s="2" t="str">
        <f t="shared" si="36"/>
        <v/>
      </c>
      <c r="G809" s="2" t="str">
        <f t="shared" si="37"/>
        <v/>
      </c>
      <c r="H809" s="2" t="str">
        <f>IF(A809="","",MIN(0,MAX(0,C809+E809-'Loan Inputs'!$B$17)))</f>
        <v/>
      </c>
    </row>
    <row r="810" spans="1:8" ht="22" customHeight="1">
      <c r="A810" s="1" t="str">
        <f>IF(AND('Loan Inputs'!$B$12,804&lt;=IF('Loan Inputs'!$B$12,'Loan Inputs'!$B$7,0)*'Loan Inputs'!$B$14+0,ISNUMBER(G809),G809&gt;0),804,"")</f>
        <v/>
      </c>
      <c r="B810" s="4" t="str">
        <f>IF(A810="","",IF('Loan Inputs'!$B$14=12,DATE(YEAR('Loan Inputs'!$B$8),MONTH('Loan Inputs'!$B$8)+A810,DAY('Loan Inputs'!$B$8)),'Loan Inputs'!$B$8+A810*IF('Loan Inputs'!$B$14=26,14,7)))</f>
        <v/>
      </c>
      <c r="C810" s="2" t="str">
        <f t="shared" si="38"/>
        <v/>
      </c>
      <c r="D810" s="2" t="str">
        <f>IF(A810="","",MIN('Loan Inputs'!$B$17,C810+E810)+H810)</f>
        <v/>
      </c>
      <c r="E810" s="2" t="str">
        <f>IF(A810="","",C810*'Loan Inputs'!$B$15)</f>
        <v/>
      </c>
      <c r="F810" s="2" t="str">
        <f t="shared" si="36"/>
        <v/>
      </c>
      <c r="G810" s="2" t="str">
        <f t="shared" si="37"/>
        <v/>
      </c>
      <c r="H810" s="2" t="str">
        <f>IF(A810="","",MIN(0,MAX(0,C810+E810-'Loan Inputs'!$B$17)))</f>
        <v/>
      </c>
    </row>
    <row r="811" spans="1:8" ht="22" customHeight="1">
      <c r="A811" s="1" t="str">
        <f>IF(AND('Loan Inputs'!$B$12,805&lt;=IF('Loan Inputs'!$B$12,'Loan Inputs'!$B$7,0)*'Loan Inputs'!$B$14+0,ISNUMBER(G810),G810&gt;0),805,"")</f>
        <v/>
      </c>
      <c r="B811" s="4" t="str">
        <f>IF(A811="","",IF('Loan Inputs'!$B$14=12,DATE(YEAR('Loan Inputs'!$B$8),MONTH('Loan Inputs'!$B$8)+A811,DAY('Loan Inputs'!$B$8)),'Loan Inputs'!$B$8+A811*IF('Loan Inputs'!$B$14=26,14,7)))</f>
        <v/>
      </c>
      <c r="C811" s="2" t="str">
        <f t="shared" si="38"/>
        <v/>
      </c>
      <c r="D811" s="2" t="str">
        <f>IF(A811="","",MIN('Loan Inputs'!$B$17,C811+E811)+H811)</f>
        <v/>
      </c>
      <c r="E811" s="2" t="str">
        <f>IF(A811="","",C811*'Loan Inputs'!$B$15)</f>
        <v/>
      </c>
      <c r="F811" s="2" t="str">
        <f t="shared" si="36"/>
        <v/>
      </c>
      <c r="G811" s="2" t="str">
        <f t="shared" si="37"/>
        <v/>
      </c>
      <c r="H811" s="2" t="str">
        <f>IF(A811="","",MIN(0,MAX(0,C811+E811-'Loan Inputs'!$B$17)))</f>
        <v/>
      </c>
    </row>
    <row r="812" spans="1:8" ht="22" customHeight="1">
      <c r="A812" s="1" t="str">
        <f>IF(AND('Loan Inputs'!$B$12,806&lt;=IF('Loan Inputs'!$B$12,'Loan Inputs'!$B$7,0)*'Loan Inputs'!$B$14+0,ISNUMBER(G811),G811&gt;0),806,"")</f>
        <v/>
      </c>
      <c r="B812" s="4" t="str">
        <f>IF(A812="","",IF('Loan Inputs'!$B$14=12,DATE(YEAR('Loan Inputs'!$B$8),MONTH('Loan Inputs'!$B$8)+A812,DAY('Loan Inputs'!$B$8)),'Loan Inputs'!$B$8+A812*IF('Loan Inputs'!$B$14=26,14,7)))</f>
        <v/>
      </c>
      <c r="C812" s="2" t="str">
        <f t="shared" si="38"/>
        <v/>
      </c>
      <c r="D812" s="2" t="str">
        <f>IF(A812="","",MIN('Loan Inputs'!$B$17,C812+E812)+H812)</f>
        <v/>
      </c>
      <c r="E812" s="2" t="str">
        <f>IF(A812="","",C812*'Loan Inputs'!$B$15)</f>
        <v/>
      </c>
      <c r="F812" s="2" t="str">
        <f t="shared" si="36"/>
        <v/>
      </c>
      <c r="G812" s="2" t="str">
        <f t="shared" si="37"/>
        <v/>
      </c>
      <c r="H812" s="2" t="str">
        <f>IF(A812="","",MIN(0,MAX(0,C812+E812-'Loan Inputs'!$B$17)))</f>
        <v/>
      </c>
    </row>
    <row r="813" spans="1:8" ht="22" customHeight="1">
      <c r="A813" s="1" t="str">
        <f>IF(AND('Loan Inputs'!$B$12,807&lt;=IF('Loan Inputs'!$B$12,'Loan Inputs'!$B$7,0)*'Loan Inputs'!$B$14+0,ISNUMBER(G812),G812&gt;0),807,"")</f>
        <v/>
      </c>
      <c r="B813" s="4" t="str">
        <f>IF(A813="","",IF('Loan Inputs'!$B$14=12,DATE(YEAR('Loan Inputs'!$B$8),MONTH('Loan Inputs'!$B$8)+A813,DAY('Loan Inputs'!$B$8)),'Loan Inputs'!$B$8+A813*IF('Loan Inputs'!$B$14=26,14,7)))</f>
        <v/>
      </c>
      <c r="C813" s="2" t="str">
        <f t="shared" si="38"/>
        <v/>
      </c>
      <c r="D813" s="2" t="str">
        <f>IF(A813="","",MIN('Loan Inputs'!$B$17,C813+E813)+H813)</f>
        <v/>
      </c>
      <c r="E813" s="2" t="str">
        <f>IF(A813="","",C813*'Loan Inputs'!$B$15)</f>
        <v/>
      </c>
      <c r="F813" s="2" t="str">
        <f t="shared" si="36"/>
        <v/>
      </c>
      <c r="G813" s="2" t="str">
        <f t="shared" si="37"/>
        <v/>
      </c>
      <c r="H813" s="2" t="str">
        <f>IF(A813="","",MIN(0,MAX(0,C813+E813-'Loan Inputs'!$B$17)))</f>
        <v/>
      </c>
    </row>
    <row r="814" spans="1:8" ht="22" customHeight="1">
      <c r="A814" s="1" t="str">
        <f>IF(AND('Loan Inputs'!$B$12,808&lt;=IF('Loan Inputs'!$B$12,'Loan Inputs'!$B$7,0)*'Loan Inputs'!$B$14+0,ISNUMBER(G813),G813&gt;0),808,"")</f>
        <v/>
      </c>
      <c r="B814" s="4" t="str">
        <f>IF(A814="","",IF('Loan Inputs'!$B$14=12,DATE(YEAR('Loan Inputs'!$B$8),MONTH('Loan Inputs'!$B$8)+A814,DAY('Loan Inputs'!$B$8)),'Loan Inputs'!$B$8+A814*IF('Loan Inputs'!$B$14=26,14,7)))</f>
        <v/>
      </c>
      <c r="C814" s="2" t="str">
        <f t="shared" si="38"/>
        <v/>
      </c>
      <c r="D814" s="2" t="str">
        <f>IF(A814="","",MIN('Loan Inputs'!$B$17,C814+E814)+H814)</f>
        <v/>
      </c>
      <c r="E814" s="2" t="str">
        <f>IF(A814="","",C814*'Loan Inputs'!$B$15)</f>
        <v/>
      </c>
      <c r="F814" s="2" t="str">
        <f t="shared" si="36"/>
        <v/>
      </c>
      <c r="G814" s="2" t="str">
        <f t="shared" si="37"/>
        <v/>
      </c>
      <c r="H814" s="2" t="str">
        <f>IF(A814="","",MIN(0,MAX(0,C814+E814-'Loan Inputs'!$B$17)))</f>
        <v/>
      </c>
    </row>
    <row r="815" spans="1:8" ht="22" customHeight="1">
      <c r="A815" s="1" t="str">
        <f>IF(AND('Loan Inputs'!$B$12,809&lt;=IF('Loan Inputs'!$B$12,'Loan Inputs'!$B$7,0)*'Loan Inputs'!$B$14+0,ISNUMBER(G814),G814&gt;0),809,"")</f>
        <v/>
      </c>
      <c r="B815" s="4" t="str">
        <f>IF(A815="","",IF('Loan Inputs'!$B$14=12,DATE(YEAR('Loan Inputs'!$B$8),MONTH('Loan Inputs'!$B$8)+A815,DAY('Loan Inputs'!$B$8)),'Loan Inputs'!$B$8+A815*IF('Loan Inputs'!$B$14=26,14,7)))</f>
        <v/>
      </c>
      <c r="C815" s="2" t="str">
        <f t="shared" si="38"/>
        <v/>
      </c>
      <c r="D815" s="2" t="str">
        <f>IF(A815="","",MIN('Loan Inputs'!$B$17,C815+E815)+H815)</f>
        <v/>
      </c>
      <c r="E815" s="2" t="str">
        <f>IF(A815="","",C815*'Loan Inputs'!$B$15)</f>
        <v/>
      </c>
      <c r="F815" s="2" t="str">
        <f t="shared" si="36"/>
        <v/>
      </c>
      <c r="G815" s="2" t="str">
        <f t="shared" si="37"/>
        <v/>
      </c>
      <c r="H815" s="2" t="str">
        <f>IF(A815="","",MIN(0,MAX(0,C815+E815-'Loan Inputs'!$B$17)))</f>
        <v/>
      </c>
    </row>
    <row r="816" spans="1:8" ht="22" customHeight="1">
      <c r="A816" s="1" t="str">
        <f>IF(AND('Loan Inputs'!$B$12,810&lt;=IF('Loan Inputs'!$B$12,'Loan Inputs'!$B$7,0)*'Loan Inputs'!$B$14+0,ISNUMBER(G815),G815&gt;0),810,"")</f>
        <v/>
      </c>
      <c r="B816" s="4" t="str">
        <f>IF(A816="","",IF('Loan Inputs'!$B$14=12,DATE(YEAR('Loan Inputs'!$B$8),MONTH('Loan Inputs'!$B$8)+A816,DAY('Loan Inputs'!$B$8)),'Loan Inputs'!$B$8+A816*IF('Loan Inputs'!$B$14=26,14,7)))</f>
        <v/>
      </c>
      <c r="C816" s="2" t="str">
        <f t="shared" si="38"/>
        <v/>
      </c>
      <c r="D816" s="2" t="str">
        <f>IF(A816="","",MIN('Loan Inputs'!$B$17,C816+E816)+H816)</f>
        <v/>
      </c>
      <c r="E816" s="2" t="str">
        <f>IF(A816="","",C816*'Loan Inputs'!$B$15)</f>
        <v/>
      </c>
      <c r="F816" s="2" t="str">
        <f t="shared" si="36"/>
        <v/>
      </c>
      <c r="G816" s="2" t="str">
        <f t="shared" si="37"/>
        <v/>
      </c>
      <c r="H816" s="2" t="str">
        <f>IF(A816="","",MIN(0,MAX(0,C816+E816-'Loan Inputs'!$B$17)))</f>
        <v/>
      </c>
    </row>
    <row r="817" spans="1:8" ht="22" customHeight="1">
      <c r="A817" s="1" t="str">
        <f>IF(AND('Loan Inputs'!$B$12,811&lt;=IF('Loan Inputs'!$B$12,'Loan Inputs'!$B$7,0)*'Loan Inputs'!$B$14+0,ISNUMBER(G816),G816&gt;0),811,"")</f>
        <v/>
      </c>
      <c r="B817" s="4" t="str">
        <f>IF(A817="","",IF('Loan Inputs'!$B$14=12,DATE(YEAR('Loan Inputs'!$B$8),MONTH('Loan Inputs'!$B$8)+A817,DAY('Loan Inputs'!$B$8)),'Loan Inputs'!$B$8+A817*IF('Loan Inputs'!$B$14=26,14,7)))</f>
        <v/>
      </c>
      <c r="C817" s="2" t="str">
        <f t="shared" si="38"/>
        <v/>
      </c>
      <c r="D817" s="2" t="str">
        <f>IF(A817="","",MIN('Loan Inputs'!$B$17,C817+E817)+H817)</f>
        <v/>
      </c>
      <c r="E817" s="2" t="str">
        <f>IF(A817="","",C817*'Loan Inputs'!$B$15)</f>
        <v/>
      </c>
      <c r="F817" s="2" t="str">
        <f t="shared" si="36"/>
        <v/>
      </c>
      <c r="G817" s="2" t="str">
        <f t="shared" si="37"/>
        <v/>
      </c>
      <c r="H817" s="2" t="str">
        <f>IF(A817="","",MIN(0,MAX(0,C817+E817-'Loan Inputs'!$B$17)))</f>
        <v/>
      </c>
    </row>
    <row r="818" spans="1:8" ht="22" customHeight="1">
      <c r="A818" s="1" t="str">
        <f>IF(AND('Loan Inputs'!$B$12,812&lt;=IF('Loan Inputs'!$B$12,'Loan Inputs'!$B$7,0)*'Loan Inputs'!$B$14+0,ISNUMBER(G817),G817&gt;0),812,"")</f>
        <v/>
      </c>
      <c r="B818" s="4" t="str">
        <f>IF(A818="","",IF('Loan Inputs'!$B$14=12,DATE(YEAR('Loan Inputs'!$B$8),MONTH('Loan Inputs'!$B$8)+A818,DAY('Loan Inputs'!$B$8)),'Loan Inputs'!$B$8+A818*IF('Loan Inputs'!$B$14=26,14,7)))</f>
        <v/>
      </c>
      <c r="C818" s="2" t="str">
        <f t="shared" si="38"/>
        <v/>
      </c>
      <c r="D818" s="2" t="str">
        <f>IF(A818="","",MIN('Loan Inputs'!$B$17,C818+E818)+H818)</f>
        <v/>
      </c>
      <c r="E818" s="2" t="str">
        <f>IF(A818="","",C818*'Loan Inputs'!$B$15)</f>
        <v/>
      </c>
      <c r="F818" s="2" t="str">
        <f t="shared" si="36"/>
        <v/>
      </c>
      <c r="G818" s="2" t="str">
        <f t="shared" si="37"/>
        <v/>
      </c>
      <c r="H818" s="2" t="str">
        <f>IF(A818="","",MIN(0,MAX(0,C818+E818-'Loan Inputs'!$B$17)))</f>
        <v/>
      </c>
    </row>
    <row r="819" spans="1:8" ht="22" customHeight="1">
      <c r="A819" s="1" t="str">
        <f>IF(AND('Loan Inputs'!$B$12,813&lt;=IF('Loan Inputs'!$B$12,'Loan Inputs'!$B$7,0)*'Loan Inputs'!$B$14+0,ISNUMBER(G818),G818&gt;0),813,"")</f>
        <v/>
      </c>
      <c r="B819" s="4" t="str">
        <f>IF(A819="","",IF('Loan Inputs'!$B$14=12,DATE(YEAR('Loan Inputs'!$B$8),MONTH('Loan Inputs'!$B$8)+A819,DAY('Loan Inputs'!$B$8)),'Loan Inputs'!$B$8+A819*IF('Loan Inputs'!$B$14=26,14,7)))</f>
        <v/>
      </c>
      <c r="C819" s="2" t="str">
        <f t="shared" si="38"/>
        <v/>
      </c>
      <c r="D819" s="2" t="str">
        <f>IF(A819="","",MIN('Loan Inputs'!$B$17,C819+E819)+H819)</f>
        <v/>
      </c>
      <c r="E819" s="2" t="str">
        <f>IF(A819="","",C819*'Loan Inputs'!$B$15)</f>
        <v/>
      </c>
      <c r="F819" s="2" t="str">
        <f t="shared" si="36"/>
        <v/>
      </c>
      <c r="G819" s="2" t="str">
        <f t="shared" si="37"/>
        <v/>
      </c>
      <c r="H819" s="2" t="str">
        <f>IF(A819="","",MIN(0,MAX(0,C819+E819-'Loan Inputs'!$B$17)))</f>
        <v/>
      </c>
    </row>
    <row r="820" spans="1:8" ht="22" customHeight="1">
      <c r="A820" s="1" t="str">
        <f>IF(AND('Loan Inputs'!$B$12,814&lt;=IF('Loan Inputs'!$B$12,'Loan Inputs'!$B$7,0)*'Loan Inputs'!$B$14+0,ISNUMBER(G819),G819&gt;0),814,"")</f>
        <v/>
      </c>
      <c r="B820" s="4" t="str">
        <f>IF(A820="","",IF('Loan Inputs'!$B$14=12,DATE(YEAR('Loan Inputs'!$B$8),MONTH('Loan Inputs'!$B$8)+A820,DAY('Loan Inputs'!$B$8)),'Loan Inputs'!$B$8+A820*IF('Loan Inputs'!$B$14=26,14,7)))</f>
        <v/>
      </c>
      <c r="C820" s="2" t="str">
        <f t="shared" si="38"/>
        <v/>
      </c>
      <c r="D820" s="2" t="str">
        <f>IF(A820="","",MIN('Loan Inputs'!$B$17,C820+E820)+H820)</f>
        <v/>
      </c>
      <c r="E820" s="2" t="str">
        <f>IF(A820="","",C820*'Loan Inputs'!$B$15)</f>
        <v/>
      </c>
      <c r="F820" s="2" t="str">
        <f t="shared" si="36"/>
        <v/>
      </c>
      <c r="G820" s="2" t="str">
        <f t="shared" si="37"/>
        <v/>
      </c>
      <c r="H820" s="2" t="str">
        <f>IF(A820="","",MIN(0,MAX(0,C820+E820-'Loan Inputs'!$B$17)))</f>
        <v/>
      </c>
    </row>
    <row r="821" spans="1:8" ht="22" customHeight="1">
      <c r="A821" s="1" t="str">
        <f>IF(AND('Loan Inputs'!$B$12,815&lt;=IF('Loan Inputs'!$B$12,'Loan Inputs'!$B$7,0)*'Loan Inputs'!$B$14+0,ISNUMBER(G820),G820&gt;0),815,"")</f>
        <v/>
      </c>
      <c r="B821" s="4" t="str">
        <f>IF(A821="","",IF('Loan Inputs'!$B$14=12,DATE(YEAR('Loan Inputs'!$B$8),MONTH('Loan Inputs'!$B$8)+A821,DAY('Loan Inputs'!$B$8)),'Loan Inputs'!$B$8+A821*IF('Loan Inputs'!$B$14=26,14,7)))</f>
        <v/>
      </c>
      <c r="C821" s="2" t="str">
        <f t="shared" si="38"/>
        <v/>
      </c>
      <c r="D821" s="2" t="str">
        <f>IF(A821="","",MIN('Loan Inputs'!$B$17,C821+E821)+H821)</f>
        <v/>
      </c>
      <c r="E821" s="2" t="str">
        <f>IF(A821="","",C821*'Loan Inputs'!$B$15)</f>
        <v/>
      </c>
      <c r="F821" s="2" t="str">
        <f t="shared" si="36"/>
        <v/>
      </c>
      <c r="G821" s="2" t="str">
        <f t="shared" si="37"/>
        <v/>
      </c>
      <c r="H821" s="2" t="str">
        <f>IF(A821="","",MIN(0,MAX(0,C821+E821-'Loan Inputs'!$B$17)))</f>
        <v/>
      </c>
    </row>
    <row r="822" spans="1:8" ht="22" customHeight="1">
      <c r="A822" s="1" t="str">
        <f>IF(AND('Loan Inputs'!$B$12,816&lt;=IF('Loan Inputs'!$B$12,'Loan Inputs'!$B$7,0)*'Loan Inputs'!$B$14+0,ISNUMBER(G821),G821&gt;0),816,"")</f>
        <v/>
      </c>
      <c r="B822" s="4" t="str">
        <f>IF(A822="","",IF('Loan Inputs'!$B$14=12,DATE(YEAR('Loan Inputs'!$B$8),MONTH('Loan Inputs'!$B$8)+A822,DAY('Loan Inputs'!$B$8)),'Loan Inputs'!$B$8+A822*IF('Loan Inputs'!$B$14=26,14,7)))</f>
        <v/>
      </c>
      <c r="C822" s="2" t="str">
        <f t="shared" si="38"/>
        <v/>
      </c>
      <c r="D822" s="2" t="str">
        <f>IF(A822="","",MIN('Loan Inputs'!$B$17,C822+E822)+H822)</f>
        <v/>
      </c>
      <c r="E822" s="2" t="str">
        <f>IF(A822="","",C822*'Loan Inputs'!$B$15)</f>
        <v/>
      </c>
      <c r="F822" s="2" t="str">
        <f t="shared" si="36"/>
        <v/>
      </c>
      <c r="G822" s="2" t="str">
        <f t="shared" si="37"/>
        <v/>
      </c>
      <c r="H822" s="2" t="str">
        <f>IF(A822="","",MIN(0,MAX(0,C822+E822-'Loan Inputs'!$B$17)))</f>
        <v/>
      </c>
    </row>
    <row r="823" spans="1:8" ht="22" customHeight="1">
      <c r="A823" s="1" t="str">
        <f>IF(AND('Loan Inputs'!$B$12,817&lt;=IF('Loan Inputs'!$B$12,'Loan Inputs'!$B$7,0)*'Loan Inputs'!$B$14+0,ISNUMBER(G822),G822&gt;0),817,"")</f>
        <v/>
      </c>
      <c r="B823" s="4" t="str">
        <f>IF(A823="","",IF('Loan Inputs'!$B$14=12,DATE(YEAR('Loan Inputs'!$B$8),MONTH('Loan Inputs'!$B$8)+A823,DAY('Loan Inputs'!$B$8)),'Loan Inputs'!$B$8+A823*IF('Loan Inputs'!$B$14=26,14,7)))</f>
        <v/>
      </c>
      <c r="C823" s="2" t="str">
        <f t="shared" si="38"/>
        <v/>
      </c>
      <c r="D823" s="2" t="str">
        <f>IF(A823="","",MIN('Loan Inputs'!$B$17,C823+E823)+H823)</f>
        <v/>
      </c>
      <c r="E823" s="2" t="str">
        <f>IF(A823="","",C823*'Loan Inputs'!$B$15)</f>
        <v/>
      </c>
      <c r="F823" s="2" t="str">
        <f t="shared" si="36"/>
        <v/>
      </c>
      <c r="G823" s="2" t="str">
        <f t="shared" si="37"/>
        <v/>
      </c>
      <c r="H823" s="2" t="str">
        <f>IF(A823="","",MIN(0,MAX(0,C823+E823-'Loan Inputs'!$B$17)))</f>
        <v/>
      </c>
    </row>
    <row r="824" spans="1:8" ht="22" customHeight="1">
      <c r="A824" s="1" t="str">
        <f>IF(AND('Loan Inputs'!$B$12,818&lt;=IF('Loan Inputs'!$B$12,'Loan Inputs'!$B$7,0)*'Loan Inputs'!$B$14+0,ISNUMBER(G823),G823&gt;0),818,"")</f>
        <v/>
      </c>
      <c r="B824" s="4" t="str">
        <f>IF(A824="","",IF('Loan Inputs'!$B$14=12,DATE(YEAR('Loan Inputs'!$B$8),MONTH('Loan Inputs'!$B$8)+A824,DAY('Loan Inputs'!$B$8)),'Loan Inputs'!$B$8+A824*IF('Loan Inputs'!$B$14=26,14,7)))</f>
        <v/>
      </c>
      <c r="C824" s="2" t="str">
        <f t="shared" si="38"/>
        <v/>
      </c>
      <c r="D824" s="2" t="str">
        <f>IF(A824="","",MIN('Loan Inputs'!$B$17,C824+E824)+H824)</f>
        <v/>
      </c>
      <c r="E824" s="2" t="str">
        <f>IF(A824="","",C824*'Loan Inputs'!$B$15)</f>
        <v/>
      </c>
      <c r="F824" s="2" t="str">
        <f t="shared" si="36"/>
        <v/>
      </c>
      <c r="G824" s="2" t="str">
        <f t="shared" si="37"/>
        <v/>
      </c>
      <c r="H824" s="2" t="str">
        <f>IF(A824="","",MIN(0,MAX(0,C824+E824-'Loan Inputs'!$B$17)))</f>
        <v/>
      </c>
    </row>
    <row r="825" spans="1:8" ht="22" customHeight="1">
      <c r="A825" s="1" t="str">
        <f>IF(AND('Loan Inputs'!$B$12,819&lt;=IF('Loan Inputs'!$B$12,'Loan Inputs'!$B$7,0)*'Loan Inputs'!$B$14+0,ISNUMBER(G824),G824&gt;0),819,"")</f>
        <v/>
      </c>
      <c r="B825" s="4" t="str">
        <f>IF(A825="","",IF('Loan Inputs'!$B$14=12,DATE(YEAR('Loan Inputs'!$B$8),MONTH('Loan Inputs'!$B$8)+A825,DAY('Loan Inputs'!$B$8)),'Loan Inputs'!$B$8+A825*IF('Loan Inputs'!$B$14=26,14,7)))</f>
        <v/>
      </c>
      <c r="C825" s="2" t="str">
        <f t="shared" si="38"/>
        <v/>
      </c>
      <c r="D825" s="2" t="str">
        <f>IF(A825="","",MIN('Loan Inputs'!$B$17,C825+E825)+H825)</f>
        <v/>
      </c>
      <c r="E825" s="2" t="str">
        <f>IF(A825="","",C825*'Loan Inputs'!$B$15)</f>
        <v/>
      </c>
      <c r="F825" s="2" t="str">
        <f t="shared" si="36"/>
        <v/>
      </c>
      <c r="G825" s="2" t="str">
        <f t="shared" si="37"/>
        <v/>
      </c>
      <c r="H825" s="2" t="str">
        <f>IF(A825="","",MIN(0,MAX(0,C825+E825-'Loan Inputs'!$B$17)))</f>
        <v/>
      </c>
    </row>
    <row r="826" spans="1:8" ht="22" customHeight="1">
      <c r="A826" s="1" t="str">
        <f>IF(AND('Loan Inputs'!$B$12,820&lt;=IF('Loan Inputs'!$B$12,'Loan Inputs'!$B$7,0)*'Loan Inputs'!$B$14+0,ISNUMBER(G825),G825&gt;0),820,"")</f>
        <v/>
      </c>
      <c r="B826" s="4" t="str">
        <f>IF(A826="","",IF('Loan Inputs'!$B$14=12,DATE(YEAR('Loan Inputs'!$B$8),MONTH('Loan Inputs'!$B$8)+A826,DAY('Loan Inputs'!$B$8)),'Loan Inputs'!$B$8+A826*IF('Loan Inputs'!$B$14=26,14,7)))</f>
        <v/>
      </c>
      <c r="C826" s="2" t="str">
        <f t="shared" si="38"/>
        <v/>
      </c>
      <c r="D826" s="2" t="str">
        <f>IF(A826="","",MIN('Loan Inputs'!$B$17,C826+E826)+H826)</f>
        <v/>
      </c>
      <c r="E826" s="2" t="str">
        <f>IF(A826="","",C826*'Loan Inputs'!$B$15)</f>
        <v/>
      </c>
      <c r="F826" s="2" t="str">
        <f t="shared" si="36"/>
        <v/>
      </c>
      <c r="G826" s="2" t="str">
        <f t="shared" si="37"/>
        <v/>
      </c>
      <c r="H826" s="2" t="str">
        <f>IF(A826="","",MIN(0,MAX(0,C826+E826-'Loan Inputs'!$B$17)))</f>
        <v/>
      </c>
    </row>
    <row r="827" spans="1:8" ht="22" customHeight="1">
      <c r="A827" s="1" t="str">
        <f>IF(AND('Loan Inputs'!$B$12,821&lt;=IF('Loan Inputs'!$B$12,'Loan Inputs'!$B$7,0)*'Loan Inputs'!$B$14+0,ISNUMBER(G826),G826&gt;0),821,"")</f>
        <v/>
      </c>
      <c r="B827" s="4" t="str">
        <f>IF(A827="","",IF('Loan Inputs'!$B$14=12,DATE(YEAR('Loan Inputs'!$B$8),MONTH('Loan Inputs'!$B$8)+A827,DAY('Loan Inputs'!$B$8)),'Loan Inputs'!$B$8+A827*IF('Loan Inputs'!$B$14=26,14,7)))</f>
        <v/>
      </c>
      <c r="C827" s="2" t="str">
        <f t="shared" si="38"/>
        <v/>
      </c>
      <c r="D827" s="2" t="str">
        <f>IF(A827="","",MIN('Loan Inputs'!$B$17,C827+E827)+H827)</f>
        <v/>
      </c>
      <c r="E827" s="2" t="str">
        <f>IF(A827="","",C827*'Loan Inputs'!$B$15)</f>
        <v/>
      </c>
      <c r="F827" s="2" t="str">
        <f t="shared" si="36"/>
        <v/>
      </c>
      <c r="G827" s="2" t="str">
        <f t="shared" si="37"/>
        <v/>
      </c>
      <c r="H827" s="2" t="str">
        <f>IF(A827="","",MIN(0,MAX(0,C827+E827-'Loan Inputs'!$B$17)))</f>
        <v/>
      </c>
    </row>
    <row r="828" spans="1:8" ht="22" customHeight="1">
      <c r="A828" s="1" t="str">
        <f>IF(AND('Loan Inputs'!$B$12,822&lt;=IF('Loan Inputs'!$B$12,'Loan Inputs'!$B$7,0)*'Loan Inputs'!$B$14+0,ISNUMBER(G827),G827&gt;0),822,"")</f>
        <v/>
      </c>
      <c r="B828" s="4" t="str">
        <f>IF(A828="","",IF('Loan Inputs'!$B$14=12,DATE(YEAR('Loan Inputs'!$B$8),MONTH('Loan Inputs'!$B$8)+A828,DAY('Loan Inputs'!$B$8)),'Loan Inputs'!$B$8+A828*IF('Loan Inputs'!$B$14=26,14,7)))</f>
        <v/>
      </c>
      <c r="C828" s="2" t="str">
        <f t="shared" si="38"/>
        <v/>
      </c>
      <c r="D828" s="2" t="str">
        <f>IF(A828="","",MIN('Loan Inputs'!$B$17,C828+E828)+H828)</f>
        <v/>
      </c>
      <c r="E828" s="2" t="str">
        <f>IF(A828="","",C828*'Loan Inputs'!$B$15)</f>
        <v/>
      </c>
      <c r="F828" s="2" t="str">
        <f t="shared" si="36"/>
        <v/>
      </c>
      <c r="G828" s="2" t="str">
        <f t="shared" si="37"/>
        <v/>
      </c>
      <c r="H828" s="2" t="str">
        <f>IF(A828="","",MIN(0,MAX(0,C828+E828-'Loan Inputs'!$B$17)))</f>
        <v/>
      </c>
    </row>
    <row r="829" spans="1:8" ht="22" customHeight="1">
      <c r="A829" s="1" t="str">
        <f>IF(AND('Loan Inputs'!$B$12,823&lt;=IF('Loan Inputs'!$B$12,'Loan Inputs'!$B$7,0)*'Loan Inputs'!$B$14+0,ISNUMBER(G828),G828&gt;0),823,"")</f>
        <v/>
      </c>
      <c r="B829" s="4" t="str">
        <f>IF(A829="","",IF('Loan Inputs'!$B$14=12,DATE(YEAR('Loan Inputs'!$B$8),MONTH('Loan Inputs'!$B$8)+A829,DAY('Loan Inputs'!$B$8)),'Loan Inputs'!$B$8+A829*IF('Loan Inputs'!$B$14=26,14,7)))</f>
        <v/>
      </c>
      <c r="C829" s="2" t="str">
        <f t="shared" si="38"/>
        <v/>
      </c>
      <c r="D829" s="2" t="str">
        <f>IF(A829="","",MIN('Loan Inputs'!$B$17,C829+E829)+H829)</f>
        <v/>
      </c>
      <c r="E829" s="2" t="str">
        <f>IF(A829="","",C829*'Loan Inputs'!$B$15)</f>
        <v/>
      </c>
      <c r="F829" s="2" t="str">
        <f t="shared" si="36"/>
        <v/>
      </c>
      <c r="G829" s="2" t="str">
        <f t="shared" si="37"/>
        <v/>
      </c>
      <c r="H829" s="2" t="str">
        <f>IF(A829="","",MIN(0,MAX(0,C829+E829-'Loan Inputs'!$B$17)))</f>
        <v/>
      </c>
    </row>
    <row r="830" spans="1:8" ht="22" customHeight="1">
      <c r="A830" s="1" t="str">
        <f>IF(AND('Loan Inputs'!$B$12,824&lt;=IF('Loan Inputs'!$B$12,'Loan Inputs'!$B$7,0)*'Loan Inputs'!$B$14+0,ISNUMBER(G829),G829&gt;0),824,"")</f>
        <v/>
      </c>
      <c r="B830" s="4" t="str">
        <f>IF(A830="","",IF('Loan Inputs'!$B$14=12,DATE(YEAR('Loan Inputs'!$B$8),MONTH('Loan Inputs'!$B$8)+A830,DAY('Loan Inputs'!$B$8)),'Loan Inputs'!$B$8+A830*IF('Loan Inputs'!$B$14=26,14,7)))</f>
        <v/>
      </c>
      <c r="C830" s="2" t="str">
        <f t="shared" si="38"/>
        <v/>
      </c>
      <c r="D830" s="2" t="str">
        <f>IF(A830="","",MIN('Loan Inputs'!$B$17,C830+E830)+H830)</f>
        <v/>
      </c>
      <c r="E830" s="2" t="str">
        <f>IF(A830="","",C830*'Loan Inputs'!$B$15)</f>
        <v/>
      </c>
      <c r="F830" s="2" t="str">
        <f t="shared" si="36"/>
        <v/>
      </c>
      <c r="G830" s="2" t="str">
        <f t="shared" si="37"/>
        <v/>
      </c>
      <c r="H830" s="2" t="str">
        <f>IF(A830="","",MIN(0,MAX(0,C830+E830-'Loan Inputs'!$B$17)))</f>
        <v/>
      </c>
    </row>
    <row r="831" spans="1:8" ht="22" customHeight="1">
      <c r="A831" s="1" t="str">
        <f>IF(AND('Loan Inputs'!$B$12,825&lt;=IF('Loan Inputs'!$B$12,'Loan Inputs'!$B$7,0)*'Loan Inputs'!$B$14+0,ISNUMBER(G830),G830&gt;0),825,"")</f>
        <v/>
      </c>
      <c r="B831" s="4" t="str">
        <f>IF(A831="","",IF('Loan Inputs'!$B$14=12,DATE(YEAR('Loan Inputs'!$B$8),MONTH('Loan Inputs'!$B$8)+A831,DAY('Loan Inputs'!$B$8)),'Loan Inputs'!$B$8+A831*IF('Loan Inputs'!$B$14=26,14,7)))</f>
        <v/>
      </c>
      <c r="C831" s="2" t="str">
        <f t="shared" si="38"/>
        <v/>
      </c>
      <c r="D831" s="2" t="str">
        <f>IF(A831="","",MIN('Loan Inputs'!$B$17,C831+E831)+H831)</f>
        <v/>
      </c>
      <c r="E831" s="2" t="str">
        <f>IF(A831="","",C831*'Loan Inputs'!$B$15)</f>
        <v/>
      </c>
      <c r="F831" s="2" t="str">
        <f t="shared" si="36"/>
        <v/>
      </c>
      <c r="G831" s="2" t="str">
        <f t="shared" si="37"/>
        <v/>
      </c>
      <c r="H831" s="2" t="str">
        <f>IF(A831="","",MIN(0,MAX(0,C831+E831-'Loan Inputs'!$B$17)))</f>
        <v/>
      </c>
    </row>
    <row r="832" spans="1:8" ht="22" customHeight="1">
      <c r="A832" s="1" t="str">
        <f>IF(AND('Loan Inputs'!$B$12,826&lt;=IF('Loan Inputs'!$B$12,'Loan Inputs'!$B$7,0)*'Loan Inputs'!$B$14+0,ISNUMBER(G831),G831&gt;0),826,"")</f>
        <v/>
      </c>
      <c r="B832" s="4" t="str">
        <f>IF(A832="","",IF('Loan Inputs'!$B$14=12,DATE(YEAR('Loan Inputs'!$B$8),MONTH('Loan Inputs'!$B$8)+A832,DAY('Loan Inputs'!$B$8)),'Loan Inputs'!$B$8+A832*IF('Loan Inputs'!$B$14=26,14,7)))</f>
        <v/>
      </c>
      <c r="C832" s="2" t="str">
        <f t="shared" si="38"/>
        <v/>
      </c>
      <c r="D832" s="2" t="str">
        <f>IF(A832="","",MIN('Loan Inputs'!$B$17,C832+E832)+H832)</f>
        <v/>
      </c>
      <c r="E832" s="2" t="str">
        <f>IF(A832="","",C832*'Loan Inputs'!$B$15)</f>
        <v/>
      </c>
      <c r="F832" s="2" t="str">
        <f t="shared" si="36"/>
        <v/>
      </c>
      <c r="G832" s="2" t="str">
        <f t="shared" si="37"/>
        <v/>
      </c>
      <c r="H832" s="2" t="str">
        <f>IF(A832="","",MIN(0,MAX(0,C832+E832-'Loan Inputs'!$B$17)))</f>
        <v/>
      </c>
    </row>
    <row r="833" spans="1:8" ht="22" customHeight="1">
      <c r="A833" s="1" t="str">
        <f>IF(AND('Loan Inputs'!$B$12,827&lt;=IF('Loan Inputs'!$B$12,'Loan Inputs'!$B$7,0)*'Loan Inputs'!$B$14+0,ISNUMBER(G832),G832&gt;0),827,"")</f>
        <v/>
      </c>
      <c r="B833" s="4" t="str">
        <f>IF(A833="","",IF('Loan Inputs'!$B$14=12,DATE(YEAR('Loan Inputs'!$B$8),MONTH('Loan Inputs'!$B$8)+A833,DAY('Loan Inputs'!$B$8)),'Loan Inputs'!$B$8+A833*IF('Loan Inputs'!$B$14=26,14,7)))</f>
        <v/>
      </c>
      <c r="C833" s="2" t="str">
        <f t="shared" si="38"/>
        <v/>
      </c>
      <c r="D833" s="2" t="str">
        <f>IF(A833="","",MIN('Loan Inputs'!$B$17,C833+E833)+H833)</f>
        <v/>
      </c>
      <c r="E833" s="2" t="str">
        <f>IF(A833="","",C833*'Loan Inputs'!$B$15)</f>
        <v/>
      </c>
      <c r="F833" s="2" t="str">
        <f t="shared" si="36"/>
        <v/>
      </c>
      <c r="G833" s="2" t="str">
        <f t="shared" si="37"/>
        <v/>
      </c>
      <c r="H833" s="2" t="str">
        <f>IF(A833="","",MIN(0,MAX(0,C833+E833-'Loan Inputs'!$B$17)))</f>
        <v/>
      </c>
    </row>
    <row r="834" spans="1:8" ht="22" customHeight="1">
      <c r="A834" s="1" t="str">
        <f>IF(AND('Loan Inputs'!$B$12,828&lt;=IF('Loan Inputs'!$B$12,'Loan Inputs'!$B$7,0)*'Loan Inputs'!$B$14+0,ISNUMBER(G833),G833&gt;0),828,"")</f>
        <v/>
      </c>
      <c r="B834" s="4" t="str">
        <f>IF(A834="","",IF('Loan Inputs'!$B$14=12,DATE(YEAR('Loan Inputs'!$B$8),MONTH('Loan Inputs'!$B$8)+A834,DAY('Loan Inputs'!$B$8)),'Loan Inputs'!$B$8+A834*IF('Loan Inputs'!$B$14=26,14,7)))</f>
        <v/>
      </c>
      <c r="C834" s="2" t="str">
        <f t="shared" si="38"/>
        <v/>
      </c>
      <c r="D834" s="2" t="str">
        <f>IF(A834="","",MIN('Loan Inputs'!$B$17,C834+E834)+H834)</f>
        <v/>
      </c>
      <c r="E834" s="2" t="str">
        <f>IF(A834="","",C834*'Loan Inputs'!$B$15)</f>
        <v/>
      </c>
      <c r="F834" s="2" t="str">
        <f t="shared" si="36"/>
        <v/>
      </c>
      <c r="G834" s="2" t="str">
        <f t="shared" si="37"/>
        <v/>
      </c>
      <c r="H834" s="2" t="str">
        <f>IF(A834="","",MIN(0,MAX(0,C834+E834-'Loan Inputs'!$B$17)))</f>
        <v/>
      </c>
    </row>
    <row r="835" spans="1:8" ht="22" customHeight="1">
      <c r="A835" s="1" t="str">
        <f>IF(AND('Loan Inputs'!$B$12,829&lt;=IF('Loan Inputs'!$B$12,'Loan Inputs'!$B$7,0)*'Loan Inputs'!$B$14+0,ISNUMBER(G834),G834&gt;0),829,"")</f>
        <v/>
      </c>
      <c r="B835" s="4" t="str">
        <f>IF(A835="","",IF('Loan Inputs'!$B$14=12,DATE(YEAR('Loan Inputs'!$B$8),MONTH('Loan Inputs'!$B$8)+A835,DAY('Loan Inputs'!$B$8)),'Loan Inputs'!$B$8+A835*IF('Loan Inputs'!$B$14=26,14,7)))</f>
        <v/>
      </c>
      <c r="C835" s="2" t="str">
        <f t="shared" si="38"/>
        <v/>
      </c>
      <c r="D835" s="2" t="str">
        <f>IF(A835="","",MIN('Loan Inputs'!$B$17,C835+E835)+H835)</f>
        <v/>
      </c>
      <c r="E835" s="2" t="str">
        <f>IF(A835="","",C835*'Loan Inputs'!$B$15)</f>
        <v/>
      </c>
      <c r="F835" s="2" t="str">
        <f t="shared" si="36"/>
        <v/>
      </c>
      <c r="G835" s="2" t="str">
        <f t="shared" si="37"/>
        <v/>
      </c>
      <c r="H835" s="2" t="str">
        <f>IF(A835="","",MIN(0,MAX(0,C835+E835-'Loan Inputs'!$B$17)))</f>
        <v/>
      </c>
    </row>
    <row r="836" spans="1:8" ht="22" customHeight="1">
      <c r="A836" s="1" t="str">
        <f>IF(AND('Loan Inputs'!$B$12,830&lt;=IF('Loan Inputs'!$B$12,'Loan Inputs'!$B$7,0)*'Loan Inputs'!$B$14+0,ISNUMBER(G835),G835&gt;0),830,"")</f>
        <v/>
      </c>
      <c r="B836" s="4" t="str">
        <f>IF(A836="","",IF('Loan Inputs'!$B$14=12,DATE(YEAR('Loan Inputs'!$B$8),MONTH('Loan Inputs'!$B$8)+A836,DAY('Loan Inputs'!$B$8)),'Loan Inputs'!$B$8+A836*IF('Loan Inputs'!$B$14=26,14,7)))</f>
        <v/>
      </c>
      <c r="C836" s="2" t="str">
        <f t="shared" si="38"/>
        <v/>
      </c>
      <c r="D836" s="2" t="str">
        <f>IF(A836="","",MIN('Loan Inputs'!$B$17,C836+E836)+H836)</f>
        <v/>
      </c>
      <c r="E836" s="2" t="str">
        <f>IF(A836="","",C836*'Loan Inputs'!$B$15)</f>
        <v/>
      </c>
      <c r="F836" s="2" t="str">
        <f t="shared" si="36"/>
        <v/>
      </c>
      <c r="G836" s="2" t="str">
        <f t="shared" si="37"/>
        <v/>
      </c>
      <c r="H836" s="2" t="str">
        <f>IF(A836="","",MIN(0,MAX(0,C836+E836-'Loan Inputs'!$B$17)))</f>
        <v/>
      </c>
    </row>
    <row r="837" spans="1:8" ht="22" customHeight="1">
      <c r="A837" s="1" t="str">
        <f>IF(AND('Loan Inputs'!$B$12,831&lt;=IF('Loan Inputs'!$B$12,'Loan Inputs'!$B$7,0)*'Loan Inputs'!$B$14+0,ISNUMBER(G836),G836&gt;0),831,"")</f>
        <v/>
      </c>
      <c r="B837" s="4" t="str">
        <f>IF(A837="","",IF('Loan Inputs'!$B$14=12,DATE(YEAR('Loan Inputs'!$B$8),MONTH('Loan Inputs'!$B$8)+A837,DAY('Loan Inputs'!$B$8)),'Loan Inputs'!$B$8+A837*IF('Loan Inputs'!$B$14=26,14,7)))</f>
        <v/>
      </c>
      <c r="C837" s="2" t="str">
        <f t="shared" si="38"/>
        <v/>
      </c>
      <c r="D837" s="2" t="str">
        <f>IF(A837="","",MIN('Loan Inputs'!$B$17,C837+E837)+H837)</f>
        <v/>
      </c>
      <c r="E837" s="2" t="str">
        <f>IF(A837="","",C837*'Loan Inputs'!$B$15)</f>
        <v/>
      </c>
      <c r="F837" s="2" t="str">
        <f t="shared" si="36"/>
        <v/>
      </c>
      <c r="G837" s="2" t="str">
        <f t="shared" si="37"/>
        <v/>
      </c>
      <c r="H837" s="2" t="str">
        <f>IF(A837="","",MIN(0,MAX(0,C837+E837-'Loan Inputs'!$B$17)))</f>
        <v/>
      </c>
    </row>
    <row r="838" spans="1:8" ht="22" customHeight="1">
      <c r="A838" s="1" t="str">
        <f>IF(AND('Loan Inputs'!$B$12,832&lt;=IF('Loan Inputs'!$B$12,'Loan Inputs'!$B$7,0)*'Loan Inputs'!$B$14+0,ISNUMBER(G837),G837&gt;0),832,"")</f>
        <v/>
      </c>
      <c r="B838" s="4" t="str">
        <f>IF(A838="","",IF('Loan Inputs'!$B$14=12,DATE(YEAR('Loan Inputs'!$B$8),MONTH('Loan Inputs'!$B$8)+A838,DAY('Loan Inputs'!$B$8)),'Loan Inputs'!$B$8+A838*IF('Loan Inputs'!$B$14=26,14,7)))</f>
        <v/>
      </c>
      <c r="C838" s="2" t="str">
        <f t="shared" si="38"/>
        <v/>
      </c>
      <c r="D838" s="2" t="str">
        <f>IF(A838="","",MIN('Loan Inputs'!$B$17,C838+E838)+H838)</f>
        <v/>
      </c>
      <c r="E838" s="2" t="str">
        <f>IF(A838="","",C838*'Loan Inputs'!$B$15)</f>
        <v/>
      </c>
      <c r="F838" s="2" t="str">
        <f t="shared" si="36"/>
        <v/>
      </c>
      <c r="G838" s="2" t="str">
        <f t="shared" si="37"/>
        <v/>
      </c>
      <c r="H838" s="2" t="str">
        <f>IF(A838="","",MIN(0,MAX(0,C838+E838-'Loan Inputs'!$B$17)))</f>
        <v/>
      </c>
    </row>
    <row r="839" spans="1:8" ht="22" customHeight="1">
      <c r="A839" s="1" t="str">
        <f>IF(AND('Loan Inputs'!$B$12,833&lt;=IF('Loan Inputs'!$B$12,'Loan Inputs'!$B$7,0)*'Loan Inputs'!$B$14+0,ISNUMBER(G838),G838&gt;0),833,"")</f>
        <v/>
      </c>
      <c r="B839" s="4" t="str">
        <f>IF(A839="","",IF('Loan Inputs'!$B$14=12,DATE(YEAR('Loan Inputs'!$B$8),MONTH('Loan Inputs'!$B$8)+A839,DAY('Loan Inputs'!$B$8)),'Loan Inputs'!$B$8+A839*IF('Loan Inputs'!$B$14=26,14,7)))</f>
        <v/>
      </c>
      <c r="C839" s="2" t="str">
        <f t="shared" si="38"/>
        <v/>
      </c>
      <c r="D839" s="2" t="str">
        <f>IF(A839="","",MIN('Loan Inputs'!$B$17,C839+E839)+H839)</f>
        <v/>
      </c>
      <c r="E839" s="2" t="str">
        <f>IF(A839="","",C839*'Loan Inputs'!$B$15)</f>
        <v/>
      </c>
      <c r="F839" s="2" t="str">
        <f t="shared" ref="F839:F902" si="39">IF(A839="","",MIN(C839,D839-E839))</f>
        <v/>
      </c>
      <c r="G839" s="2" t="str">
        <f t="shared" ref="G839:G902" si="40">IF(A839="","",IF(C839-F839&lt;0.01,0,MAX(0,C839-F839)))</f>
        <v/>
      </c>
      <c r="H839" s="2" t="str">
        <f>IF(A839="","",MIN(0,MAX(0,C839+E839-'Loan Inputs'!$B$17)))</f>
        <v/>
      </c>
    </row>
    <row r="840" spans="1:8" ht="22" customHeight="1">
      <c r="A840" s="1" t="str">
        <f>IF(AND('Loan Inputs'!$B$12,834&lt;=IF('Loan Inputs'!$B$12,'Loan Inputs'!$B$7,0)*'Loan Inputs'!$B$14+0,ISNUMBER(G839),G839&gt;0),834,"")</f>
        <v/>
      </c>
      <c r="B840" s="4" t="str">
        <f>IF(A840="","",IF('Loan Inputs'!$B$14=12,DATE(YEAR('Loan Inputs'!$B$8),MONTH('Loan Inputs'!$B$8)+A840,DAY('Loan Inputs'!$B$8)),'Loan Inputs'!$B$8+A840*IF('Loan Inputs'!$B$14=26,14,7)))</f>
        <v/>
      </c>
      <c r="C840" s="2" t="str">
        <f t="shared" ref="C840:C903" si="41">IF(A840="","",G839)</f>
        <v/>
      </c>
      <c r="D840" s="2" t="str">
        <f>IF(A840="","",MIN('Loan Inputs'!$B$17,C840+E840)+H840)</f>
        <v/>
      </c>
      <c r="E840" s="2" t="str">
        <f>IF(A840="","",C840*'Loan Inputs'!$B$15)</f>
        <v/>
      </c>
      <c r="F840" s="2" t="str">
        <f t="shared" si="39"/>
        <v/>
      </c>
      <c r="G840" s="2" t="str">
        <f t="shared" si="40"/>
        <v/>
      </c>
      <c r="H840" s="2" t="str">
        <f>IF(A840="","",MIN(0,MAX(0,C840+E840-'Loan Inputs'!$B$17)))</f>
        <v/>
      </c>
    </row>
    <row r="841" spans="1:8" ht="22" customHeight="1">
      <c r="A841" s="1" t="str">
        <f>IF(AND('Loan Inputs'!$B$12,835&lt;=IF('Loan Inputs'!$B$12,'Loan Inputs'!$B$7,0)*'Loan Inputs'!$B$14+0,ISNUMBER(G840),G840&gt;0),835,"")</f>
        <v/>
      </c>
      <c r="B841" s="4" t="str">
        <f>IF(A841="","",IF('Loan Inputs'!$B$14=12,DATE(YEAR('Loan Inputs'!$B$8),MONTH('Loan Inputs'!$B$8)+A841,DAY('Loan Inputs'!$B$8)),'Loan Inputs'!$B$8+A841*IF('Loan Inputs'!$B$14=26,14,7)))</f>
        <v/>
      </c>
      <c r="C841" s="2" t="str">
        <f t="shared" si="41"/>
        <v/>
      </c>
      <c r="D841" s="2" t="str">
        <f>IF(A841="","",MIN('Loan Inputs'!$B$17,C841+E841)+H841)</f>
        <v/>
      </c>
      <c r="E841" s="2" t="str">
        <f>IF(A841="","",C841*'Loan Inputs'!$B$15)</f>
        <v/>
      </c>
      <c r="F841" s="2" t="str">
        <f t="shared" si="39"/>
        <v/>
      </c>
      <c r="G841" s="2" t="str">
        <f t="shared" si="40"/>
        <v/>
      </c>
      <c r="H841" s="2" t="str">
        <f>IF(A841="","",MIN(0,MAX(0,C841+E841-'Loan Inputs'!$B$17)))</f>
        <v/>
      </c>
    </row>
    <row r="842" spans="1:8" ht="22" customHeight="1">
      <c r="A842" s="1" t="str">
        <f>IF(AND('Loan Inputs'!$B$12,836&lt;=IF('Loan Inputs'!$B$12,'Loan Inputs'!$B$7,0)*'Loan Inputs'!$B$14+0,ISNUMBER(G841),G841&gt;0),836,"")</f>
        <v/>
      </c>
      <c r="B842" s="4" t="str">
        <f>IF(A842="","",IF('Loan Inputs'!$B$14=12,DATE(YEAR('Loan Inputs'!$B$8),MONTH('Loan Inputs'!$B$8)+A842,DAY('Loan Inputs'!$B$8)),'Loan Inputs'!$B$8+A842*IF('Loan Inputs'!$B$14=26,14,7)))</f>
        <v/>
      </c>
      <c r="C842" s="2" t="str">
        <f t="shared" si="41"/>
        <v/>
      </c>
      <c r="D842" s="2" t="str">
        <f>IF(A842="","",MIN('Loan Inputs'!$B$17,C842+E842)+H842)</f>
        <v/>
      </c>
      <c r="E842" s="2" t="str">
        <f>IF(A842="","",C842*'Loan Inputs'!$B$15)</f>
        <v/>
      </c>
      <c r="F842" s="2" t="str">
        <f t="shared" si="39"/>
        <v/>
      </c>
      <c r="G842" s="2" t="str">
        <f t="shared" si="40"/>
        <v/>
      </c>
      <c r="H842" s="2" t="str">
        <f>IF(A842="","",MIN(0,MAX(0,C842+E842-'Loan Inputs'!$B$17)))</f>
        <v/>
      </c>
    </row>
    <row r="843" spans="1:8" ht="22" customHeight="1">
      <c r="A843" s="1" t="str">
        <f>IF(AND('Loan Inputs'!$B$12,837&lt;=IF('Loan Inputs'!$B$12,'Loan Inputs'!$B$7,0)*'Loan Inputs'!$B$14+0,ISNUMBER(G842),G842&gt;0),837,"")</f>
        <v/>
      </c>
      <c r="B843" s="4" t="str">
        <f>IF(A843="","",IF('Loan Inputs'!$B$14=12,DATE(YEAR('Loan Inputs'!$B$8),MONTH('Loan Inputs'!$B$8)+A843,DAY('Loan Inputs'!$B$8)),'Loan Inputs'!$B$8+A843*IF('Loan Inputs'!$B$14=26,14,7)))</f>
        <v/>
      </c>
      <c r="C843" s="2" t="str">
        <f t="shared" si="41"/>
        <v/>
      </c>
      <c r="D843" s="2" t="str">
        <f>IF(A843="","",MIN('Loan Inputs'!$B$17,C843+E843)+H843)</f>
        <v/>
      </c>
      <c r="E843" s="2" t="str">
        <f>IF(A843="","",C843*'Loan Inputs'!$B$15)</f>
        <v/>
      </c>
      <c r="F843" s="2" t="str">
        <f t="shared" si="39"/>
        <v/>
      </c>
      <c r="G843" s="2" t="str">
        <f t="shared" si="40"/>
        <v/>
      </c>
      <c r="H843" s="2" t="str">
        <f>IF(A843="","",MIN(0,MAX(0,C843+E843-'Loan Inputs'!$B$17)))</f>
        <v/>
      </c>
    </row>
    <row r="844" spans="1:8" ht="22" customHeight="1">
      <c r="A844" s="1" t="str">
        <f>IF(AND('Loan Inputs'!$B$12,838&lt;=IF('Loan Inputs'!$B$12,'Loan Inputs'!$B$7,0)*'Loan Inputs'!$B$14+0,ISNUMBER(G843),G843&gt;0),838,"")</f>
        <v/>
      </c>
      <c r="B844" s="4" t="str">
        <f>IF(A844="","",IF('Loan Inputs'!$B$14=12,DATE(YEAR('Loan Inputs'!$B$8),MONTH('Loan Inputs'!$B$8)+A844,DAY('Loan Inputs'!$B$8)),'Loan Inputs'!$B$8+A844*IF('Loan Inputs'!$B$14=26,14,7)))</f>
        <v/>
      </c>
      <c r="C844" s="2" t="str">
        <f t="shared" si="41"/>
        <v/>
      </c>
      <c r="D844" s="2" t="str">
        <f>IF(A844="","",MIN('Loan Inputs'!$B$17,C844+E844)+H844)</f>
        <v/>
      </c>
      <c r="E844" s="2" t="str">
        <f>IF(A844="","",C844*'Loan Inputs'!$B$15)</f>
        <v/>
      </c>
      <c r="F844" s="2" t="str">
        <f t="shared" si="39"/>
        <v/>
      </c>
      <c r="G844" s="2" t="str">
        <f t="shared" si="40"/>
        <v/>
      </c>
      <c r="H844" s="2" t="str">
        <f>IF(A844="","",MIN(0,MAX(0,C844+E844-'Loan Inputs'!$B$17)))</f>
        <v/>
      </c>
    </row>
    <row r="845" spans="1:8" ht="22" customHeight="1">
      <c r="A845" s="1" t="str">
        <f>IF(AND('Loan Inputs'!$B$12,839&lt;=IF('Loan Inputs'!$B$12,'Loan Inputs'!$B$7,0)*'Loan Inputs'!$B$14+0,ISNUMBER(G844),G844&gt;0),839,"")</f>
        <v/>
      </c>
      <c r="B845" s="4" t="str">
        <f>IF(A845="","",IF('Loan Inputs'!$B$14=12,DATE(YEAR('Loan Inputs'!$B$8),MONTH('Loan Inputs'!$B$8)+A845,DAY('Loan Inputs'!$B$8)),'Loan Inputs'!$B$8+A845*IF('Loan Inputs'!$B$14=26,14,7)))</f>
        <v/>
      </c>
      <c r="C845" s="2" t="str">
        <f t="shared" si="41"/>
        <v/>
      </c>
      <c r="D845" s="2" t="str">
        <f>IF(A845="","",MIN('Loan Inputs'!$B$17,C845+E845)+H845)</f>
        <v/>
      </c>
      <c r="E845" s="2" t="str">
        <f>IF(A845="","",C845*'Loan Inputs'!$B$15)</f>
        <v/>
      </c>
      <c r="F845" s="2" t="str">
        <f t="shared" si="39"/>
        <v/>
      </c>
      <c r="G845" s="2" t="str">
        <f t="shared" si="40"/>
        <v/>
      </c>
      <c r="H845" s="2" t="str">
        <f>IF(A845="","",MIN(0,MAX(0,C845+E845-'Loan Inputs'!$B$17)))</f>
        <v/>
      </c>
    </row>
    <row r="846" spans="1:8" ht="22" customHeight="1">
      <c r="A846" s="1" t="str">
        <f>IF(AND('Loan Inputs'!$B$12,840&lt;=IF('Loan Inputs'!$B$12,'Loan Inputs'!$B$7,0)*'Loan Inputs'!$B$14+0,ISNUMBER(G845),G845&gt;0),840,"")</f>
        <v/>
      </c>
      <c r="B846" s="4" t="str">
        <f>IF(A846="","",IF('Loan Inputs'!$B$14=12,DATE(YEAR('Loan Inputs'!$B$8),MONTH('Loan Inputs'!$B$8)+A846,DAY('Loan Inputs'!$B$8)),'Loan Inputs'!$B$8+A846*IF('Loan Inputs'!$B$14=26,14,7)))</f>
        <v/>
      </c>
      <c r="C846" s="2" t="str">
        <f t="shared" si="41"/>
        <v/>
      </c>
      <c r="D846" s="2" t="str">
        <f>IF(A846="","",MIN('Loan Inputs'!$B$17,C846+E846)+H846)</f>
        <v/>
      </c>
      <c r="E846" s="2" t="str">
        <f>IF(A846="","",C846*'Loan Inputs'!$B$15)</f>
        <v/>
      </c>
      <c r="F846" s="2" t="str">
        <f t="shared" si="39"/>
        <v/>
      </c>
      <c r="G846" s="2" t="str">
        <f t="shared" si="40"/>
        <v/>
      </c>
      <c r="H846" s="2" t="str">
        <f>IF(A846="","",MIN(0,MAX(0,C846+E846-'Loan Inputs'!$B$17)))</f>
        <v/>
      </c>
    </row>
    <row r="847" spans="1:8" ht="22" customHeight="1">
      <c r="A847" s="1" t="str">
        <f>IF(AND('Loan Inputs'!$B$12,841&lt;=IF('Loan Inputs'!$B$12,'Loan Inputs'!$B$7,0)*'Loan Inputs'!$B$14+0,ISNUMBER(G846),G846&gt;0),841,"")</f>
        <v/>
      </c>
      <c r="B847" s="4" t="str">
        <f>IF(A847="","",IF('Loan Inputs'!$B$14=12,DATE(YEAR('Loan Inputs'!$B$8),MONTH('Loan Inputs'!$B$8)+A847,DAY('Loan Inputs'!$B$8)),'Loan Inputs'!$B$8+A847*IF('Loan Inputs'!$B$14=26,14,7)))</f>
        <v/>
      </c>
      <c r="C847" s="2" t="str">
        <f t="shared" si="41"/>
        <v/>
      </c>
      <c r="D847" s="2" t="str">
        <f>IF(A847="","",MIN('Loan Inputs'!$B$17,C847+E847)+H847)</f>
        <v/>
      </c>
      <c r="E847" s="2" t="str">
        <f>IF(A847="","",C847*'Loan Inputs'!$B$15)</f>
        <v/>
      </c>
      <c r="F847" s="2" t="str">
        <f t="shared" si="39"/>
        <v/>
      </c>
      <c r="G847" s="2" t="str">
        <f t="shared" si="40"/>
        <v/>
      </c>
      <c r="H847" s="2" t="str">
        <f>IF(A847="","",MIN(0,MAX(0,C847+E847-'Loan Inputs'!$B$17)))</f>
        <v/>
      </c>
    </row>
    <row r="848" spans="1:8" ht="22" customHeight="1">
      <c r="A848" s="1" t="str">
        <f>IF(AND('Loan Inputs'!$B$12,842&lt;=IF('Loan Inputs'!$B$12,'Loan Inputs'!$B$7,0)*'Loan Inputs'!$B$14+0,ISNUMBER(G847),G847&gt;0),842,"")</f>
        <v/>
      </c>
      <c r="B848" s="4" t="str">
        <f>IF(A848="","",IF('Loan Inputs'!$B$14=12,DATE(YEAR('Loan Inputs'!$B$8),MONTH('Loan Inputs'!$B$8)+A848,DAY('Loan Inputs'!$B$8)),'Loan Inputs'!$B$8+A848*IF('Loan Inputs'!$B$14=26,14,7)))</f>
        <v/>
      </c>
      <c r="C848" s="2" t="str">
        <f t="shared" si="41"/>
        <v/>
      </c>
      <c r="D848" s="2" t="str">
        <f>IF(A848="","",MIN('Loan Inputs'!$B$17,C848+E848)+H848)</f>
        <v/>
      </c>
      <c r="E848" s="2" t="str">
        <f>IF(A848="","",C848*'Loan Inputs'!$B$15)</f>
        <v/>
      </c>
      <c r="F848" s="2" t="str">
        <f t="shared" si="39"/>
        <v/>
      </c>
      <c r="G848" s="2" t="str">
        <f t="shared" si="40"/>
        <v/>
      </c>
      <c r="H848" s="2" t="str">
        <f>IF(A848="","",MIN(0,MAX(0,C848+E848-'Loan Inputs'!$B$17)))</f>
        <v/>
      </c>
    </row>
    <row r="849" spans="1:8" ht="22" customHeight="1">
      <c r="A849" s="1" t="str">
        <f>IF(AND('Loan Inputs'!$B$12,843&lt;=IF('Loan Inputs'!$B$12,'Loan Inputs'!$B$7,0)*'Loan Inputs'!$B$14+0,ISNUMBER(G848),G848&gt;0),843,"")</f>
        <v/>
      </c>
      <c r="B849" s="4" t="str">
        <f>IF(A849="","",IF('Loan Inputs'!$B$14=12,DATE(YEAR('Loan Inputs'!$B$8),MONTH('Loan Inputs'!$B$8)+A849,DAY('Loan Inputs'!$B$8)),'Loan Inputs'!$B$8+A849*IF('Loan Inputs'!$B$14=26,14,7)))</f>
        <v/>
      </c>
      <c r="C849" s="2" t="str">
        <f t="shared" si="41"/>
        <v/>
      </c>
      <c r="D849" s="2" t="str">
        <f>IF(A849="","",MIN('Loan Inputs'!$B$17,C849+E849)+H849)</f>
        <v/>
      </c>
      <c r="E849" s="2" t="str">
        <f>IF(A849="","",C849*'Loan Inputs'!$B$15)</f>
        <v/>
      </c>
      <c r="F849" s="2" t="str">
        <f t="shared" si="39"/>
        <v/>
      </c>
      <c r="G849" s="2" t="str">
        <f t="shared" si="40"/>
        <v/>
      </c>
      <c r="H849" s="2" t="str">
        <f>IF(A849="","",MIN(0,MAX(0,C849+E849-'Loan Inputs'!$B$17)))</f>
        <v/>
      </c>
    </row>
    <row r="850" spans="1:8" ht="22" customHeight="1">
      <c r="A850" s="1" t="str">
        <f>IF(AND('Loan Inputs'!$B$12,844&lt;=IF('Loan Inputs'!$B$12,'Loan Inputs'!$B$7,0)*'Loan Inputs'!$B$14+0,ISNUMBER(G849),G849&gt;0),844,"")</f>
        <v/>
      </c>
      <c r="B850" s="4" t="str">
        <f>IF(A850="","",IF('Loan Inputs'!$B$14=12,DATE(YEAR('Loan Inputs'!$B$8),MONTH('Loan Inputs'!$B$8)+A850,DAY('Loan Inputs'!$B$8)),'Loan Inputs'!$B$8+A850*IF('Loan Inputs'!$B$14=26,14,7)))</f>
        <v/>
      </c>
      <c r="C850" s="2" t="str">
        <f t="shared" si="41"/>
        <v/>
      </c>
      <c r="D850" s="2" t="str">
        <f>IF(A850="","",MIN('Loan Inputs'!$B$17,C850+E850)+H850)</f>
        <v/>
      </c>
      <c r="E850" s="2" t="str">
        <f>IF(A850="","",C850*'Loan Inputs'!$B$15)</f>
        <v/>
      </c>
      <c r="F850" s="2" t="str">
        <f t="shared" si="39"/>
        <v/>
      </c>
      <c r="G850" s="2" t="str">
        <f t="shared" si="40"/>
        <v/>
      </c>
      <c r="H850" s="2" t="str">
        <f>IF(A850="","",MIN(0,MAX(0,C850+E850-'Loan Inputs'!$B$17)))</f>
        <v/>
      </c>
    </row>
    <row r="851" spans="1:8" ht="22" customHeight="1">
      <c r="A851" s="1" t="str">
        <f>IF(AND('Loan Inputs'!$B$12,845&lt;=IF('Loan Inputs'!$B$12,'Loan Inputs'!$B$7,0)*'Loan Inputs'!$B$14+0,ISNUMBER(G850),G850&gt;0),845,"")</f>
        <v/>
      </c>
      <c r="B851" s="4" t="str">
        <f>IF(A851="","",IF('Loan Inputs'!$B$14=12,DATE(YEAR('Loan Inputs'!$B$8),MONTH('Loan Inputs'!$B$8)+A851,DAY('Loan Inputs'!$B$8)),'Loan Inputs'!$B$8+A851*IF('Loan Inputs'!$B$14=26,14,7)))</f>
        <v/>
      </c>
      <c r="C851" s="2" t="str">
        <f t="shared" si="41"/>
        <v/>
      </c>
      <c r="D851" s="2" t="str">
        <f>IF(A851="","",MIN('Loan Inputs'!$B$17,C851+E851)+H851)</f>
        <v/>
      </c>
      <c r="E851" s="2" t="str">
        <f>IF(A851="","",C851*'Loan Inputs'!$B$15)</f>
        <v/>
      </c>
      <c r="F851" s="2" t="str">
        <f t="shared" si="39"/>
        <v/>
      </c>
      <c r="G851" s="2" t="str">
        <f t="shared" si="40"/>
        <v/>
      </c>
      <c r="H851" s="2" t="str">
        <f>IF(A851="","",MIN(0,MAX(0,C851+E851-'Loan Inputs'!$B$17)))</f>
        <v/>
      </c>
    </row>
    <row r="852" spans="1:8" ht="22" customHeight="1">
      <c r="A852" s="1" t="str">
        <f>IF(AND('Loan Inputs'!$B$12,846&lt;=IF('Loan Inputs'!$B$12,'Loan Inputs'!$B$7,0)*'Loan Inputs'!$B$14+0,ISNUMBER(G851),G851&gt;0),846,"")</f>
        <v/>
      </c>
      <c r="B852" s="4" t="str">
        <f>IF(A852="","",IF('Loan Inputs'!$B$14=12,DATE(YEAR('Loan Inputs'!$B$8),MONTH('Loan Inputs'!$B$8)+A852,DAY('Loan Inputs'!$B$8)),'Loan Inputs'!$B$8+A852*IF('Loan Inputs'!$B$14=26,14,7)))</f>
        <v/>
      </c>
      <c r="C852" s="2" t="str">
        <f t="shared" si="41"/>
        <v/>
      </c>
      <c r="D852" s="2" t="str">
        <f>IF(A852="","",MIN('Loan Inputs'!$B$17,C852+E852)+H852)</f>
        <v/>
      </c>
      <c r="E852" s="2" t="str">
        <f>IF(A852="","",C852*'Loan Inputs'!$B$15)</f>
        <v/>
      </c>
      <c r="F852" s="2" t="str">
        <f t="shared" si="39"/>
        <v/>
      </c>
      <c r="G852" s="2" t="str">
        <f t="shared" si="40"/>
        <v/>
      </c>
      <c r="H852" s="2" t="str">
        <f>IF(A852="","",MIN(0,MAX(0,C852+E852-'Loan Inputs'!$B$17)))</f>
        <v/>
      </c>
    </row>
    <row r="853" spans="1:8" ht="22" customHeight="1">
      <c r="A853" s="1" t="str">
        <f>IF(AND('Loan Inputs'!$B$12,847&lt;=IF('Loan Inputs'!$B$12,'Loan Inputs'!$B$7,0)*'Loan Inputs'!$B$14+0,ISNUMBER(G852),G852&gt;0),847,"")</f>
        <v/>
      </c>
      <c r="B853" s="4" t="str">
        <f>IF(A853="","",IF('Loan Inputs'!$B$14=12,DATE(YEAR('Loan Inputs'!$B$8),MONTH('Loan Inputs'!$B$8)+A853,DAY('Loan Inputs'!$B$8)),'Loan Inputs'!$B$8+A853*IF('Loan Inputs'!$B$14=26,14,7)))</f>
        <v/>
      </c>
      <c r="C853" s="2" t="str">
        <f t="shared" si="41"/>
        <v/>
      </c>
      <c r="D853" s="2" t="str">
        <f>IF(A853="","",MIN('Loan Inputs'!$B$17,C853+E853)+H853)</f>
        <v/>
      </c>
      <c r="E853" s="2" t="str">
        <f>IF(A853="","",C853*'Loan Inputs'!$B$15)</f>
        <v/>
      </c>
      <c r="F853" s="2" t="str">
        <f t="shared" si="39"/>
        <v/>
      </c>
      <c r="G853" s="2" t="str">
        <f t="shared" si="40"/>
        <v/>
      </c>
      <c r="H853" s="2" t="str">
        <f>IF(A853="","",MIN(0,MAX(0,C853+E853-'Loan Inputs'!$B$17)))</f>
        <v/>
      </c>
    </row>
    <row r="854" spans="1:8" ht="22" customHeight="1">
      <c r="A854" s="1" t="str">
        <f>IF(AND('Loan Inputs'!$B$12,848&lt;=IF('Loan Inputs'!$B$12,'Loan Inputs'!$B$7,0)*'Loan Inputs'!$B$14+0,ISNUMBER(G853),G853&gt;0),848,"")</f>
        <v/>
      </c>
      <c r="B854" s="4" t="str">
        <f>IF(A854="","",IF('Loan Inputs'!$B$14=12,DATE(YEAR('Loan Inputs'!$B$8),MONTH('Loan Inputs'!$B$8)+A854,DAY('Loan Inputs'!$B$8)),'Loan Inputs'!$B$8+A854*IF('Loan Inputs'!$B$14=26,14,7)))</f>
        <v/>
      </c>
      <c r="C854" s="2" t="str">
        <f t="shared" si="41"/>
        <v/>
      </c>
      <c r="D854" s="2" t="str">
        <f>IF(A854="","",MIN('Loan Inputs'!$B$17,C854+E854)+H854)</f>
        <v/>
      </c>
      <c r="E854" s="2" t="str">
        <f>IF(A854="","",C854*'Loan Inputs'!$B$15)</f>
        <v/>
      </c>
      <c r="F854" s="2" t="str">
        <f t="shared" si="39"/>
        <v/>
      </c>
      <c r="G854" s="2" t="str">
        <f t="shared" si="40"/>
        <v/>
      </c>
      <c r="H854" s="2" t="str">
        <f>IF(A854="","",MIN(0,MAX(0,C854+E854-'Loan Inputs'!$B$17)))</f>
        <v/>
      </c>
    </row>
    <row r="855" spans="1:8" ht="22" customHeight="1">
      <c r="A855" s="1" t="str">
        <f>IF(AND('Loan Inputs'!$B$12,849&lt;=IF('Loan Inputs'!$B$12,'Loan Inputs'!$B$7,0)*'Loan Inputs'!$B$14+0,ISNUMBER(G854),G854&gt;0),849,"")</f>
        <v/>
      </c>
      <c r="B855" s="4" t="str">
        <f>IF(A855="","",IF('Loan Inputs'!$B$14=12,DATE(YEAR('Loan Inputs'!$B$8),MONTH('Loan Inputs'!$B$8)+A855,DAY('Loan Inputs'!$B$8)),'Loan Inputs'!$B$8+A855*IF('Loan Inputs'!$B$14=26,14,7)))</f>
        <v/>
      </c>
      <c r="C855" s="2" t="str">
        <f t="shared" si="41"/>
        <v/>
      </c>
      <c r="D855" s="2" t="str">
        <f>IF(A855="","",MIN('Loan Inputs'!$B$17,C855+E855)+H855)</f>
        <v/>
      </c>
      <c r="E855" s="2" t="str">
        <f>IF(A855="","",C855*'Loan Inputs'!$B$15)</f>
        <v/>
      </c>
      <c r="F855" s="2" t="str">
        <f t="shared" si="39"/>
        <v/>
      </c>
      <c r="G855" s="2" t="str">
        <f t="shared" si="40"/>
        <v/>
      </c>
      <c r="H855" s="2" t="str">
        <f>IF(A855="","",MIN(0,MAX(0,C855+E855-'Loan Inputs'!$B$17)))</f>
        <v/>
      </c>
    </row>
    <row r="856" spans="1:8" ht="22" customHeight="1">
      <c r="A856" s="1" t="str">
        <f>IF(AND('Loan Inputs'!$B$12,850&lt;=IF('Loan Inputs'!$B$12,'Loan Inputs'!$B$7,0)*'Loan Inputs'!$B$14+0,ISNUMBER(G855),G855&gt;0),850,"")</f>
        <v/>
      </c>
      <c r="B856" s="4" t="str">
        <f>IF(A856="","",IF('Loan Inputs'!$B$14=12,DATE(YEAR('Loan Inputs'!$B$8),MONTH('Loan Inputs'!$B$8)+A856,DAY('Loan Inputs'!$B$8)),'Loan Inputs'!$B$8+A856*IF('Loan Inputs'!$B$14=26,14,7)))</f>
        <v/>
      </c>
      <c r="C856" s="2" t="str">
        <f t="shared" si="41"/>
        <v/>
      </c>
      <c r="D856" s="2" t="str">
        <f>IF(A856="","",MIN('Loan Inputs'!$B$17,C856+E856)+H856)</f>
        <v/>
      </c>
      <c r="E856" s="2" t="str">
        <f>IF(A856="","",C856*'Loan Inputs'!$B$15)</f>
        <v/>
      </c>
      <c r="F856" s="2" t="str">
        <f t="shared" si="39"/>
        <v/>
      </c>
      <c r="G856" s="2" t="str">
        <f t="shared" si="40"/>
        <v/>
      </c>
      <c r="H856" s="2" t="str">
        <f>IF(A856="","",MIN(0,MAX(0,C856+E856-'Loan Inputs'!$B$17)))</f>
        <v/>
      </c>
    </row>
    <row r="857" spans="1:8" ht="22" customHeight="1">
      <c r="A857" s="1" t="str">
        <f>IF(AND('Loan Inputs'!$B$12,851&lt;=IF('Loan Inputs'!$B$12,'Loan Inputs'!$B$7,0)*'Loan Inputs'!$B$14+0,ISNUMBER(G856),G856&gt;0),851,"")</f>
        <v/>
      </c>
      <c r="B857" s="4" t="str">
        <f>IF(A857="","",IF('Loan Inputs'!$B$14=12,DATE(YEAR('Loan Inputs'!$B$8),MONTH('Loan Inputs'!$B$8)+A857,DAY('Loan Inputs'!$B$8)),'Loan Inputs'!$B$8+A857*IF('Loan Inputs'!$B$14=26,14,7)))</f>
        <v/>
      </c>
      <c r="C857" s="2" t="str">
        <f t="shared" si="41"/>
        <v/>
      </c>
      <c r="D857" s="2" t="str">
        <f>IF(A857="","",MIN('Loan Inputs'!$B$17,C857+E857)+H857)</f>
        <v/>
      </c>
      <c r="E857" s="2" t="str">
        <f>IF(A857="","",C857*'Loan Inputs'!$B$15)</f>
        <v/>
      </c>
      <c r="F857" s="2" t="str">
        <f t="shared" si="39"/>
        <v/>
      </c>
      <c r="G857" s="2" t="str">
        <f t="shared" si="40"/>
        <v/>
      </c>
      <c r="H857" s="2" t="str">
        <f>IF(A857="","",MIN(0,MAX(0,C857+E857-'Loan Inputs'!$B$17)))</f>
        <v/>
      </c>
    </row>
    <row r="858" spans="1:8" ht="22" customHeight="1">
      <c r="A858" s="1" t="str">
        <f>IF(AND('Loan Inputs'!$B$12,852&lt;=IF('Loan Inputs'!$B$12,'Loan Inputs'!$B$7,0)*'Loan Inputs'!$B$14+0,ISNUMBER(G857),G857&gt;0),852,"")</f>
        <v/>
      </c>
      <c r="B858" s="4" t="str">
        <f>IF(A858="","",IF('Loan Inputs'!$B$14=12,DATE(YEAR('Loan Inputs'!$B$8),MONTH('Loan Inputs'!$B$8)+A858,DAY('Loan Inputs'!$B$8)),'Loan Inputs'!$B$8+A858*IF('Loan Inputs'!$B$14=26,14,7)))</f>
        <v/>
      </c>
      <c r="C858" s="2" t="str">
        <f t="shared" si="41"/>
        <v/>
      </c>
      <c r="D858" s="2" t="str">
        <f>IF(A858="","",MIN('Loan Inputs'!$B$17,C858+E858)+H858)</f>
        <v/>
      </c>
      <c r="E858" s="2" t="str">
        <f>IF(A858="","",C858*'Loan Inputs'!$B$15)</f>
        <v/>
      </c>
      <c r="F858" s="2" t="str">
        <f t="shared" si="39"/>
        <v/>
      </c>
      <c r="G858" s="2" t="str">
        <f t="shared" si="40"/>
        <v/>
      </c>
      <c r="H858" s="2" t="str">
        <f>IF(A858="","",MIN(0,MAX(0,C858+E858-'Loan Inputs'!$B$17)))</f>
        <v/>
      </c>
    </row>
    <row r="859" spans="1:8" ht="22" customHeight="1">
      <c r="A859" s="1" t="str">
        <f>IF(AND('Loan Inputs'!$B$12,853&lt;=IF('Loan Inputs'!$B$12,'Loan Inputs'!$B$7,0)*'Loan Inputs'!$B$14+0,ISNUMBER(G858),G858&gt;0),853,"")</f>
        <v/>
      </c>
      <c r="B859" s="4" t="str">
        <f>IF(A859="","",IF('Loan Inputs'!$B$14=12,DATE(YEAR('Loan Inputs'!$B$8),MONTH('Loan Inputs'!$B$8)+A859,DAY('Loan Inputs'!$B$8)),'Loan Inputs'!$B$8+A859*IF('Loan Inputs'!$B$14=26,14,7)))</f>
        <v/>
      </c>
      <c r="C859" s="2" t="str">
        <f t="shared" si="41"/>
        <v/>
      </c>
      <c r="D859" s="2" t="str">
        <f>IF(A859="","",MIN('Loan Inputs'!$B$17,C859+E859)+H859)</f>
        <v/>
      </c>
      <c r="E859" s="2" t="str">
        <f>IF(A859="","",C859*'Loan Inputs'!$B$15)</f>
        <v/>
      </c>
      <c r="F859" s="2" t="str">
        <f t="shared" si="39"/>
        <v/>
      </c>
      <c r="G859" s="2" t="str">
        <f t="shared" si="40"/>
        <v/>
      </c>
      <c r="H859" s="2" t="str">
        <f>IF(A859="","",MIN(0,MAX(0,C859+E859-'Loan Inputs'!$B$17)))</f>
        <v/>
      </c>
    </row>
    <row r="860" spans="1:8" ht="22" customHeight="1">
      <c r="A860" s="1" t="str">
        <f>IF(AND('Loan Inputs'!$B$12,854&lt;=IF('Loan Inputs'!$B$12,'Loan Inputs'!$B$7,0)*'Loan Inputs'!$B$14+0,ISNUMBER(G859),G859&gt;0),854,"")</f>
        <v/>
      </c>
      <c r="B860" s="4" t="str">
        <f>IF(A860="","",IF('Loan Inputs'!$B$14=12,DATE(YEAR('Loan Inputs'!$B$8),MONTH('Loan Inputs'!$B$8)+A860,DAY('Loan Inputs'!$B$8)),'Loan Inputs'!$B$8+A860*IF('Loan Inputs'!$B$14=26,14,7)))</f>
        <v/>
      </c>
      <c r="C860" s="2" t="str">
        <f t="shared" si="41"/>
        <v/>
      </c>
      <c r="D860" s="2" t="str">
        <f>IF(A860="","",MIN('Loan Inputs'!$B$17,C860+E860)+H860)</f>
        <v/>
      </c>
      <c r="E860" s="2" t="str">
        <f>IF(A860="","",C860*'Loan Inputs'!$B$15)</f>
        <v/>
      </c>
      <c r="F860" s="2" t="str">
        <f t="shared" si="39"/>
        <v/>
      </c>
      <c r="G860" s="2" t="str">
        <f t="shared" si="40"/>
        <v/>
      </c>
      <c r="H860" s="2" t="str">
        <f>IF(A860="","",MIN(0,MAX(0,C860+E860-'Loan Inputs'!$B$17)))</f>
        <v/>
      </c>
    </row>
    <row r="861" spans="1:8" ht="22" customHeight="1">
      <c r="A861" s="1" t="str">
        <f>IF(AND('Loan Inputs'!$B$12,855&lt;=IF('Loan Inputs'!$B$12,'Loan Inputs'!$B$7,0)*'Loan Inputs'!$B$14+0,ISNUMBER(G860),G860&gt;0),855,"")</f>
        <v/>
      </c>
      <c r="B861" s="4" t="str">
        <f>IF(A861="","",IF('Loan Inputs'!$B$14=12,DATE(YEAR('Loan Inputs'!$B$8),MONTH('Loan Inputs'!$B$8)+A861,DAY('Loan Inputs'!$B$8)),'Loan Inputs'!$B$8+A861*IF('Loan Inputs'!$B$14=26,14,7)))</f>
        <v/>
      </c>
      <c r="C861" s="2" t="str">
        <f t="shared" si="41"/>
        <v/>
      </c>
      <c r="D861" s="2" t="str">
        <f>IF(A861="","",MIN('Loan Inputs'!$B$17,C861+E861)+H861)</f>
        <v/>
      </c>
      <c r="E861" s="2" t="str">
        <f>IF(A861="","",C861*'Loan Inputs'!$B$15)</f>
        <v/>
      </c>
      <c r="F861" s="2" t="str">
        <f t="shared" si="39"/>
        <v/>
      </c>
      <c r="G861" s="2" t="str">
        <f t="shared" si="40"/>
        <v/>
      </c>
      <c r="H861" s="2" t="str">
        <f>IF(A861="","",MIN(0,MAX(0,C861+E861-'Loan Inputs'!$B$17)))</f>
        <v/>
      </c>
    </row>
    <row r="862" spans="1:8" ht="22" customHeight="1">
      <c r="A862" s="1" t="str">
        <f>IF(AND('Loan Inputs'!$B$12,856&lt;=IF('Loan Inputs'!$B$12,'Loan Inputs'!$B$7,0)*'Loan Inputs'!$B$14+0,ISNUMBER(G861),G861&gt;0),856,"")</f>
        <v/>
      </c>
      <c r="B862" s="4" t="str">
        <f>IF(A862="","",IF('Loan Inputs'!$B$14=12,DATE(YEAR('Loan Inputs'!$B$8),MONTH('Loan Inputs'!$B$8)+A862,DAY('Loan Inputs'!$B$8)),'Loan Inputs'!$B$8+A862*IF('Loan Inputs'!$B$14=26,14,7)))</f>
        <v/>
      </c>
      <c r="C862" s="2" t="str">
        <f t="shared" si="41"/>
        <v/>
      </c>
      <c r="D862" s="2" t="str">
        <f>IF(A862="","",MIN('Loan Inputs'!$B$17,C862+E862)+H862)</f>
        <v/>
      </c>
      <c r="E862" s="2" t="str">
        <f>IF(A862="","",C862*'Loan Inputs'!$B$15)</f>
        <v/>
      </c>
      <c r="F862" s="2" t="str">
        <f t="shared" si="39"/>
        <v/>
      </c>
      <c r="G862" s="2" t="str">
        <f t="shared" si="40"/>
        <v/>
      </c>
      <c r="H862" s="2" t="str">
        <f>IF(A862="","",MIN(0,MAX(0,C862+E862-'Loan Inputs'!$B$17)))</f>
        <v/>
      </c>
    </row>
    <row r="863" spans="1:8" ht="22" customHeight="1">
      <c r="A863" s="1" t="str">
        <f>IF(AND('Loan Inputs'!$B$12,857&lt;=IF('Loan Inputs'!$B$12,'Loan Inputs'!$B$7,0)*'Loan Inputs'!$B$14+0,ISNUMBER(G862),G862&gt;0),857,"")</f>
        <v/>
      </c>
      <c r="B863" s="4" t="str">
        <f>IF(A863="","",IF('Loan Inputs'!$B$14=12,DATE(YEAR('Loan Inputs'!$B$8),MONTH('Loan Inputs'!$B$8)+A863,DAY('Loan Inputs'!$B$8)),'Loan Inputs'!$B$8+A863*IF('Loan Inputs'!$B$14=26,14,7)))</f>
        <v/>
      </c>
      <c r="C863" s="2" t="str">
        <f t="shared" si="41"/>
        <v/>
      </c>
      <c r="D863" s="2" t="str">
        <f>IF(A863="","",MIN('Loan Inputs'!$B$17,C863+E863)+H863)</f>
        <v/>
      </c>
      <c r="E863" s="2" t="str">
        <f>IF(A863="","",C863*'Loan Inputs'!$B$15)</f>
        <v/>
      </c>
      <c r="F863" s="2" t="str">
        <f t="shared" si="39"/>
        <v/>
      </c>
      <c r="G863" s="2" t="str">
        <f t="shared" si="40"/>
        <v/>
      </c>
      <c r="H863" s="2" t="str">
        <f>IF(A863="","",MIN(0,MAX(0,C863+E863-'Loan Inputs'!$B$17)))</f>
        <v/>
      </c>
    </row>
    <row r="864" spans="1:8" ht="22" customHeight="1">
      <c r="A864" s="1" t="str">
        <f>IF(AND('Loan Inputs'!$B$12,858&lt;=IF('Loan Inputs'!$B$12,'Loan Inputs'!$B$7,0)*'Loan Inputs'!$B$14+0,ISNUMBER(G863),G863&gt;0),858,"")</f>
        <v/>
      </c>
      <c r="B864" s="4" t="str">
        <f>IF(A864="","",IF('Loan Inputs'!$B$14=12,DATE(YEAR('Loan Inputs'!$B$8),MONTH('Loan Inputs'!$B$8)+A864,DAY('Loan Inputs'!$B$8)),'Loan Inputs'!$B$8+A864*IF('Loan Inputs'!$B$14=26,14,7)))</f>
        <v/>
      </c>
      <c r="C864" s="2" t="str">
        <f t="shared" si="41"/>
        <v/>
      </c>
      <c r="D864" s="2" t="str">
        <f>IF(A864="","",MIN('Loan Inputs'!$B$17,C864+E864)+H864)</f>
        <v/>
      </c>
      <c r="E864" s="2" t="str">
        <f>IF(A864="","",C864*'Loan Inputs'!$B$15)</f>
        <v/>
      </c>
      <c r="F864" s="2" t="str">
        <f t="shared" si="39"/>
        <v/>
      </c>
      <c r="G864" s="2" t="str">
        <f t="shared" si="40"/>
        <v/>
      </c>
      <c r="H864" s="2" t="str">
        <f>IF(A864="","",MIN(0,MAX(0,C864+E864-'Loan Inputs'!$B$17)))</f>
        <v/>
      </c>
    </row>
    <row r="865" spans="1:8" ht="22" customHeight="1">
      <c r="A865" s="1" t="str">
        <f>IF(AND('Loan Inputs'!$B$12,859&lt;=IF('Loan Inputs'!$B$12,'Loan Inputs'!$B$7,0)*'Loan Inputs'!$B$14+0,ISNUMBER(G864),G864&gt;0),859,"")</f>
        <v/>
      </c>
      <c r="B865" s="4" t="str">
        <f>IF(A865="","",IF('Loan Inputs'!$B$14=12,DATE(YEAR('Loan Inputs'!$B$8),MONTH('Loan Inputs'!$B$8)+A865,DAY('Loan Inputs'!$B$8)),'Loan Inputs'!$B$8+A865*IF('Loan Inputs'!$B$14=26,14,7)))</f>
        <v/>
      </c>
      <c r="C865" s="2" t="str">
        <f t="shared" si="41"/>
        <v/>
      </c>
      <c r="D865" s="2" t="str">
        <f>IF(A865="","",MIN('Loan Inputs'!$B$17,C865+E865)+H865)</f>
        <v/>
      </c>
      <c r="E865" s="2" t="str">
        <f>IF(A865="","",C865*'Loan Inputs'!$B$15)</f>
        <v/>
      </c>
      <c r="F865" s="2" t="str">
        <f t="shared" si="39"/>
        <v/>
      </c>
      <c r="G865" s="2" t="str">
        <f t="shared" si="40"/>
        <v/>
      </c>
      <c r="H865" s="2" t="str">
        <f>IF(A865="","",MIN(0,MAX(0,C865+E865-'Loan Inputs'!$B$17)))</f>
        <v/>
      </c>
    </row>
    <row r="866" spans="1:8" ht="22" customHeight="1">
      <c r="A866" s="1" t="str">
        <f>IF(AND('Loan Inputs'!$B$12,860&lt;=IF('Loan Inputs'!$B$12,'Loan Inputs'!$B$7,0)*'Loan Inputs'!$B$14+0,ISNUMBER(G865),G865&gt;0),860,"")</f>
        <v/>
      </c>
      <c r="B866" s="4" t="str">
        <f>IF(A866="","",IF('Loan Inputs'!$B$14=12,DATE(YEAR('Loan Inputs'!$B$8),MONTH('Loan Inputs'!$B$8)+A866,DAY('Loan Inputs'!$B$8)),'Loan Inputs'!$B$8+A866*IF('Loan Inputs'!$B$14=26,14,7)))</f>
        <v/>
      </c>
      <c r="C866" s="2" t="str">
        <f t="shared" si="41"/>
        <v/>
      </c>
      <c r="D866" s="2" t="str">
        <f>IF(A866="","",MIN('Loan Inputs'!$B$17,C866+E866)+H866)</f>
        <v/>
      </c>
      <c r="E866" s="2" t="str">
        <f>IF(A866="","",C866*'Loan Inputs'!$B$15)</f>
        <v/>
      </c>
      <c r="F866" s="2" t="str">
        <f t="shared" si="39"/>
        <v/>
      </c>
      <c r="G866" s="2" t="str">
        <f t="shared" si="40"/>
        <v/>
      </c>
      <c r="H866" s="2" t="str">
        <f>IF(A866="","",MIN(0,MAX(0,C866+E866-'Loan Inputs'!$B$17)))</f>
        <v/>
      </c>
    </row>
    <row r="867" spans="1:8" ht="22" customHeight="1">
      <c r="A867" s="1" t="str">
        <f>IF(AND('Loan Inputs'!$B$12,861&lt;=IF('Loan Inputs'!$B$12,'Loan Inputs'!$B$7,0)*'Loan Inputs'!$B$14+0,ISNUMBER(G866),G866&gt;0),861,"")</f>
        <v/>
      </c>
      <c r="B867" s="4" t="str">
        <f>IF(A867="","",IF('Loan Inputs'!$B$14=12,DATE(YEAR('Loan Inputs'!$B$8),MONTH('Loan Inputs'!$B$8)+A867,DAY('Loan Inputs'!$B$8)),'Loan Inputs'!$B$8+A867*IF('Loan Inputs'!$B$14=26,14,7)))</f>
        <v/>
      </c>
      <c r="C867" s="2" t="str">
        <f t="shared" si="41"/>
        <v/>
      </c>
      <c r="D867" s="2" t="str">
        <f>IF(A867="","",MIN('Loan Inputs'!$B$17,C867+E867)+H867)</f>
        <v/>
      </c>
      <c r="E867" s="2" t="str">
        <f>IF(A867="","",C867*'Loan Inputs'!$B$15)</f>
        <v/>
      </c>
      <c r="F867" s="2" t="str">
        <f t="shared" si="39"/>
        <v/>
      </c>
      <c r="G867" s="2" t="str">
        <f t="shared" si="40"/>
        <v/>
      </c>
      <c r="H867" s="2" t="str">
        <f>IF(A867="","",MIN(0,MAX(0,C867+E867-'Loan Inputs'!$B$17)))</f>
        <v/>
      </c>
    </row>
    <row r="868" spans="1:8" ht="22" customHeight="1">
      <c r="A868" s="1" t="str">
        <f>IF(AND('Loan Inputs'!$B$12,862&lt;=IF('Loan Inputs'!$B$12,'Loan Inputs'!$B$7,0)*'Loan Inputs'!$B$14+0,ISNUMBER(G867),G867&gt;0),862,"")</f>
        <v/>
      </c>
      <c r="B868" s="4" t="str">
        <f>IF(A868="","",IF('Loan Inputs'!$B$14=12,DATE(YEAR('Loan Inputs'!$B$8),MONTH('Loan Inputs'!$B$8)+A868,DAY('Loan Inputs'!$B$8)),'Loan Inputs'!$B$8+A868*IF('Loan Inputs'!$B$14=26,14,7)))</f>
        <v/>
      </c>
      <c r="C868" s="2" t="str">
        <f t="shared" si="41"/>
        <v/>
      </c>
      <c r="D868" s="2" t="str">
        <f>IF(A868="","",MIN('Loan Inputs'!$B$17,C868+E868)+H868)</f>
        <v/>
      </c>
      <c r="E868" s="2" t="str">
        <f>IF(A868="","",C868*'Loan Inputs'!$B$15)</f>
        <v/>
      </c>
      <c r="F868" s="2" t="str">
        <f t="shared" si="39"/>
        <v/>
      </c>
      <c r="G868" s="2" t="str">
        <f t="shared" si="40"/>
        <v/>
      </c>
      <c r="H868" s="2" t="str">
        <f>IF(A868="","",MIN(0,MAX(0,C868+E868-'Loan Inputs'!$B$17)))</f>
        <v/>
      </c>
    </row>
    <row r="869" spans="1:8" ht="22" customHeight="1">
      <c r="A869" s="1" t="str">
        <f>IF(AND('Loan Inputs'!$B$12,863&lt;=IF('Loan Inputs'!$B$12,'Loan Inputs'!$B$7,0)*'Loan Inputs'!$B$14+0,ISNUMBER(G868),G868&gt;0),863,"")</f>
        <v/>
      </c>
      <c r="B869" s="4" t="str">
        <f>IF(A869="","",IF('Loan Inputs'!$B$14=12,DATE(YEAR('Loan Inputs'!$B$8),MONTH('Loan Inputs'!$B$8)+A869,DAY('Loan Inputs'!$B$8)),'Loan Inputs'!$B$8+A869*IF('Loan Inputs'!$B$14=26,14,7)))</f>
        <v/>
      </c>
      <c r="C869" s="2" t="str">
        <f t="shared" si="41"/>
        <v/>
      </c>
      <c r="D869" s="2" t="str">
        <f>IF(A869="","",MIN('Loan Inputs'!$B$17,C869+E869)+H869)</f>
        <v/>
      </c>
      <c r="E869" s="2" t="str">
        <f>IF(A869="","",C869*'Loan Inputs'!$B$15)</f>
        <v/>
      </c>
      <c r="F869" s="2" t="str">
        <f t="shared" si="39"/>
        <v/>
      </c>
      <c r="G869" s="2" t="str">
        <f t="shared" si="40"/>
        <v/>
      </c>
      <c r="H869" s="2" t="str">
        <f>IF(A869="","",MIN(0,MAX(0,C869+E869-'Loan Inputs'!$B$17)))</f>
        <v/>
      </c>
    </row>
    <row r="870" spans="1:8" ht="22" customHeight="1">
      <c r="A870" s="1" t="str">
        <f>IF(AND('Loan Inputs'!$B$12,864&lt;=IF('Loan Inputs'!$B$12,'Loan Inputs'!$B$7,0)*'Loan Inputs'!$B$14+0,ISNUMBER(G869),G869&gt;0),864,"")</f>
        <v/>
      </c>
      <c r="B870" s="4" t="str">
        <f>IF(A870="","",IF('Loan Inputs'!$B$14=12,DATE(YEAR('Loan Inputs'!$B$8),MONTH('Loan Inputs'!$B$8)+A870,DAY('Loan Inputs'!$B$8)),'Loan Inputs'!$B$8+A870*IF('Loan Inputs'!$B$14=26,14,7)))</f>
        <v/>
      </c>
      <c r="C870" s="2" t="str">
        <f t="shared" si="41"/>
        <v/>
      </c>
      <c r="D870" s="2" t="str">
        <f>IF(A870="","",MIN('Loan Inputs'!$B$17,C870+E870)+H870)</f>
        <v/>
      </c>
      <c r="E870" s="2" t="str">
        <f>IF(A870="","",C870*'Loan Inputs'!$B$15)</f>
        <v/>
      </c>
      <c r="F870" s="2" t="str">
        <f t="shared" si="39"/>
        <v/>
      </c>
      <c r="G870" s="2" t="str">
        <f t="shared" si="40"/>
        <v/>
      </c>
      <c r="H870" s="2" t="str">
        <f>IF(A870="","",MIN(0,MAX(0,C870+E870-'Loan Inputs'!$B$17)))</f>
        <v/>
      </c>
    </row>
    <row r="871" spans="1:8" ht="22" customHeight="1">
      <c r="A871" s="1" t="str">
        <f>IF(AND('Loan Inputs'!$B$12,865&lt;=IF('Loan Inputs'!$B$12,'Loan Inputs'!$B$7,0)*'Loan Inputs'!$B$14+0,ISNUMBER(G870),G870&gt;0),865,"")</f>
        <v/>
      </c>
      <c r="B871" s="4" t="str">
        <f>IF(A871="","",IF('Loan Inputs'!$B$14=12,DATE(YEAR('Loan Inputs'!$B$8),MONTH('Loan Inputs'!$B$8)+A871,DAY('Loan Inputs'!$B$8)),'Loan Inputs'!$B$8+A871*IF('Loan Inputs'!$B$14=26,14,7)))</f>
        <v/>
      </c>
      <c r="C871" s="2" t="str">
        <f t="shared" si="41"/>
        <v/>
      </c>
      <c r="D871" s="2" t="str">
        <f>IF(A871="","",MIN('Loan Inputs'!$B$17,C871+E871)+H871)</f>
        <v/>
      </c>
      <c r="E871" s="2" t="str">
        <f>IF(A871="","",C871*'Loan Inputs'!$B$15)</f>
        <v/>
      </c>
      <c r="F871" s="2" t="str">
        <f t="shared" si="39"/>
        <v/>
      </c>
      <c r="G871" s="2" t="str">
        <f t="shared" si="40"/>
        <v/>
      </c>
      <c r="H871" s="2" t="str">
        <f>IF(A871="","",MIN(0,MAX(0,C871+E871-'Loan Inputs'!$B$17)))</f>
        <v/>
      </c>
    </row>
    <row r="872" spans="1:8" ht="22" customHeight="1">
      <c r="A872" s="1" t="str">
        <f>IF(AND('Loan Inputs'!$B$12,866&lt;=IF('Loan Inputs'!$B$12,'Loan Inputs'!$B$7,0)*'Loan Inputs'!$B$14+0,ISNUMBER(G871),G871&gt;0),866,"")</f>
        <v/>
      </c>
      <c r="B872" s="4" t="str">
        <f>IF(A872="","",IF('Loan Inputs'!$B$14=12,DATE(YEAR('Loan Inputs'!$B$8),MONTH('Loan Inputs'!$B$8)+A872,DAY('Loan Inputs'!$B$8)),'Loan Inputs'!$B$8+A872*IF('Loan Inputs'!$B$14=26,14,7)))</f>
        <v/>
      </c>
      <c r="C872" s="2" t="str">
        <f t="shared" si="41"/>
        <v/>
      </c>
      <c r="D872" s="2" t="str">
        <f>IF(A872="","",MIN('Loan Inputs'!$B$17,C872+E872)+H872)</f>
        <v/>
      </c>
      <c r="E872" s="2" t="str">
        <f>IF(A872="","",C872*'Loan Inputs'!$B$15)</f>
        <v/>
      </c>
      <c r="F872" s="2" t="str">
        <f t="shared" si="39"/>
        <v/>
      </c>
      <c r="G872" s="2" t="str">
        <f t="shared" si="40"/>
        <v/>
      </c>
      <c r="H872" s="2" t="str">
        <f>IF(A872="","",MIN(0,MAX(0,C872+E872-'Loan Inputs'!$B$17)))</f>
        <v/>
      </c>
    </row>
    <row r="873" spans="1:8" ht="22" customHeight="1">
      <c r="A873" s="1" t="str">
        <f>IF(AND('Loan Inputs'!$B$12,867&lt;=IF('Loan Inputs'!$B$12,'Loan Inputs'!$B$7,0)*'Loan Inputs'!$B$14+0,ISNUMBER(G872),G872&gt;0),867,"")</f>
        <v/>
      </c>
      <c r="B873" s="4" t="str">
        <f>IF(A873="","",IF('Loan Inputs'!$B$14=12,DATE(YEAR('Loan Inputs'!$B$8),MONTH('Loan Inputs'!$B$8)+A873,DAY('Loan Inputs'!$B$8)),'Loan Inputs'!$B$8+A873*IF('Loan Inputs'!$B$14=26,14,7)))</f>
        <v/>
      </c>
      <c r="C873" s="2" t="str">
        <f t="shared" si="41"/>
        <v/>
      </c>
      <c r="D873" s="2" t="str">
        <f>IF(A873="","",MIN('Loan Inputs'!$B$17,C873+E873)+H873)</f>
        <v/>
      </c>
      <c r="E873" s="2" t="str">
        <f>IF(A873="","",C873*'Loan Inputs'!$B$15)</f>
        <v/>
      </c>
      <c r="F873" s="2" t="str">
        <f t="shared" si="39"/>
        <v/>
      </c>
      <c r="G873" s="2" t="str">
        <f t="shared" si="40"/>
        <v/>
      </c>
      <c r="H873" s="2" t="str">
        <f>IF(A873="","",MIN(0,MAX(0,C873+E873-'Loan Inputs'!$B$17)))</f>
        <v/>
      </c>
    </row>
    <row r="874" spans="1:8" ht="22" customHeight="1">
      <c r="A874" s="1" t="str">
        <f>IF(AND('Loan Inputs'!$B$12,868&lt;=IF('Loan Inputs'!$B$12,'Loan Inputs'!$B$7,0)*'Loan Inputs'!$B$14+0,ISNUMBER(G873),G873&gt;0),868,"")</f>
        <v/>
      </c>
      <c r="B874" s="4" t="str">
        <f>IF(A874="","",IF('Loan Inputs'!$B$14=12,DATE(YEAR('Loan Inputs'!$B$8),MONTH('Loan Inputs'!$B$8)+A874,DAY('Loan Inputs'!$B$8)),'Loan Inputs'!$B$8+A874*IF('Loan Inputs'!$B$14=26,14,7)))</f>
        <v/>
      </c>
      <c r="C874" s="2" t="str">
        <f t="shared" si="41"/>
        <v/>
      </c>
      <c r="D874" s="2" t="str">
        <f>IF(A874="","",MIN('Loan Inputs'!$B$17,C874+E874)+H874)</f>
        <v/>
      </c>
      <c r="E874" s="2" t="str">
        <f>IF(A874="","",C874*'Loan Inputs'!$B$15)</f>
        <v/>
      </c>
      <c r="F874" s="2" t="str">
        <f t="shared" si="39"/>
        <v/>
      </c>
      <c r="G874" s="2" t="str">
        <f t="shared" si="40"/>
        <v/>
      </c>
      <c r="H874" s="2" t="str">
        <f>IF(A874="","",MIN(0,MAX(0,C874+E874-'Loan Inputs'!$B$17)))</f>
        <v/>
      </c>
    </row>
    <row r="875" spans="1:8" ht="22" customHeight="1">
      <c r="A875" s="1" t="str">
        <f>IF(AND('Loan Inputs'!$B$12,869&lt;=IF('Loan Inputs'!$B$12,'Loan Inputs'!$B$7,0)*'Loan Inputs'!$B$14+0,ISNUMBER(G874),G874&gt;0),869,"")</f>
        <v/>
      </c>
      <c r="B875" s="4" t="str">
        <f>IF(A875="","",IF('Loan Inputs'!$B$14=12,DATE(YEAR('Loan Inputs'!$B$8),MONTH('Loan Inputs'!$B$8)+A875,DAY('Loan Inputs'!$B$8)),'Loan Inputs'!$B$8+A875*IF('Loan Inputs'!$B$14=26,14,7)))</f>
        <v/>
      </c>
      <c r="C875" s="2" t="str">
        <f t="shared" si="41"/>
        <v/>
      </c>
      <c r="D875" s="2" t="str">
        <f>IF(A875="","",MIN('Loan Inputs'!$B$17,C875+E875)+H875)</f>
        <v/>
      </c>
      <c r="E875" s="2" t="str">
        <f>IF(A875="","",C875*'Loan Inputs'!$B$15)</f>
        <v/>
      </c>
      <c r="F875" s="2" t="str">
        <f t="shared" si="39"/>
        <v/>
      </c>
      <c r="G875" s="2" t="str">
        <f t="shared" si="40"/>
        <v/>
      </c>
      <c r="H875" s="2" t="str">
        <f>IF(A875="","",MIN(0,MAX(0,C875+E875-'Loan Inputs'!$B$17)))</f>
        <v/>
      </c>
    </row>
    <row r="876" spans="1:8" ht="22" customHeight="1">
      <c r="A876" s="1" t="str">
        <f>IF(AND('Loan Inputs'!$B$12,870&lt;=IF('Loan Inputs'!$B$12,'Loan Inputs'!$B$7,0)*'Loan Inputs'!$B$14+0,ISNUMBER(G875),G875&gt;0),870,"")</f>
        <v/>
      </c>
      <c r="B876" s="4" t="str">
        <f>IF(A876="","",IF('Loan Inputs'!$B$14=12,DATE(YEAR('Loan Inputs'!$B$8),MONTH('Loan Inputs'!$B$8)+A876,DAY('Loan Inputs'!$B$8)),'Loan Inputs'!$B$8+A876*IF('Loan Inputs'!$B$14=26,14,7)))</f>
        <v/>
      </c>
      <c r="C876" s="2" t="str">
        <f t="shared" si="41"/>
        <v/>
      </c>
      <c r="D876" s="2" t="str">
        <f>IF(A876="","",MIN('Loan Inputs'!$B$17,C876+E876)+H876)</f>
        <v/>
      </c>
      <c r="E876" s="2" t="str">
        <f>IF(A876="","",C876*'Loan Inputs'!$B$15)</f>
        <v/>
      </c>
      <c r="F876" s="2" t="str">
        <f t="shared" si="39"/>
        <v/>
      </c>
      <c r="G876" s="2" t="str">
        <f t="shared" si="40"/>
        <v/>
      </c>
      <c r="H876" s="2" t="str">
        <f>IF(A876="","",MIN(0,MAX(0,C876+E876-'Loan Inputs'!$B$17)))</f>
        <v/>
      </c>
    </row>
    <row r="877" spans="1:8" ht="22" customHeight="1">
      <c r="A877" s="1" t="str">
        <f>IF(AND('Loan Inputs'!$B$12,871&lt;=IF('Loan Inputs'!$B$12,'Loan Inputs'!$B$7,0)*'Loan Inputs'!$B$14+0,ISNUMBER(G876),G876&gt;0),871,"")</f>
        <v/>
      </c>
      <c r="B877" s="4" t="str">
        <f>IF(A877="","",IF('Loan Inputs'!$B$14=12,DATE(YEAR('Loan Inputs'!$B$8),MONTH('Loan Inputs'!$B$8)+A877,DAY('Loan Inputs'!$B$8)),'Loan Inputs'!$B$8+A877*IF('Loan Inputs'!$B$14=26,14,7)))</f>
        <v/>
      </c>
      <c r="C877" s="2" t="str">
        <f t="shared" si="41"/>
        <v/>
      </c>
      <c r="D877" s="2" t="str">
        <f>IF(A877="","",MIN('Loan Inputs'!$B$17,C877+E877)+H877)</f>
        <v/>
      </c>
      <c r="E877" s="2" t="str">
        <f>IF(A877="","",C877*'Loan Inputs'!$B$15)</f>
        <v/>
      </c>
      <c r="F877" s="2" t="str">
        <f t="shared" si="39"/>
        <v/>
      </c>
      <c r="G877" s="2" t="str">
        <f t="shared" si="40"/>
        <v/>
      </c>
      <c r="H877" s="2" t="str">
        <f>IF(A877="","",MIN(0,MAX(0,C877+E877-'Loan Inputs'!$B$17)))</f>
        <v/>
      </c>
    </row>
    <row r="878" spans="1:8" ht="22" customHeight="1">
      <c r="A878" s="1" t="str">
        <f>IF(AND('Loan Inputs'!$B$12,872&lt;=IF('Loan Inputs'!$B$12,'Loan Inputs'!$B$7,0)*'Loan Inputs'!$B$14+0,ISNUMBER(G877),G877&gt;0),872,"")</f>
        <v/>
      </c>
      <c r="B878" s="4" t="str">
        <f>IF(A878="","",IF('Loan Inputs'!$B$14=12,DATE(YEAR('Loan Inputs'!$B$8),MONTH('Loan Inputs'!$B$8)+A878,DAY('Loan Inputs'!$B$8)),'Loan Inputs'!$B$8+A878*IF('Loan Inputs'!$B$14=26,14,7)))</f>
        <v/>
      </c>
      <c r="C878" s="2" t="str">
        <f t="shared" si="41"/>
        <v/>
      </c>
      <c r="D878" s="2" t="str">
        <f>IF(A878="","",MIN('Loan Inputs'!$B$17,C878+E878)+H878)</f>
        <v/>
      </c>
      <c r="E878" s="2" t="str">
        <f>IF(A878="","",C878*'Loan Inputs'!$B$15)</f>
        <v/>
      </c>
      <c r="F878" s="2" t="str">
        <f t="shared" si="39"/>
        <v/>
      </c>
      <c r="G878" s="2" t="str">
        <f t="shared" si="40"/>
        <v/>
      </c>
      <c r="H878" s="2" t="str">
        <f>IF(A878="","",MIN(0,MAX(0,C878+E878-'Loan Inputs'!$B$17)))</f>
        <v/>
      </c>
    </row>
    <row r="879" spans="1:8" ht="22" customHeight="1">
      <c r="A879" s="1" t="str">
        <f>IF(AND('Loan Inputs'!$B$12,873&lt;=IF('Loan Inputs'!$B$12,'Loan Inputs'!$B$7,0)*'Loan Inputs'!$B$14+0,ISNUMBER(G878),G878&gt;0),873,"")</f>
        <v/>
      </c>
      <c r="B879" s="4" t="str">
        <f>IF(A879="","",IF('Loan Inputs'!$B$14=12,DATE(YEAR('Loan Inputs'!$B$8),MONTH('Loan Inputs'!$B$8)+A879,DAY('Loan Inputs'!$B$8)),'Loan Inputs'!$B$8+A879*IF('Loan Inputs'!$B$14=26,14,7)))</f>
        <v/>
      </c>
      <c r="C879" s="2" t="str">
        <f t="shared" si="41"/>
        <v/>
      </c>
      <c r="D879" s="2" t="str">
        <f>IF(A879="","",MIN('Loan Inputs'!$B$17,C879+E879)+H879)</f>
        <v/>
      </c>
      <c r="E879" s="2" t="str">
        <f>IF(A879="","",C879*'Loan Inputs'!$B$15)</f>
        <v/>
      </c>
      <c r="F879" s="2" t="str">
        <f t="shared" si="39"/>
        <v/>
      </c>
      <c r="G879" s="2" t="str">
        <f t="shared" si="40"/>
        <v/>
      </c>
      <c r="H879" s="2" t="str">
        <f>IF(A879="","",MIN(0,MAX(0,C879+E879-'Loan Inputs'!$B$17)))</f>
        <v/>
      </c>
    </row>
    <row r="880" spans="1:8" ht="22" customHeight="1">
      <c r="A880" s="1" t="str">
        <f>IF(AND('Loan Inputs'!$B$12,874&lt;=IF('Loan Inputs'!$B$12,'Loan Inputs'!$B$7,0)*'Loan Inputs'!$B$14+0,ISNUMBER(G879),G879&gt;0),874,"")</f>
        <v/>
      </c>
      <c r="B880" s="4" t="str">
        <f>IF(A880="","",IF('Loan Inputs'!$B$14=12,DATE(YEAR('Loan Inputs'!$B$8),MONTH('Loan Inputs'!$B$8)+A880,DAY('Loan Inputs'!$B$8)),'Loan Inputs'!$B$8+A880*IF('Loan Inputs'!$B$14=26,14,7)))</f>
        <v/>
      </c>
      <c r="C880" s="2" t="str">
        <f t="shared" si="41"/>
        <v/>
      </c>
      <c r="D880" s="2" t="str">
        <f>IF(A880="","",MIN('Loan Inputs'!$B$17,C880+E880)+H880)</f>
        <v/>
      </c>
      <c r="E880" s="2" t="str">
        <f>IF(A880="","",C880*'Loan Inputs'!$B$15)</f>
        <v/>
      </c>
      <c r="F880" s="2" t="str">
        <f t="shared" si="39"/>
        <v/>
      </c>
      <c r="G880" s="2" t="str">
        <f t="shared" si="40"/>
        <v/>
      </c>
      <c r="H880" s="2" t="str">
        <f>IF(A880="","",MIN(0,MAX(0,C880+E880-'Loan Inputs'!$B$17)))</f>
        <v/>
      </c>
    </row>
    <row r="881" spans="1:8" ht="22" customHeight="1">
      <c r="A881" s="1" t="str">
        <f>IF(AND('Loan Inputs'!$B$12,875&lt;=IF('Loan Inputs'!$B$12,'Loan Inputs'!$B$7,0)*'Loan Inputs'!$B$14+0,ISNUMBER(G880),G880&gt;0),875,"")</f>
        <v/>
      </c>
      <c r="B881" s="4" t="str">
        <f>IF(A881="","",IF('Loan Inputs'!$B$14=12,DATE(YEAR('Loan Inputs'!$B$8),MONTH('Loan Inputs'!$B$8)+A881,DAY('Loan Inputs'!$B$8)),'Loan Inputs'!$B$8+A881*IF('Loan Inputs'!$B$14=26,14,7)))</f>
        <v/>
      </c>
      <c r="C881" s="2" t="str">
        <f t="shared" si="41"/>
        <v/>
      </c>
      <c r="D881" s="2" t="str">
        <f>IF(A881="","",MIN('Loan Inputs'!$B$17,C881+E881)+H881)</f>
        <v/>
      </c>
      <c r="E881" s="2" t="str">
        <f>IF(A881="","",C881*'Loan Inputs'!$B$15)</f>
        <v/>
      </c>
      <c r="F881" s="2" t="str">
        <f t="shared" si="39"/>
        <v/>
      </c>
      <c r="G881" s="2" t="str">
        <f t="shared" si="40"/>
        <v/>
      </c>
      <c r="H881" s="2" t="str">
        <f>IF(A881="","",MIN(0,MAX(0,C881+E881-'Loan Inputs'!$B$17)))</f>
        <v/>
      </c>
    </row>
    <row r="882" spans="1:8" ht="22" customHeight="1">
      <c r="A882" s="1" t="str">
        <f>IF(AND('Loan Inputs'!$B$12,876&lt;=IF('Loan Inputs'!$B$12,'Loan Inputs'!$B$7,0)*'Loan Inputs'!$B$14+0,ISNUMBER(G881),G881&gt;0),876,"")</f>
        <v/>
      </c>
      <c r="B882" s="4" t="str">
        <f>IF(A882="","",IF('Loan Inputs'!$B$14=12,DATE(YEAR('Loan Inputs'!$B$8),MONTH('Loan Inputs'!$B$8)+A882,DAY('Loan Inputs'!$B$8)),'Loan Inputs'!$B$8+A882*IF('Loan Inputs'!$B$14=26,14,7)))</f>
        <v/>
      </c>
      <c r="C882" s="2" t="str">
        <f t="shared" si="41"/>
        <v/>
      </c>
      <c r="D882" s="2" t="str">
        <f>IF(A882="","",MIN('Loan Inputs'!$B$17,C882+E882)+H882)</f>
        <v/>
      </c>
      <c r="E882" s="2" t="str">
        <f>IF(A882="","",C882*'Loan Inputs'!$B$15)</f>
        <v/>
      </c>
      <c r="F882" s="2" t="str">
        <f t="shared" si="39"/>
        <v/>
      </c>
      <c r="G882" s="2" t="str">
        <f t="shared" si="40"/>
        <v/>
      </c>
      <c r="H882" s="2" t="str">
        <f>IF(A882="","",MIN(0,MAX(0,C882+E882-'Loan Inputs'!$B$17)))</f>
        <v/>
      </c>
    </row>
    <row r="883" spans="1:8" ht="22" customHeight="1">
      <c r="A883" s="1" t="str">
        <f>IF(AND('Loan Inputs'!$B$12,877&lt;=IF('Loan Inputs'!$B$12,'Loan Inputs'!$B$7,0)*'Loan Inputs'!$B$14+0,ISNUMBER(G882),G882&gt;0),877,"")</f>
        <v/>
      </c>
      <c r="B883" s="4" t="str">
        <f>IF(A883="","",IF('Loan Inputs'!$B$14=12,DATE(YEAR('Loan Inputs'!$B$8),MONTH('Loan Inputs'!$B$8)+A883,DAY('Loan Inputs'!$B$8)),'Loan Inputs'!$B$8+A883*IF('Loan Inputs'!$B$14=26,14,7)))</f>
        <v/>
      </c>
      <c r="C883" s="2" t="str">
        <f t="shared" si="41"/>
        <v/>
      </c>
      <c r="D883" s="2" t="str">
        <f>IF(A883="","",MIN('Loan Inputs'!$B$17,C883+E883)+H883)</f>
        <v/>
      </c>
      <c r="E883" s="2" t="str">
        <f>IF(A883="","",C883*'Loan Inputs'!$B$15)</f>
        <v/>
      </c>
      <c r="F883" s="2" t="str">
        <f t="shared" si="39"/>
        <v/>
      </c>
      <c r="G883" s="2" t="str">
        <f t="shared" si="40"/>
        <v/>
      </c>
      <c r="H883" s="2" t="str">
        <f>IF(A883="","",MIN(0,MAX(0,C883+E883-'Loan Inputs'!$B$17)))</f>
        <v/>
      </c>
    </row>
    <row r="884" spans="1:8" ht="22" customHeight="1">
      <c r="A884" s="1" t="str">
        <f>IF(AND('Loan Inputs'!$B$12,878&lt;=IF('Loan Inputs'!$B$12,'Loan Inputs'!$B$7,0)*'Loan Inputs'!$B$14+0,ISNUMBER(G883),G883&gt;0),878,"")</f>
        <v/>
      </c>
      <c r="B884" s="4" t="str">
        <f>IF(A884="","",IF('Loan Inputs'!$B$14=12,DATE(YEAR('Loan Inputs'!$B$8),MONTH('Loan Inputs'!$B$8)+A884,DAY('Loan Inputs'!$B$8)),'Loan Inputs'!$B$8+A884*IF('Loan Inputs'!$B$14=26,14,7)))</f>
        <v/>
      </c>
      <c r="C884" s="2" t="str">
        <f t="shared" si="41"/>
        <v/>
      </c>
      <c r="D884" s="2" t="str">
        <f>IF(A884="","",MIN('Loan Inputs'!$B$17,C884+E884)+H884)</f>
        <v/>
      </c>
      <c r="E884" s="2" t="str">
        <f>IF(A884="","",C884*'Loan Inputs'!$B$15)</f>
        <v/>
      </c>
      <c r="F884" s="2" t="str">
        <f t="shared" si="39"/>
        <v/>
      </c>
      <c r="G884" s="2" t="str">
        <f t="shared" si="40"/>
        <v/>
      </c>
      <c r="H884" s="2" t="str">
        <f>IF(A884="","",MIN(0,MAX(0,C884+E884-'Loan Inputs'!$B$17)))</f>
        <v/>
      </c>
    </row>
    <row r="885" spans="1:8" ht="22" customHeight="1">
      <c r="A885" s="1" t="str">
        <f>IF(AND('Loan Inputs'!$B$12,879&lt;=IF('Loan Inputs'!$B$12,'Loan Inputs'!$B$7,0)*'Loan Inputs'!$B$14+0,ISNUMBER(G884),G884&gt;0),879,"")</f>
        <v/>
      </c>
      <c r="B885" s="4" t="str">
        <f>IF(A885="","",IF('Loan Inputs'!$B$14=12,DATE(YEAR('Loan Inputs'!$B$8),MONTH('Loan Inputs'!$B$8)+A885,DAY('Loan Inputs'!$B$8)),'Loan Inputs'!$B$8+A885*IF('Loan Inputs'!$B$14=26,14,7)))</f>
        <v/>
      </c>
      <c r="C885" s="2" t="str">
        <f t="shared" si="41"/>
        <v/>
      </c>
      <c r="D885" s="2" t="str">
        <f>IF(A885="","",MIN('Loan Inputs'!$B$17,C885+E885)+H885)</f>
        <v/>
      </c>
      <c r="E885" s="2" t="str">
        <f>IF(A885="","",C885*'Loan Inputs'!$B$15)</f>
        <v/>
      </c>
      <c r="F885" s="2" t="str">
        <f t="shared" si="39"/>
        <v/>
      </c>
      <c r="G885" s="2" t="str">
        <f t="shared" si="40"/>
        <v/>
      </c>
      <c r="H885" s="2" t="str">
        <f>IF(A885="","",MIN(0,MAX(0,C885+E885-'Loan Inputs'!$B$17)))</f>
        <v/>
      </c>
    </row>
    <row r="886" spans="1:8" ht="22" customHeight="1">
      <c r="A886" s="1" t="str">
        <f>IF(AND('Loan Inputs'!$B$12,880&lt;=IF('Loan Inputs'!$B$12,'Loan Inputs'!$B$7,0)*'Loan Inputs'!$B$14+0,ISNUMBER(G885),G885&gt;0),880,"")</f>
        <v/>
      </c>
      <c r="B886" s="4" t="str">
        <f>IF(A886="","",IF('Loan Inputs'!$B$14=12,DATE(YEAR('Loan Inputs'!$B$8),MONTH('Loan Inputs'!$B$8)+A886,DAY('Loan Inputs'!$B$8)),'Loan Inputs'!$B$8+A886*IF('Loan Inputs'!$B$14=26,14,7)))</f>
        <v/>
      </c>
      <c r="C886" s="2" t="str">
        <f t="shared" si="41"/>
        <v/>
      </c>
      <c r="D886" s="2" t="str">
        <f>IF(A886="","",MIN('Loan Inputs'!$B$17,C886+E886)+H886)</f>
        <v/>
      </c>
      <c r="E886" s="2" t="str">
        <f>IF(A886="","",C886*'Loan Inputs'!$B$15)</f>
        <v/>
      </c>
      <c r="F886" s="2" t="str">
        <f t="shared" si="39"/>
        <v/>
      </c>
      <c r="G886" s="2" t="str">
        <f t="shared" si="40"/>
        <v/>
      </c>
      <c r="H886" s="2" t="str">
        <f>IF(A886="","",MIN(0,MAX(0,C886+E886-'Loan Inputs'!$B$17)))</f>
        <v/>
      </c>
    </row>
    <row r="887" spans="1:8" ht="22" customHeight="1">
      <c r="A887" s="1" t="str">
        <f>IF(AND('Loan Inputs'!$B$12,881&lt;=IF('Loan Inputs'!$B$12,'Loan Inputs'!$B$7,0)*'Loan Inputs'!$B$14+0,ISNUMBER(G886),G886&gt;0),881,"")</f>
        <v/>
      </c>
      <c r="B887" s="4" t="str">
        <f>IF(A887="","",IF('Loan Inputs'!$B$14=12,DATE(YEAR('Loan Inputs'!$B$8),MONTH('Loan Inputs'!$B$8)+A887,DAY('Loan Inputs'!$B$8)),'Loan Inputs'!$B$8+A887*IF('Loan Inputs'!$B$14=26,14,7)))</f>
        <v/>
      </c>
      <c r="C887" s="2" t="str">
        <f t="shared" si="41"/>
        <v/>
      </c>
      <c r="D887" s="2" t="str">
        <f>IF(A887="","",MIN('Loan Inputs'!$B$17,C887+E887)+H887)</f>
        <v/>
      </c>
      <c r="E887" s="2" t="str">
        <f>IF(A887="","",C887*'Loan Inputs'!$B$15)</f>
        <v/>
      </c>
      <c r="F887" s="2" t="str">
        <f t="shared" si="39"/>
        <v/>
      </c>
      <c r="G887" s="2" t="str">
        <f t="shared" si="40"/>
        <v/>
      </c>
      <c r="H887" s="2" t="str">
        <f>IF(A887="","",MIN(0,MAX(0,C887+E887-'Loan Inputs'!$B$17)))</f>
        <v/>
      </c>
    </row>
    <row r="888" spans="1:8" ht="22" customHeight="1">
      <c r="A888" s="1" t="str">
        <f>IF(AND('Loan Inputs'!$B$12,882&lt;=IF('Loan Inputs'!$B$12,'Loan Inputs'!$B$7,0)*'Loan Inputs'!$B$14+0,ISNUMBER(G887),G887&gt;0),882,"")</f>
        <v/>
      </c>
      <c r="B888" s="4" t="str">
        <f>IF(A888="","",IF('Loan Inputs'!$B$14=12,DATE(YEAR('Loan Inputs'!$B$8),MONTH('Loan Inputs'!$B$8)+A888,DAY('Loan Inputs'!$B$8)),'Loan Inputs'!$B$8+A888*IF('Loan Inputs'!$B$14=26,14,7)))</f>
        <v/>
      </c>
      <c r="C888" s="2" t="str">
        <f t="shared" si="41"/>
        <v/>
      </c>
      <c r="D888" s="2" t="str">
        <f>IF(A888="","",MIN('Loan Inputs'!$B$17,C888+E888)+H888)</f>
        <v/>
      </c>
      <c r="E888" s="2" t="str">
        <f>IF(A888="","",C888*'Loan Inputs'!$B$15)</f>
        <v/>
      </c>
      <c r="F888" s="2" t="str">
        <f t="shared" si="39"/>
        <v/>
      </c>
      <c r="G888" s="2" t="str">
        <f t="shared" si="40"/>
        <v/>
      </c>
      <c r="H888" s="2" t="str">
        <f>IF(A888="","",MIN(0,MAX(0,C888+E888-'Loan Inputs'!$B$17)))</f>
        <v/>
      </c>
    </row>
    <row r="889" spans="1:8" ht="22" customHeight="1">
      <c r="A889" s="1" t="str">
        <f>IF(AND('Loan Inputs'!$B$12,883&lt;=IF('Loan Inputs'!$B$12,'Loan Inputs'!$B$7,0)*'Loan Inputs'!$B$14+0,ISNUMBER(G888),G888&gt;0),883,"")</f>
        <v/>
      </c>
      <c r="B889" s="4" t="str">
        <f>IF(A889="","",IF('Loan Inputs'!$B$14=12,DATE(YEAR('Loan Inputs'!$B$8),MONTH('Loan Inputs'!$B$8)+A889,DAY('Loan Inputs'!$B$8)),'Loan Inputs'!$B$8+A889*IF('Loan Inputs'!$B$14=26,14,7)))</f>
        <v/>
      </c>
      <c r="C889" s="2" t="str">
        <f t="shared" si="41"/>
        <v/>
      </c>
      <c r="D889" s="2" t="str">
        <f>IF(A889="","",MIN('Loan Inputs'!$B$17,C889+E889)+H889)</f>
        <v/>
      </c>
      <c r="E889" s="2" t="str">
        <f>IF(A889="","",C889*'Loan Inputs'!$B$15)</f>
        <v/>
      </c>
      <c r="F889" s="2" t="str">
        <f t="shared" si="39"/>
        <v/>
      </c>
      <c r="G889" s="2" t="str">
        <f t="shared" si="40"/>
        <v/>
      </c>
      <c r="H889" s="2" t="str">
        <f>IF(A889="","",MIN(0,MAX(0,C889+E889-'Loan Inputs'!$B$17)))</f>
        <v/>
      </c>
    </row>
    <row r="890" spans="1:8" ht="22" customHeight="1">
      <c r="A890" s="1" t="str">
        <f>IF(AND('Loan Inputs'!$B$12,884&lt;=IF('Loan Inputs'!$B$12,'Loan Inputs'!$B$7,0)*'Loan Inputs'!$B$14+0,ISNUMBER(G889),G889&gt;0),884,"")</f>
        <v/>
      </c>
      <c r="B890" s="4" t="str">
        <f>IF(A890="","",IF('Loan Inputs'!$B$14=12,DATE(YEAR('Loan Inputs'!$B$8),MONTH('Loan Inputs'!$B$8)+A890,DAY('Loan Inputs'!$B$8)),'Loan Inputs'!$B$8+A890*IF('Loan Inputs'!$B$14=26,14,7)))</f>
        <v/>
      </c>
      <c r="C890" s="2" t="str">
        <f t="shared" si="41"/>
        <v/>
      </c>
      <c r="D890" s="2" t="str">
        <f>IF(A890="","",MIN('Loan Inputs'!$B$17,C890+E890)+H890)</f>
        <v/>
      </c>
      <c r="E890" s="2" t="str">
        <f>IF(A890="","",C890*'Loan Inputs'!$B$15)</f>
        <v/>
      </c>
      <c r="F890" s="2" t="str">
        <f t="shared" si="39"/>
        <v/>
      </c>
      <c r="G890" s="2" t="str">
        <f t="shared" si="40"/>
        <v/>
      </c>
      <c r="H890" s="2" t="str">
        <f>IF(A890="","",MIN(0,MAX(0,C890+E890-'Loan Inputs'!$B$17)))</f>
        <v/>
      </c>
    </row>
    <row r="891" spans="1:8" ht="22" customHeight="1">
      <c r="A891" s="1" t="str">
        <f>IF(AND('Loan Inputs'!$B$12,885&lt;=IF('Loan Inputs'!$B$12,'Loan Inputs'!$B$7,0)*'Loan Inputs'!$B$14+0,ISNUMBER(G890),G890&gt;0),885,"")</f>
        <v/>
      </c>
      <c r="B891" s="4" t="str">
        <f>IF(A891="","",IF('Loan Inputs'!$B$14=12,DATE(YEAR('Loan Inputs'!$B$8),MONTH('Loan Inputs'!$B$8)+A891,DAY('Loan Inputs'!$B$8)),'Loan Inputs'!$B$8+A891*IF('Loan Inputs'!$B$14=26,14,7)))</f>
        <v/>
      </c>
      <c r="C891" s="2" t="str">
        <f t="shared" si="41"/>
        <v/>
      </c>
      <c r="D891" s="2" t="str">
        <f>IF(A891="","",MIN('Loan Inputs'!$B$17,C891+E891)+H891)</f>
        <v/>
      </c>
      <c r="E891" s="2" t="str">
        <f>IF(A891="","",C891*'Loan Inputs'!$B$15)</f>
        <v/>
      </c>
      <c r="F891" s="2" t="str">
        <f t="shared" si="39"/>
        <v/>
      </c>
      <c r="G891" s="2" t="str">
        <f t="shared" si="40"/>
        <v/>
      </c>
      <c r="H891" s="2" t="str">
        <f>IF(A891="","",MIN(0,MAX(0,C891+E891-'Loan Inputs'!$B$17)))</f>
        <v/>
      </c>
    </row>
    <row r="892" spans="1:8" ht="22" customHeight="1">
      <c r="A892" s="1" t="str">
        <f>IF(AND('Loan Inputs'!$B$12,886&lt;=IF('Loan Inputs'!$B$12,'Loan Inputs'!$B$7,0)*'Loan Inputs'!$B$14+0,ISNUMBER(G891),G891&gt;0),886,"")</f>
        <v/>
      </c>
      <c r="B892" s="4" t="str">
        <f>IF(A892="","",IF('Loan Inputs'!$B$14=12,DATE(YEAR('Loan Inputs'!$B$8),MONTH('Loan Inputs'!$B$8)+A892,DAY('Loan Inputs'!$B$8)),'Loan Inputs'!$B$8+A892*IF('Loan Inputs'!$B$14=26,14,7)))</f>
        <v/>
      </c>
      <c r="C892" s="2" t="str">
        <f t="shared" si="41"/>
        <v/>
      </c>
      <c r="D892" s="2" t="str">
        <f>IF(A892="","",MIN('Loan Inputs'!$B$17,C892+E892)+H892)</f>
        <v/>
      </c>
      <c r="E892" s="2" t="str">
        <f>IF(A892="","",C892*'Loan Inputs'!$B$15)</f>
        <v/>
      </c>
      <c r="F892" s="2" t="str">
        <f t="shared" si="39"/>
        <v/>
      </c>
      <c r="G892" s="2" t="str">
        <f t="shared" si="40"/>
        <v/>
      </c>
      <c r="H892" s="2" t="str">
        <f>IF(A892="","",MIN(0,MAX(0,C892+E892-'Loan Inputs'!$B$17)))</f>
        <v/>
      </c>
    </row>
    <row r="893" spans="1:8" ht="22" customHeight="1">
      <c r="A893" s="1" t="str">
        <f>IF(AND('Loan Inputs'!$B$12,887&lt;=IF('Loan Inputs'!$B$12,'Loan Inputs'!$B$7,0)*'Loan Inputs'!$B$14+0,ISNUMBER(G892),G892&gt;0),887,"")</f>
        <v/>
      </c>
      <c r="B893" s="4" t="str">
        <f>IF(A893="","",IF('Loan Inputs'!$B$14=12,DATE(YEAR('Loan Inputs'!$B$8),MONTH('Loan Inputs'!$B$8)+A893,DAY('Loan Inputs'!$B$8)),'Loan Inputs'!$B$8+A893*IF('Loan Inputs'!$B$14=26,14,7)))</f>
        <v/>
      </c>
      <c r="C893" s="2" t="str">
        <f t="shared" si="41"/>
        <v/>
      </c>
      <c r="D893" s="2" t="str">
        <f>IF(A893="","",MIN('Loan Inputs'!$B$17,C893+E893)+H893)</f>
        <v/>
      </c>
      <c r="E893" s="2" t="str">
        <f>IF(A893="","",C893*'Loan Inputs'!$B$15)</f>
        <v/>
      </c>
      <c r="F893" s="2" t="str">
        <f t="shared" si="39"/>
        <v/>
      </c>
      <c r="G893" s="2" t="str">
        <f t="shared" si="40"/>
        <v/>
      </c>
      <c r="H893" s="2" t="str">
        <f>IF(A893="","",MIN(0,MAX(0,C893+E893-'Loan Inputs'!$B$17)))</f>
        <v/>
      </c>
    </row>
    <row r="894" spans="1:8" ht="22" customHeight="1">
      <c r="A894" s="1" t="str">
        <f>IF(AND('Loan Inputs'!$B$12,888&lt;=IF('Loan Inputs'!$B$12,'Loan Inputs'!$B$7,0)*'Loan Inputs'!$B$14+0,ISNUMBER(G893),G893&gt;0),888,"")</f>
        <v/>
      </c>
      <c r="B894" s="4" t="str">
        <f>IF(A894="","",IF('Loan Inputs'!$B$14=12,DATE(YEAR('Loan Inputs'!$B$8),MONTH('Loan Inputs'!$B$8)+A894,DAY('Loan Inputs'!$B$8)),'Loan Inputs'!$B$8+A894*IF('Loan Inputs'!$B$14=26,14,7)))</f>
        <v/>
      </c>
      <c r="C894" s="2" t="str">
        <f t="shared" si="41"/>
        <v/>
      </c>
      <c r="D894" s="2" t="str">
        <f>IF(A894="","",MIN('Loan Inputs'!$B$17,C894+E894)+H894)</f>
        <v/>
      </c>
      <c r="E894" s="2" t="str">
        <f>IF(A894="","",C894*'Loan Inputs'!$B$15)</f>
        <v/>
      </c>
      <c r="F894" s="2" t="str">
        <f t="shared" si="39"/>
        <v/>
      </c>
      <c r="G894" s="2" t="str">
        <f t="shared" si="40"/>
        <v/>
      </c>
      <c r="H894" s="2" t="str">
        <f>IF(A894="","",MIN(0,MAX(0,C894+E894-'Loan Inputs'!$B$17)))</f>
        <v/>
      </c>
    </row>
    <row r="895" spans="1:8" ht="22" customHeight="1">
      <c r="A895" s="1" t="str">
        <f>IF(AND('Loan Inputs'!$B$12,889&lt;=IF('Loan Inputs'!$B$12,'Loan Inputs'!$B$7,0)*'Loan Inputs'!$B$14+0,ISNUMBER(G894),G894&gt;0),889,"")</f>
        <v/>
      </c>
      <c r="B895" s="4" t="str">
        <f>IF(A895="","",IF('Loan Inputs'!$B$14=12,DATE(YEAR('Loan Inputs'!$B$8),MONTH('Loan Inputs'!$B$8)+A895,DAY('Loan Inputs'!$B$8)),'Loan Inputs'!$B$8+A895*IF('Loan Inputs'!$B$14=26,14,7)))</f>
        <v/>
      </c>
      <c r="C895" s="2" t="str">
        <f t="shared" si="41"/>
        <v/>
      </c>
      <c r="D895" s="2" t="str">
        <f>IF(A895="","",MIN('Loan Inputs'!$B$17,C895+E895)+H895)</f>
        <v/>
      </c>
      <c r="E895" s="2" t="str">
        <f>IF(A895="","",C895*'Loan Inputs'!$B$15)</f>
        <v/>
      </c>
      <c r="F895" s="2" t="str">
        <f t="shared" si="39"/>
        <v/>
      </c>
      <c r="G895" s="2" t="str">
        <f t="shared" si="40"/>
        <v/>
      </c>
      <c r="H895" s="2" t="str">
        <f>IF(A895="","",MIN(0,MAX(0,C895+E895-'Loan Inputs'!$B$17)))</f>
        <v/>
      </c>
    </row>
    <row r="896" spans="1:8" ht="22" customHeight="1">
      <c r="A896" s="1" t="str">
        <f>IF(AND('Loan Inputs'!$B$12,890&lt;=IF('Loan Inputs'!$B$12,'Loan Inputs'!$B$7,0)*'Loan Inputs'!$B$14+0,ISNUMBER(G895),G895&gt;0),890,"")</f>
        <v/>
      </c>
      <c r="B896" s="4" t="str">
        <f>IF(A896="","",IF('Loan Inputs'!$B$14=12,DATE(YEAR('Loan Inputs'!$B$8),MONTH('Loan Inputs'!$B$8)+A896,DAY('Loan Inputs'!$B$8)),'Loan Inputs'!$B$8+A896*IF('Loan Inputs'!$B$14=26,14,7)))</f>
        <v/>
      </c>
      <c r="C896" s="2" t="str">
        <f t="shared" si="41"/>
        <v/>
      </c>
      <c r="D896" s="2" t="str">
        <f>IF(A896="","",MIN('Loan Inputs'!$B$17,C896+E896)+H896)</f>
        <v/>
      </c>
      <c r="E896" s="2" t="str">
        <f>IF(A896="","",C896*'Loan Inputs'!$B$15)</f>
        <v/>
      </c>
      <c r="F896" s="2" t="str">
        <f t="shared" si="39"/>
        <v/>
      </c>
      <c r="G896" s="2" t="str">
        <f t="shared" si="40"/>
        <v/>
      </c>
      <c r="H896" s="2" t="str">
        <f>IF(A896="","",MIN(0,MAX(0,C896+E896-'Loan Inputs'!$B$17)))</f>
        <v/>
      </c>
    </row>
    <row r="897" spans="1:8" ht="22" customHeight="1">
      <c r="A897" s="1" t="str">
        <f>IF(AND('Loan Inputs'!$B$12,891&lt;=IF('Loan Inputs'!$B$12,'Loan Inputs'!$B$7,0)*'Loan Inputs'!$B$14+0,ISNUMBER(G896),G896&gt;0),891,"")</f>
        <v/>
      </c>
      <c r="B897" s="4" t="str">
        <f>IF(A897="","",IF('Loan Inputs'!$B$14=12,DATE(YEAR('Loan Inputs'!$B$8),MONTH('Loan Inputs'!$B$8)+A897,DAY('Loan Inputs'!$B$8)),'Loan Inputs'!$B$8+A897*IF('Loan Inputs'!$B$14=26,14,7)))</f>
        <v/>
      </c>
      <c r="C897" s="2" t="str">
        <f t="shared" si="41"/>
        <v/>
      </c>
      <c r="D897" s="2" t="str">
        <f>IF(A897="","",MIN('Loan Inputs'!$B$17,C897+E897)+H897)</f>
        <v/>
      </c>
      <c r="E897" s="2" t="str">
        <f>IF(A897="","",C897*'Loan Inputs'!$B$15)</f>
        <v/>
      </c>
      <c r="F897" s="2" t="str">
        <f t="shared" si="39"/>
        <v/>
      </c>
      <c r="G897" s="2" t="str">
        <f t="shared" si="40"/>
        <v/>
      </c>
      <c r="H897" s="2" t="str">
        <f>IF(A897="","",MIN(0,MAX(0,C897+E897-'Loan Inputs'!$B$17)))</f>
        <v/>
      </c>
    </row>
    <row r="898" spans="1:8" ht="22" customHeight="1">
      <c r="A898" s="1" t="str">
        <f>IF(AND('Loan Inputs'!$B$12,892&lt;=IF('Loan Inputs'!$B$12,'Loan Inputs'!$B$7,0)*'Loan Inputs'!$B$14+0,ISNUMBER(G897),G897&gt;0),892,"")</f>
        <v/>
      </c>
      <c r="B898" s="4" t="str">
        <f>IF(A898="","",IF('Loan Inputs'!$B$14=12,DATE(YEAR('Loan Inputs'!$B$8),MONTH('Loan Inputs'!$B$8)+A898,DAY('Loan Inputs'!$B$8)),'Loan Inputs'!$B$8+A898*IF('Loan Inputs'!$B$14=26,14,7)))</f>
        <v/>
      </c>
      <c r="C898" s="2" t="str">
        <f t="shared" si="41"/>
        <v/>
      </c>
      <c r="D898" s="2" t="str">
        <f>IF(A898="","",MIN('Loan Inputs'!$B$17,C898+E898)+H898)</f>
        <v/>
      </c>
      <c r="E898" s="2" t="str">
        <f>IF(A898="","",C898*'Loan Inputs'!$B$15)</f>
        <v/>
      </c>
      <c r="F898" s="2" t="str">
        <f t="shared" si="39"/>
        <v/>
      </c>
      <c r="G898" s="2" t="str">
        <f t="shared" si="40"/>
        <v/>
      </c>
      <c r="H898" s="2" t="str">
        <f>IF(A898="","",MIN(0,MAX(0,C898+E898-'Loan Inputs'!$B$17)))</f>
        <v/>
      </c>
    </row>
    <row r="899" spans="1:8" ht="22" customHeight="1">
      <c r="A899" s="1" t="str">
        <f>IF(AND('Loan Inputs'!$B$12,893&lt;=IF('Loan Inputs'!$B$12,'Loan Inputs'!$B$7,0)*'Loan Inputs'!$B$14+0,ISNUMBER(G898),G898&gt;0),893,"")</f>
        <v/>
      </c>
      <c r="B899" s="4" t="str">
        <f>IF(A899="","",IF('Loan Inputs'!$B$14=12,DATE(YEAR('Loan Inputs'!$B$8),MONTH('Loan Inputs'!$B$8)+A899,DAY('Loan Inputs'!$B$8)),'Loan Inputs'!$B$8+A899*IF('Loan Inputs'!$B$14=26,14,7)))</f>
        <v/>
      </c>
      <c r="C899" s="2" t="str">
        <f t="shared" si="41"/>
        <v/>
      </c>
      <c r="D899" s="2" t="str">
        <f>IF(A899="","",MIN('Loan Inputs'!$B$17,C899+E899)+H899)</f>
        <v/>
      </c>
      <c r="E899" s="2" t="str">
        <f>IF(A899="","",C899*'Loan Inputs'!$B$15)</f>
        <v/>
      </c>
      <c r="F899" s="2" t="str">
        <f t="shared" si="39"/>
        <v/>
      </c>
      <c r="G899" s="2" t="str">
        <f t="shared" si="40"/>
        <v/>
      </c>
      <c r="H899" s="2" t="str">
        <f>IF(A899="","",MIN(0,MAX(0,C899+E899-'Loan Inputs'!$B$17)))</f>
        <v/>
      </c>
    </row>
    <row r="900" spans="1:8" ht="22" customHeight="1">
      <c r="A900" s="1" t="str">
        <f>IF(AND('Loan Inputs'!$B$12,894&lt;=IF('Loan Inputs'!$B$12,'Loan Inputs'!$B$7,0)*'Loan Inputs'!$B$14+0,ISNUMBER(G899),G899&gt;0),894,"")</f>
        <v/>
      </c>
      <c r="B900" s="4" t="str">
        <f>IF(A900="","",IF('Loan Inputs'!$B$14=12,DATE(YEAR('Loan Inputs'!$B$8),MONTH('Loan Inputs'!$B$8)+A900,DAY('Loan Inputs'!$B$8)),'Loan Inputs'!$B$8+A900*IF('Loan Inputs'!$B$14=26,14,7)))</f>
        <v/>
      </c>
      <c r="C900" s="2" t="str">
        <f t="shared" si="41"/>
        <v/>
      </c>
      <c r="D900" s="2" t="str">
        <f>IF(A900="","",MIN('Loan Inputs'!$B$17,C900+E900)+H900)</f>
        <v/>
      </c>
      <c r="E900" s="2" t="str">
        <f>IF(A900="","",C900*'Loan Inputs'!$B$15)</f>
        <v/>
      </c>
      <c r="F900" s="2" t="str">
        <f t="shared" si="39"/>
        <v/>
      </c>
      <c r="G900" s="2" t="str">
        <f t="shared" si="40"/>
        <v/>
      </c>
      <c r="H900" s="2" t="str">
        <f>IF(A900="","",MIN(0,MAX(0,C900+E900-'Loan Inputs'!$B$17)))</f>
        <v/>
      </c>
    </row>
    <row r="901" spans="1:8" ht="22" customHeight="1">
      <c r="A901" s="1" t="str">
        <f>IF(AND('Loan Inputs'!$B$12,895&lt;=IF('Loan Inputs'!$B$12,'Loan Inputs'!$B$7,0)*'Loan Inputs'!$B$14+0,ISNUMBER(G900),G900&gt;0),895,"")</f>
        <v/>
      </c>
      <c r="B901" s="4" t="str">
        <f>IF(A901="","",IF('Loan Inputs'!$B$14=12,DATE(YEAR('Loan Inputs'!$B$8),MONTH('Loan Inputs'!$B$8)+A901,DAY('Loan Inputs'!$B$8)),'Loan Inputs'!$B$8+A901*IF('Loan Inputs'!$B$14=26,14,7)))</f>
        <v/>
      </c>
      <c r="C901" s="2" t="str">
        <f t="shared" si="41"/>
        <v/>
      </c>
      <c r="D901" s="2" t="str">
        <f>IF(A901="","",MIN('Loan Inputs'!$B$17,C901+E901)+H901)</f>
        <v/>
      </c>
      <c r="E901" s="2" t="str">
        <f>IF(A901="","",C901*'Loan Inputs'!$B$15)</f>
        <v/>
      </c>
      <c r="F901" s="2" t="str">
        <f t="shared" si="39"/>
        <v/>
      </c>
      <c r="G901" s="2" t="str">
        <f t="shared" si="40"/>
        <v/>
      </c>
      <c r="H901" s="2" t="str">
        <f>IF(A901="","",MIN(0,MAX(0,C901+E901-'Loan Inputs'!$B$17)))</f>
        <v/>
      </c>
    </row>
    <row r="902" spans="1:8" ht="22" customHeight="1">
      <c r="A902" s="1" t="str">
        <f>IF(AND('Loan Inputs'!$B$12,896&lt;=IF('Loan Inputs'!$B$12,'Loan Inputs'!$B$7,0)*'Loan Inputs'!$B$14+0,ISNUMBER(G901),G901&gt;0),896,"")</f>
        <v/>
      </c>
      <c r="B902" s="4" t="str">
        <f>IF(A902="","",IF('Loan Inputs'!$B$14=12,DATE(YEAR('Loan Inputs'!$B$8),MONTH('Loan Inputs'!$B$8)+A902,DAY('Loan Inputs'!$B$8)),'Loan Inputs'!$B$8+A902*IF('Loan Inputs'!$B$14=26,14,7)))</f>
        <v/>
      </c>
      <c r="C902" s="2" t="str">
        <f t="shared" si="41"/>
        <v/>
      </c>
      <c r="D902" s="2" t="str">
        <f>IF(A902="","",MIN('Loan Inputs'!$B$17,C902+E902)+H902)</f>
        <v/>
      </c>
      <c r="E902" s="2" t="str">
        <f>IF(A902="","",C902*'Loan Inputs'!$B$15)</f>
        <v/>
      </c>
      <c r="F902" s="2" t="str">
        <f t="shared" si="39"/>
        <v/>
      </c>
      <c r="G902" s="2" t="str">
        <f t="shared" si="40"/>
        <v/>
      </c>
      <c r="H902" s="2" t="str">
        <f>IF(A902="","",MIN(0,MAX(0,C902+E902-'Loan Inputs'!$B$17)))</f>
        <v/>
      </c>
    </row>
    <row r="903" spans="1:8" ht="22" customHeight="1">
      <c r="A903" s="1" t="str">
        <f>IF(AND('Loan Inputs'!$B$12,897&lt;=IF('Loan Inputs'!$B$12,'Loan Inputs'!$B$7,0)*'Loan Inputs'!$B$14+0,ISNUMBER(G902),G902&gt;0),897,"")</f>
        <v/>
      </c>
      <c r="B903" s="4" t="str">
        <f>IF(A903="","",IF('Loan Inputs'!$B$14=12,DATE(YEAR('Loan Inputs'!$B$8),MONTH('Loan Inputs'!$B$8)+A903,DAY('Loan Inputs'!$B$8)),'Loan Inputs'!$B$8+A903*IF('Loan Inputs'!$B$14=26,14,7)))</f>
        <v/>
      </c>
      <c r="C903" s="2" t="str">
        <f t="shared" si="41"/>
        <v/>
      </c>
      <c r="D903" s="2" t="str">
        <f>IF(A903="","",MIN('Loan Inputs'!$B$17,C903+E903)+H903)</f>
        <v/>
      </c>
      <c r="E903" s="2" t="str">
        <f>IF(A903="","",C903*'Loan Inputs'!$B$15)</f>
        <v/>
      </c>
      <c r="F903" s="2" t="str">
        <f t="shared" ref="F903:F966" si="42">IF(A903="","",MIN(C903,D903-E903))</f>
        <v/>
      </c>
      <c r="G903" s="2" t="str">
        <f t="shared" ref="G903:G966" si="43">IF(A903="","",IF(C903-F903&lt;0.01,0,MAX(0,C903-F903)))</f>
        <v/>
      </c>
      <c r="H903" s="2" t="str">
        <f>IF(A903="","",MIN(0,MAX(0,C903+E903-'Loan Inputs'!$B$17)))</f>
        <v/>
      </c>
    </row>
    <row r="904" spans="1:8" ht="22" customHeight="1">
      <c r="A904" s="1" t="str">
        <f>IF(AND('Loan Inputs'!$B$12,898&lt;=IF('Loan Inputs'!$B$12,'Loan Inputs'!$B$7,0)*'Loan Inputs'!$B$14+0,ISNUMBER(G903),G903&gt;0),898,"")</f>
        <v/>
      </c>
      <c r="B904" s="4" t="str">
        <f>IF(A904="","",IF('Loan Inputs'!$B$14=12,DATE(YEAR('Loan Inputs'!$B$8),MONTH('Loan Inputs'!$B$8)+A904,DAY('Loan Inputs'!$B$8)),'Loan Inputs'!$B$8+A904*IF('Loan Inputs'!$B$14=26,14,7)))</f>
        <v/>
      </c>
      <c r="C904" s="2" t="str">
        <f t="shared" ref="C904:C967" si="44">IF(A904="","",G903)</f>
        <v/>
      </c>
      <c r="D904" s="2" t="str">
        <f>IF(A904="","",MIN('Loan Inputs'!$B$17,C904+E904)+H904)</f>
        <v/>
      </c>
      <c r="E904" s="2" t="str">
        <f>IF(A904="","",C904*'Loan Inputs'!$B$15)</f>
        <v/>
      </c>
      <c r="F904" s="2" t="str">
        <f t="shared" si="42"/>
        <v/>
      </c>
      <c r="G904" s="2" t="str">
        <f t="shared" si="43"/>
        <v/>
      </c>
      <c r="H904" s="2" t="str">
        <f>IF(A904="","",MIN(0,MAX(0,C904+E904-'Loan Inputs'!$B$17)))</f>
        <v/>
      </c>
    </row>
    <row r="905" spans="1:8" ht="22" customHeight="1">
      <c r="A905" s="1" t="str">
        <f>IF(AND('Loan Inputs'!$B$12,899&lt;=IF('Loan Inputs'!$B$12,'Loan Inputs'!$B$7,0)*'Loan Inputs'!$B$14+0,ISNUMBER(G904),G904&gt;0),899,"")</f>
        <v/>
      </c>
      <c r="B905" s="4" t="str">
        <f>IF(A905="","",IF('Loan Inputs'!$B$14=12,DATE(YEAR('Loan Inputs'!$B$8),MONTH('Loan Inputs'!$B$8)+A905,DAY('Loan Inputs'!$B$8)),'Loan Inputs'!$B$8+A905*IF('Loan Inputs'!$B$14=26,14,7)))</f>
        <v/>
      </c>
      <c r="C905" s="2" t="str">
        <f t="shared" si="44"/>
        <v/>
      </c>
      <c r="D905" s="2" t="str">
        <f>IF(A905="","",MIN('Loan Inputs'!$B$17,C905+E905)+H905)</f>
        <v/>
      </c>
      <c r="E905" s="2" t="str">
        <f>IF(A905="","",C905*'Loan Inputs'!$B$15)</f>
        <v/>
      </c>
      <c r="F905" s="2" t="str">
        <f t="shared" si="42"/>
        <v/>
      </c>
      <c r="G905" s="2" t="str">
        <f t="shared" si="43"/>
        <v/>
      </c>
      <c r="H905" s="2" t="str">
        <f>IF(A905="","",MIN(0,MAX(0,C905+E905-'Loan Inputs'!$B$17)))</f>
        <v/>
      </c>
    </row>
    <row r="906" spans="1:8" ht="22" customHeight="1">
      <c r="A906" s="1" t="str">
        <f>IF(AND('Loan Inputs'!$B$12,900&lt;=IF('Loan Inputs'!$B$12,'Loan Inputs'!$B$7,0)*'Loan Inputs'!$B$14+0,ISNUMBER(G905),G905&gt;0),900,"")</f>
        <v/>
      </c>
      <c r="B906" s="4" t="str">
        <f>IF(A906="","",IF('Loan Inputs'!$B$14=12,DATE(YEAR('Loan Inputs'!$B$8),MONTH('Loan Inputs'!$B$8)+A906,DAY('Loan Inputs'!$B$8)),'Loan Inputs'!$B$8+A906*IF('Loan Inputs'!$B$14=26,14,7)))</f>
        <v/>
      </c>
      <c r="C906" s="2" t="str">
        <f t="shared" si="44"/>
        <v/>
      </c>
      <c r="D906" s="2" t="str">
        <f>IF(A906="","",MIN('Loan Inputs'!$B$17,C906+E906)+H906)</f>
        <v/>
      </c>
      <c r="E906" s="2" t="str">
        <f>IF(A906="","",C906*'Loan Inputs'!$B$15)</f>
        <v/>
      </c>
      <c r="F906" s="2" t="str">
        <f t="shared" si="42"/>
        <v/>
      </c>
      <c r="G906" s="2" t="str">
        <f t="shared" si="43"/>
        <v/>
      </c>
      <c r="H906" s="2" t="str">
        <f>IF(A906="","",MIN(0,MAX(0,C906+E906-'Loan Inputs'!$B$17)))</f>
        <v/>
      </c>
    </row>
    <row r="907" spans="1:8" ht="22" customHeight="1">
      <c r="A907" s="1" t="str">
        <f>IF(AND('Loan Inputs'!$B$12,901&lt;=IF('Loan Inputs'!$B$12,'Loan Inputs'!$B$7,0)*'Loan Inputs'!$B$14+0,ISNUMBER(G906),G906&gt;0),901,"")</f>
        <v/>
      </c>
      <c r="B907" s="4" t="str">
        <f>IF(A907="","",IF('Loan Inputs'!$B$14=12,DATE(YEAR('Loan Inputs'!$B$8),MONTH('Loan Inputs'!$B$8)+A907,DAY('Loan Inputs'!$B$8)),'Loan Inputs'!$B$8+A907*IF('Loan Inputs'!$B$14=26,14,7)))</f>
        <v/>
      </c>
      <c r="C907" s="2" t="str">
        <f t="shared" si="44"/>
        <v/>
      </c>
      <c r="D907" s="2" t="str">
        <f>IF(A907="","",MIN('Loan Inputs'!$B$17,C907+E907)+H907)</f>
        <v/>
      </c>
      <c r="E907" s="2" t="str">
        <f>IF(A907="","",C907*'Loan Inputs'!$B$15)</f>
        <v/>
      </c>
      <c r="F907" s="2" t="str">
        <f t="shared" si="42"/>
        <v/>
      </c>
      <c r="G907" s="2" t="str">
        <f t="shared" si="43"/>
        <v/>
      </c>
      <c r="H907" s="2" t="str">
        <f>IF(A907="","",MIN(0,MAX(0,C907+E907-'Loan Inputs'!$B$17)))</f>
        <v/>
      </c>
    </row>
    <row r="908" spans="1:8" ht="22" customHeight="1">
      <c r="A908" s="1" t="str">
        <f>IF(AND('Loan Inputs'!$B$12,902&lt;=IF('Loan Inputs'!$B$12,'Loan Inputs'!$B$7,0)*'Loan Inputs'!$B$14+0,ISNUMBER(G907),G907&gt;0),902,"")</f>
        <v/>
      </c>
      <c r="B908" s="4" t="str">
        <f>IF(A908="","",IF('Loan Inputs'!$B$14=12,DATE(YEAR('Loan Inputs'!$B$8),MONTH('Loan Inputs'!$B$8)+A908,DAY('Loan Inputs'!$B$8)),'Loan Inputs'!$B$8+A908*IF('Loan Inputs'!$B$14=26,14,7)))</f>
        <v/>
      </c>
      <c r="C908" s="2" t="str">
        <f t="shared" si="44"/>
        <v/>
      </c>
      <c r="D908" s="2" t="str">
        <f>IF(A908="","",MIN('Loan Inputs'!$B$17,C908+E908)+H908)</f>
        <v/>
      </c>
      <c r="E908" s="2" t="str">
        <f>IF(A908="","",C908*'Loan Inputs'!$B$15)</f>
        <v/>
      </c>
      <c r="F908" s="2" t="str">
        <f t="shared" si="42"/>
        <v/>
      </c>
      <c r="G908" s="2" t="str">
        <f t="shared" si="43"/>
        <v/>
      </c>
      <c r="H908" s="2" t="str">
        <f>IF(A908="","",MIN(0,MAX(0,C908+E908-'Loan Inputs'!$B$17)))</f>
        <v/>
      </c>
    </row>
    <row r="909" spans="1:8" ht="22" customHeight="1">
      <c r="A909" s="1" t="str">
        <f>IF(AND('Loan Inputs'!$B$12,903&lt;=IF('Loan Inputs'!$B$12,'Loan Inputs'!$B$7,0)*'Loan Inputs'!$B$14+0,ISNUMBER(G908),G908&gt;0),903,"")</f>
        <v/>
      </c>
      <c r="B909" s="4" t="str">
        <f>IF(A909="","",IF('Loan Inputs'!$B$14=12,DATE(YEAR('Loan Inputs'!$B$8),MONTH('Loan Inputs'!$B$8)+A909,DAY('Loan Inputs'!$B$8)),'Loan Inputs'!$B$8+A909*IF('Loan Inputs'!$B$14=26,14,7)))</f>
        <v/>
      </c>
      <c r="C909" s="2" t="str">
        <f t="shared" si="44"/>
        <v/>
      </c>
      <c r="D909" s="2" t="str">
        <f>IF(A909="","",MIN('Loan Inputs'!$B$17,C909+E909)+H909)</f>
        <v/>
      </c>
      <c r="E909" s="2" t="str">
        <f>IF(A909="","",C909*'Loan Inputs'!$B$15)</f>
        <v/>
      </c>
      <c r="F909" s="2" t="str">
        <f t="shared" si="42"/>
        <v/>
      </c>
      <c r="G909" s="2" t="str">
        <f t="shared" si="43"/>
        <v/>
      </c>
      <c r="H909" s="2" t="str">
        <f>IF(A909="","",MIN(0,MAX(0,C909+E909-'Loan Inputs'!$B$17)))</f>
        <v/>
      </c>
    </row>
    <row r="910" spans="1:8" ht="22" customHeight="1">
      <c r="A910" s="1" t="str">
        <f>IF(AND('Loan Inputs'!$B$12,904&lt;=IF('Loan Inputs'!$B$12,'Loan Inputs'!$B$7,0)*'Loan Inputs'!$B$14+0,ISNUMBER(G909),G909&gt;0),904,"")</f>
        <v/>
      </c>
      <c r="B910" s="4" t="str">
        <f>IF(A910="","",IF('Loan Inputs'!$B$14=12,DATE(YEAR('Loan Inputs'!$B$8),MONTH('Loan Inputs'!$B$8)+A910,DAY('Loan Inputs'!$B$8)),'Loan Inputs'!$B$8+A910*IF('Loan Inputs'!$B$14=26,14,7)))</f>
        <v/>
      </c>
      <c r="C910" s="2" t="str">
        <f t="shared" si="44"/>
        <v/>
      </c>
      <c r="D910" s="2" t="str">
        <f>IF(A910="","",MIN('Loan Inputs'!$B$17,C910+E910)+H910)</f>
        <v/>
      </c>
      <c r="E910" s="2" t="str">
        <f>IF(A910="","",C910*'Loan Inputs'!$B$15)</f>
        <v/>
      </c>
      <c r="F910" s="2" t="str">
        <f t="shared" si="42"/>
        <v/>
      </c>
      <c r="G910" s="2" t="str">
        <f t="shared" si="43"/>
        <v/>
      </c>
      <c r="H910" s="2" t="str">
        <f>IF(A910="","",MIN(0,MAX(0,C910+E910-'Loan Inputs'!$B$17)))</f>
        <v/>
      </c>
    </row>
    <row r="911" spans="1:8" ht="22" customHeight="1">
      <c r="A911" s="1" t="str">
        <f>IF(AND('Loan Inputs'!$B$12,905&lt;=IF('Loan Inputs'!$B$12,'Loan Inputs'!$B$7,0)*'Loan Inputs'!$B$14+0,ISNUMBER(G910),G910&gt;0),905,"")</f>
        <v/>
      </c>
      <c r="B911" s="4" t="str">
        <f>IF(A911="","",IF('Loan Inputs'!$B$14=12,DATE(YEAR('Loan Inputs'!$B$8),MONTH('Loan Inputs'!$B$8)+A911,DAY('Loan Inputs'!$B$8)),'Loan Inputs'!$B$8+A911*IF('Loan Inputs'!$B$14=26,14,7)))</f>
        <v/>
      </c>
      <c r="C911" s="2" t="str">
        <f t="shared" si="44"/>
        <v/>
      </c>
      <c r="D911" s="2" t="str">
        <f>IF(A911="","",MIN('Loan Inputs'!$B$17,C911+E911)+H911)</f>
        <v/>
      </c>
      <c r="E911" s="2" t="str">
        <f>IF(A911="","",C911*'Loan Inputs'!$B$15)</f>
        <v/>
      </c>
      <c r="F911" s="2" t="str">
        <f t="shared" si="42"/>
        <v/>
      </c>
      <c r="G911" s="2" t="str">
        <f t="shared" si="43"/>
        <v/>
      </c>
      <c r="H911" s="2" t="str">
        <f>IF(A911="","",MIN(0,MAX(0,C911+E911-'Loan Inputs'!$B$17)))</f>
        <v/>
      </c>
    </row>
    <row r="912" spans="1:8" ht="22" customHeight="1">
      <c r="A912" s="1" t="str">
        <f>IF(AND('Loan Inputs'!$B$12,906&lt;=IF('Loan Inputs'!$B$12,'Loan Inputs'!$B$7,0)*'Loan Inputs'!$B$14+0,ISNUMBER(G911),G911&gt;0),906,"")</f>
        <v/>
      </c>
      <c r="B912" s="4" t="str">
        <f>IF(A912="","",IF('Loan Inputs'!$B$14=12,DATE(YEAR('Loan Inputs'!$B$8),MONTH('Loan Inputs'!$B$8)+A912,DAY('Loan Inputs'!$B$8)),'Loan Inputs'!$B$8+A912*IF('Loan Inputs'!$B$14=26,14,7)))</f>
        <v/>
      </c>
      <c r="C912" s="2" t="str">
        <f t="shared" si="44"/>
        <v/>
      </c>
      <c r="D912" s="2" t="str">
        <f>IF(A912="","",MIN('Loan Inputs'!$B$17,C912+E912)+H912)</f>
        <v/>
      </c>
      <c r="E912" s="2" t="str">
        <f>IF(A912="","",C912*'Loan Inputs'!$B$15)</f>
        <v/>
      </c>
      <c r="F912" s="2" t="str">
        <f t="shared" si="42"/>
        <v/>
      </c>
      <c r="G912" s="2" t="str">
        <f t="shared" si="43"/>
        <v/>
      </c>
      <c r="H912" s="2" t="str">
        <f>IF(A912="","",MIN(0,MAX(0,C912+E912-'Loan Inputs'!$B$17)))</f>
        <v/>
      </c>
    </row>
    <row r="913" spans="1:8" ht="22" customHeight="1">
      <c r="A913" s="1" t="str">
        <f>IF(AND('Loan Inputs'!$B$12,907&lt;=IF('Loan Inputs'!$B$12,'Loan Inputs'!$B$7,0)*'Loan Inputs'!$B$14+0,ISNUMBER(G912),G912&gt;0),907,"")</f>
        <v/>
      </c>
      <c r="B913" s="4" t="str">
        <f>IF(A913="","",IF('Loan Inputs'!$B$14=12,DATE(YEAR('Loan Inputs'!$B$8),MONTH('Loan Inputs'!$B$8)+A913,DAY('Loan Inputs'!$B$8)),'Loan Inputs'!$B$8+A913*IF('Loan Inputs'!$B$14=26,14,7)))</f>
        <v/>
      </c>
      <c r="C913" s="2" t="str">
        <f t="shared" si="44"/>
        <v/>
      </c>
      <c r="D913" s="2" t="str">
        <f>IF(A913="","",MIN('Loan Inputs'!$B$17,C913+E913)+H913)</f>
        <v/>
      </c>
      <c r="E913" s="2" t="str">
        <f>IF(A913="","",C913*'Loan Inputs'!$B$15)</f>
        <v/>
      </c>
      <c r="F913" s="2" t="str">
        <f t="shared" si="42"/>
        <v/>
      </c>
      <c r="G913" s="2" t="str">
        <f t="shared" si="43"/>
        <v/>
      </c>
      <c r="H913" s="2" t="str">
        <f>IF(A913="","",MIN(0,MAX(0,C913+E913-'Loan Inputs'!$B$17)))</f>
        <v/>
      </c>
    </row>
    <row r="914" spans="1:8" ht="22" customHeight="1">
      <c r="A914" s="1" t="str">
        <f>IF(AND('Loan Inputs'!$B$12,908&lt;=IF('Loan Inputs'!$B$12,'Loan Inputs'!$B$7,0)*'Loan Inputs'!$B$14+0,ISNUMBER(G913),G913&gt;0),908,"")</f>
        <v/>
      </c>
      <c r="B914" s="4" t="str">
        <f>IF(A914="","",IF('Loan Inputs'!$B$14=12,DATE(YEAR('Loan Inputs'!$B$8),MONTH('Loan Inputs'!$B$8)+A914,DAY('Loan Inputs'!$B$8)),'Loan Inputs'!$B$8+A914*IF('Loan Inputs'!$B$14=26,14,7)))</f>
        <v/>
      </c>
      <c r="C914" s="2" t="str">
        <f t="shared" si="44"/>
        <v/>
      </c>
      <c r="D914" s="2" t="str">
        <f>IF(A914="","",MIN('Loan Inputs'!$B$17,C914+E914)+H914)</f>
        <v/>
      </c>
      <c r="E914" s="2" t="str">
        <f>IF(A914="","",C914*'Loan Inputs'!$B$15)</f>
        <v/>
      </c>
      <c r="F914" s="2" t="str">
        <f t="shared" si="42"/>
        <v/>
      </c>
      <c r="G914" s="2" t="str">
        <f t="shared" si="43"/>
        <v/>
      </c>
      <c r="H914" s="2" t="str">
        <f>IF(A914="","",MIN(0,MAX(0,C914+E914-'Loan Inputs'!$B$17)))</f>
        <v/>
      </c>
    </row>
    <row r="915" spans="1:8" ht="22" customHeight="1">
      <c r="A915" s="1" t="str">
        <f>IF(AND('Loan Inputs'!$B$12,909&lt;=IF('Loan Inputs'!$B$12,'Loan Inputs'!$B$7,0)*'Loan Inputs'!$B$14+0,ISNUMBER(G914),G914&gt;0),909,"")</f>
        <v/>
      </c>
      <c r="B915" s="4" t="str">
        <f>IF(A915="","",IF('Loan Inputs'!$B$14=12,DATE(YEAR('Loan Inputs'!$B$8),MONTH('Loan Inputs'!$B$8)+A915,DAY('Loan Inputs'!$B$8)),'Loan Inputs'!$B$8+A915*IF('Loan Inputs'!$B$14=26,14,7)))</f>
        <v/>
      </c>
      <c r="C915" s="2" t="str">
        <f t="shared" si="44"/>
        <v/>
      </c>
      <c r="D915" s="2" t="str">
        <f>IF(A915="","",MIN('Loan Inputs'!$B$17,C915+E915)+H915)</f>
        <v/>
      </c>
      <c r="E915" s="2" t="str">
        <f>IF(A915="","",C915*'Loan Inputs'!$B$15)</f>
        <v/>
      </c>
      <c r="F915" s="2" t="str">
        <f t="shared" si="42"/>
        <v/>
      </c>
      <c r="G915" s="2" t="str">
        <f t="shared" si="43"/>
        <v/>
      </c>
      <c r="H915" s="2" t="str">
        <f>IF(A915="","",MIN(0,MAX(0,C915+E915-'Loan Inputs'!$B$17)))</f>
        <v/>
      </c>
    </row>
    <row r="916" spans="1:8" ht="22" customHeight="1">
      <c r="A916" s="1" t="str">
        <f>IF(AND('Loan Inputs'!$B$12,910&lt;=IF('Loan Inputs'!$B$12,'Loan Inputs'!$B$7,0)*'Loan Inputs'!$B$14+0,ISNUMBER(G915),G915&gt;0),910,"")</f>
        <v/>
      </c>
      <c r="B916" s="4" t="str">
        <f>IF(A916="","",IF('Loan Inputs'!$B$14=12,DATE(YEAR('Loan Inputs'!$B$8),MONTH('Loan Inputs'!$B$8)+A916,DAY('Loan Inputs'!$B$8)),'Loan Inputs'!$B$8+A916*IF('Loan Inputs'!$B$14=26,14,7)))</f>
        <v/>
      </c>
      <c r="C916" s="2" t="str">
        <f t="shared" si="44"/>
        <v/>
      </c>
      <c r="D916" s="2" t="str">
        <f>IF(A916="","",MIN('Loan Inputs'!$B$17,C916+E916)+H916)</f>
        <v/>
      </c>
      <c r="E916" s="2" t="str">
        <f>IF(A916="","",C916*'Loan Inputs'!$B$15)</f>
        <v/>
      </c>
      <c r="F916" s="2" t="str">
        <f t="shared" si="42"/>
        <v/>
      </c>
      <c r="G916" s="2" t="str">
        <f t="shared" si="43"/>
        <v/>
      </c>
      <c r="H916" s="2" t="str">
        <f>IF(A916="","",MIN(0,MAX(0,C916+E916-'Loan Inputs'!$B$17)))</f>
        <v/>
      </c>
    </row>
    <row r="917" spans="1:8" ht="22" customHeight="1">
      <c r="A917" s="1" t="str">
        <f>IF(AND('Loan Inputs'!$B$12,911&lt;=IF('Loan Inputs'!$B$12,'Loan Inputs'!$B$7,0)*'Loan Inputs'!$B$14+0,ISNUMBER(G916),G916&gt;0),911,"")</f>
        <v/>
      </c>
      <c r="B917" s="4" t="str">
        <f>IF(A917="","",IF('Loan Inputs'!$B$14=12,DATE(YEAR('Loan Inputs'!$B$8),MONTH('Loan Inputs'!$B$8)+A917,DAY('Loan Inputs'!$B$8)),'Loan Inputs'!$B$8+A917*IF('Loan Inputs'!$B$14=26,14,7)))</f>
        <v/>
      </c>
      <c r="C917" s="2" t="str">
        <f t="shared" si="44"/>
        <v/>
      </c>
      <c r="D917" s="2" t="str">
        <f>IF(A917="","",MIN('Loan Inputs'!$B$17,C917+E917)+H917)</f>
        <v/>
      </c>
      <c r="E917" s="2" t="str">
        <f>IF(A917="","",C917*'Loan Inputs'!$B$15)</f>
        <v/>
      </c>
      <c r="F917" s="2" t="str">
        <f t="shared" si="42"/>
        <v/>
      </c>
      <c r="G917" s="2" t="str">
        <f t="shared" si="43"/>
        <v/>
      </c>
      <c r="H917" s="2" t="str">
        <f>IF(A917="","",MIN(0,MAX(0,C917+E917-'Loan Inputs'!$B$17)))</f>
        <v/>
      </c>
    </row>
    <row r="918" spans="1:8" ht="22" customHeight="1">
      <c r="A918" s="1" t="str">
        <f>IF(AND('Loan Inputs'!$B$12,912&lt;=IF('Loan Inputs'!$B$12,'Loan Inputs'!$B$7,0)*'Loan Inputs'!$B$14+0,ISNUMBER(G917),G917&gt;0),912,"")</f>
        <v/>
      </c>
      <c r="B918" s="4" t="str">
        <f>IF(A918="","",IF('Loan Inputs'!$B$14=12,DATE(YEAR('Loan Inputs'!$B$8),MONTH('Loan Inputs'!$B$8)+A918,DAY('Loan Inputs'!$B$8)),'Loan Inputs'!$B$8+A918*IF('Loan Inputs'!$B$14=26,14,7)))</f>
        <v/>
      </c>
      <c r="C918" s="2" t="str">
        <f t="shared" si="44"/>
        <v/>
      </c>
      <c r="D918" s="2" t="str">
        <f>IF(A918="","",MIN('Loan Inputs'!$B$17,C918+E918)+H918)</f>
        <v/>
      </c>
      <c r="E918" s="2" t="str">
        <f>IF(A918="","",C918*'Loan Inputs'!$B$15)</f>
        <v/>
      </c>
      <c r="F918" s="2" t="str">
        <f t="shared" si="42"/>
        <v/>
      </c>
      <c r="G918" s="2" t="str">
        <f t="shared" si="43"/>
        <v/>
      </c>
      <c r="H918" s="2" t="str">
        <f>IF(A918="","",MIN(0,MAX(0,C918+E918-'Loan Inputs'!$B$17)))</f>
        <v/>
      </c>
    </row>
    <row r="919" spans="1:8" ht="22" customHeight="1">
      <c r="A919" s="1" t="str">
        <f>IF(AND('Loan Inputs'!$B$12,913&lt;=IF('Loan Inputs'!$B$12,'Loan Inputs'!$B$7,0)*'Loan Inputs'!$B$14+0,ISNUMBER(G918),G918&gt;0),913,"")</f>
        <v/>
      </c>
      <c r="B919" s="4" t="str">
        <f>IF(A919="","",IF('Loan Inputs'!$B$14=12,DATE(YEAR('Loan Inputs'!$B$8),MONTH('Loan Inputs'!$B$8)+A919,DAY('Loan Inputs'!$B$8)),'Loan Inputs'!$B$8+A919*IF('Loan Inputs'!$B$14=26,14,7)))</f>
        <v/>
      </c>
      <c r="C919" s="2" t="str">
        <f t="shared" si="44"/>
        <v/>
      </c>
      <c r="D919" s="2" t="str">
        <f>IF(A919="","",MIN('Loan Inputs'!$B$17,C919+E919)+H919)</f>
        <v/>
      </c>
      <c r="E919" s="2" t="str">
        <f>IF(A919="","",C919*'Loan Inputs'!$B$15)</f>
        <v/>
      </c>
      <c r="F919" s="2" t="str">
        <f t="shared" si="42"/>
        <v/>
      </c>
      <c r="G919" s="2" t="str">
        <f t="shared" si="43"/>
        <v/>
      </c>
      <c r="H919" s="2" t="str">
        <f>IF(A919="","",MIN(0,MAX(0,C919+E919-'Loan Inputs'!$B$17)))</f>
        <v/>
      </c>
    </row>
    <row r="920" spans="1:8" ht="22" customHeight="1">
      <c r="A920" s="1" t="str">
        <f>IF(AND('Loan Inputs'!$B$12,914&lt;=IF('Loan Inputs'!$B$12,'Loan Inputs'!$B$7,0)*'Loan Inputs'!$B$14+0,ISNUMBER(G919),G919&gt;0),914,"")</f>
        <v/>
      </c>
      <c r="B920" s="4" t="str">
        <f>IF(A920="","",IF('Loan Inputs'!$B$14=12,DATE(YEAR('Loan Inputs'!$B$8),MONTH('Loan Inputs'!$B$8)+A920,DAY('Loan Inputs'!$B$8)),'Loan Inputs'!$B$8+A920*IF('Loan Inputs'!$B$14=26,14,7)))</f>
        <v/>
      </c>
      <c r="C920" s="2" t="str">
        <f t="shared" si="44"/>
        <v/>
      </c>
      <c r="D920" s="2" t="str">
        <f>IF(A920="","",MIN('Loan Inputs'!$B$17,C920+E920)+H920)</f>
        <v/>
      </c>
      <c r="E920" s="2" t="str">
        <f>IF(A920="","",C920*'Loan Inputs'!$B$15)</f>
        <v/>
      </c>
      <c r="F920" s="2" t="str">
        <f t="shared" si="42"/>
        <v/>
      </c>
      <c r="G920" s="2" t="str">
        <f t="shared" si="43"/>
        <v/>
      </c>
      <c r="H920" s="2" t="str">
        <f>IF(A920="","",MIN(0,MAX(0,C920+E920-'Loan Inputs'!$B$17)))</f>
        <v/>
      </c>
    </row>
    <row r="921" spans="1:8" ht="22" customHeight="1">
      <c r="A921" s="1" t="str">
        <f>IF(AND('Loan Inputs'!$B$12,915&lt;=IF('Loan Inputs'!$B$12,'Loan Inputs'!$B$7,0)*'Loan Inputs'!$B$14+0,ISNUMBER(G920),G920&gt;0),915,"")</f>
        <v/>
      </c>
      <c r="B921" s="4" t="str">
        <f>IF(A921="","",IF('Loan Inputs'!$B$14=12,DATE(YEAR('Loan Inputs'!$B$8),MONTH('Loan Inputs'!$B$8)+A921,DAY('Loan Inputs'!$B$8)),'Loan Inputs'!$B$8+A921*IF('Loan Inputs'!$B$14=26,14,7)))</f>
        <v/>
      </c>
      <c r="C921" s="2" t="str">
        <f t="shared" si="44"/>
        <v/>
      </c>
      <c r="D921" s="2" t="str">
        <f>IF(A921="","",MIN('Loan Inputs'!$B$17,C921+E921)+H921)</f>
        <v/>
      </c>
      <c r="E921" s="2" t="str">
        <f>IF(A921="","",C921*'Loan Inputs'!$B$15)</f>
        <v/>
      </c>
      <c r="F921" s="2" t="str">
        <f t="shared" si="42"/>
        <v/>
      </c>
      <c r="G921" s="2" t="str">
        <f t="shared" si="43"/>
        <v/>
      </c>
      <c r="H921" s="2" t="str">
        <f>IF(A921="","",MIN(0,MAX(0,C921+E921-'Loan Inputs'!$B$17)))</f>
        <v/>
      </c>
    </row>
    <row r="922" spans="1:8" ht="22" customHeight="1">
      <c r="A922" s="1" t="str">
        <f>IF(AND('Loan Inputs'!$B$12,916&lt;=IF('Loan Inputs'!$B$12,'Loan Inputs'!$B$7,0)*'Loan Inputs'!$B$14+0,ISNUMBER(G921),G921&gt;0),916,"")</f>
        <v/>
      </c>
      <c r="B922" s="4" t="str">
        <f>IF(A922="","",IF('Loan Inputs'!$B$14=12,DATE(YEAR('Loan Inputs'!$B$8),MONTH('Loan Inputs'!$B$8)+A922,DAY('Loan Inputs'!$B$8)),'Loan Inputs'!$B$8+A922*IF('Loan Inputs'!$B$14=26,14,7)))</f>
        <v/>
      </c>
      <c r="C922" s="2" t="str">
        <f t="shared" si="44"/>
        <v/>
      </c>
      <c r="D922" s="2" t="str">
        <f>IF(A922="","",MIN('Loan Inputs'!$B$17,C922+E922)+H922)</f>
        <v/>
      </c>
      <c r="E922" s="2" t="str">
        <f>IF(A922="","",C922*'Loan Inputs'!$B$15)</f>
        <v/>
      </c>
      <c r="F922" s="2" t="str">
        <f t="shared" si="42"/>
        <v/>
      </c>
      <c r="G922" s="2" t="str">
        <f t="shared" si="43"/>
        <v/>
      </c>
      <c r="H922" s="2" t="str">
        <f>IF(A922="","",MIN(0,MAX(0,C922+E922-'Loan Inputs'!$B$17)))</f>
        <v/>
      </c>
    </row>
    <row r="923" spans="1:8" ht="22" customHeight="1">
      <c r="A923" s="1" t="str">
        <f>IF(AND('Loan Inputs'!$B$12,917&lt;=IF('Loan Inputs'!$B$12,'Loan Inputs'!$B$7,0)*'Loan Inputs'!$B$14+0,ISNUMBER(G922),G922&gt;0),917,"")</f>
        <v/>
      </c>
      <c r="B923" s="4" t="str">
        <f>IF(A923="","",IF('Loan Inputs'!$B$14=12,DATE(YEAR('Loan Inputs'!$B$8),MONTH('Loan Inputs'!$B$8)+A923,DAY('Loan Inputs'!$B$8)),'Loan Inputs'!$B$8+A923*IF('Loan Inputs'!$B$14=26,14,7)))</f>
        <v/>
      </c>
      <c r="C923" s="2" t="str">
        <f t="shared" si="44"/>
        <v/>
      </c>
      <c r="D923" s="2" t="str">
        <f>IF(A923="","",MIN('Loan Inputs'!$B$17,C923+E923)+H923)</f>
        <v/>
      </c>
      <c r="E923" s="2" t="str">
        <f>IF(A923="","",C923*'Loan Inputs'!$B$15)</f>
        <v/>
      </c>
      <c r="F923" s="2" t="str">
        <f t="shared" si="42"/>
        <v/>
      </c>
      <c r="G923" s="2" t="str">
        <f t="shared" si="43"/>
        <v/>
      </c>
      <c r="H923" s="2" t="str">
        <f>IF(A923="","",MIN(0,MAX(0,C923+E923-'Loan Inputs'!$B$17)))</f>
        <v/>
      </c>
    </row>
    <row r="924" spans="1:8" ht="22" customHeight="1">
      <c r="A924" s="1" t="str">
        <f>IF(AND('Loan Inputs'!$B$12,918&lt;=IF('Loan Inputs'!$B$12,'Loan Inputs'!$B$7,0)*'Loan Inputs'!$B$14+0,ISNUMBER(G923),G923&gt;0),918,"")</f>
        <v/>
      </c>
      <c r="B924" s="4" t="str">
        <f>IF(A924="","",IF('Loan Inputs'!$B$14=12,DATE(YEAR('Loan Inputs'!$B$8),MONTH('Loan Inputs'!$B$8)+A924,DAY('Loan Inputs'!$B$8)),'Loan Inputs'!$B$8+A924*IF('Loan Inputs'!$B$14=26,14,7)))</f>
        <v/>
      </c>
      <c r="C924" s="2" t="str">
        <f t="shared" si="44"/>
        <v/>
      </c>
      <c r="D924" s="2" t="str">
        <f>IF(A924="","",MIN('Loan Inputs'!$B$17,C924+E924)+H924)</f>
        <v/>
      </c>
      <c r="E924" s="2" t="str">
        <f>IF(A924="","",C924*'Loan Inputs'!$B$15)</f>
        <v/>
      </c>
      <c r="F924" s="2" t="str">
        <f t="shared" si="42"/>
        <v/>
      </c>
      <c r="G924" s="2" t="str">
        <f t="shared" si="43"/>
        <v/>
      </c>
      <c r="H924" s="2" t="str">
        <f>IF(A924="","",MIN(0,MAX(0,C924+E924-'Loan Inputs'!$B$17)))</f>
        <v/>
      </c>
    </row>
    <row r="925" spans="1:8" ht="22" customHeight="1">
      <c r="A925" s="1" t="str">
        <f>IF(AND('Loan Inputs'!$B$12,919&lt;=IF('Loan Inputs'!$B$12,'Loan Inputs'!$B$7,0)*'Loan Inputs'!$B$14+0,ISNUMBER(G924),G924&gt;0),919,"")</f>
        <v/>
      </c>
      <c r="B925" s="4" t="str">
        <f>IF(A925="","",IF('Loan Inputs'!$B$14=12,DATE(YEAR('Loan Inputs'!$B$8),MONTH('Loan Inputs'!$B$8)+A925,DAY('Loan Inputs'!$B$8)),'Loan Inputs'!$B$8+A925*IF('Loan Inputs'!$B$14=26,14,7)))</f>
        <v/>
      </c>
      <c r="C925" s="2" t="str">
        <f t="shared" si="44"/>
        <v/>
      </c>
      <c r="D925" s="2" t="str">
        <f>IF(A925="","",MIN('Loan Inputs'!$B$17,C925+E925)+H925)</f>
        <v/>
      </c>
      <c r="E925" s="2" t="str">
        <f>IF(A925="","",C925*'Loan Inputs'!$B$15)</f>
        <v/>
      </c>
      <c r="F925" s="2" t="str">
        <f t="shared" si="42"/>
        <v/>
      </c>
      <c r="G925" s="2" t="str">
        <f t="shared" si="43"/>
        <v/>
      </c>
      <c r="H925" s="2" t="str">
        <f>IF(A925="","",MIN(0,MAX(0,C925+E925-'Loan Inputs'!$B$17)))</f>
        <v/>
      </c>
    </row>
    <row r="926" spans="1:8" ht="22" customHeight="1">
      <c r="A926" s="1" t="str">
        <f>IF(AND('Loan Inputs'!$B$12,920&lt;=IF('Loan Inputs'!$B$12,'Loan Inputs'!$B$7,0)*'Loan Inputs'!$B$14+0,ISNUMBER(G925),G925&gt;0),920,"")</f>
        <v/>
      </c>
      <c r="B926" s="4" t="str">
        <f>IF(A926="","",IF('Loan Inputs'!$B$14=12,DATE(YEAR('Loan Inputs'!$B$8),MONTH('Loan Inputs'!$B$8)+A926,DAY('Loan Inputs'!$B$8)),'Loan Inputs'!$B$8+A926*IF('Loan Inputs'!$B$14=26,14,7)))</f>
        <v/>
      </c>
      <c r="C926" s="2" t="str">
        <f t="shared" si="44"/>
        <v/>
      </c>
      <c r="D926" s="2" t="str">
        <f>IF(A926="","",MIN('Loan Inputs'!$B$17,C926+E926)+H926)</f>
        <v/>
      </c>
      <c r="E926" s="2" t="str">
        <f>IF(A926="","",C926*'Loan Inputs'!$B$15)</f>
        <v/>
      </c>
      <c r="F926" s="2" t="str">
        <f t="shared" si="42"/>
        <v/>
      </c>
      <c r="G926" s="2" t="str">
        <f t="shared" si="43"/>
        <v/>
      </c>
      <c r="H926" s="2" t="str">
        <f>IF(A926="","",MIN(0,MAX(0,C926+E926-'Loan Inputs'!$B$17)))</f>
        <v/>
      </c>
    </row>
    <row r="927" spans="1:8" ht="22" customHeight="1">
      <c r="A927" s="1" t="str">
        <f>IF(AND('Loan Inputs'!$B$12,921&lt;=IF('Loan Inputs'!$B$12,'Loan Inputs'!$B$7,0)*'Loan Inputs'!$B$14+0,ISNUMBER(G926),G926&gt;0),921,"")</f>
        <v/>
      </c>
      <c r="B927" s="4" t="str">
        <f>IF(A927="","",IF('Loan Inputs'!$B$14=12,DATE(YEAR('Loan Inputs'!$B$8),MONTH('Loan Inputs'!$B$8)+A927,DAY('Loan Inputs'!$B$8)),'Loan Inputs'!$B$8+A927*IF('Loan Inputs'!$B$14=26,14,7)))</f>
        <v/>
      </c>
      <c r="C927" s="2" t="str">
        <f t="shared" si="44"/>
        <v/>
      </c>
      <c r="D927" s="2" t="str">
        <f>IF(A927="","",MIN('Loan Inputs'!$B$17,C927+E927)+H927)</f>
        <v/>
      </c>
      <c r="E927" s="2" t="str">
        <f>IF(A927="","",C927*'Loan Inputs'!$B$15)</f>
        <v/>
      </c>
      <c r="F927" s="2" t="str">
        <f t="shared" si="42"/>
        <v/>
      </c>
      <c r="G927" s="2" t="str">
        <f t="shared" si="43"/>
        <v/>
      </c>
      <c r="H927" s="2" t="str">
        <f>IF(A927="","",MIN(0,MAX(0,C927+E927-'Loan Inputs'!$B$17)))</f>
        <v/>
      </c>
    </row>
    <row r="928" spans="1:8" ht="22" customHeight="1">
      <c r="A928" s="1" t="str">
        <f>IF(AND('Loan Inputs'!$B$12,922&lt;=IF('Loan Inputs'!$B$12,'Loan Inputs'!$B$7,0)*'Loan Inputs'!$B$14+0,ISNUMBER(G927),G927&gt;0),922,"")</f>
        <v/>
      </c>
      <c r="B928" s="4" t="str">
        <f>IF(A928="","",IF('Loan Inputs'!$B$14=12,DATE(YEAR('Loan Inputs'!$B$8),MONTH('Loan Inputs'!$B$8)+A928,DAY('Loan Inputs'!$B$8)),'Loan Inputs'!$B$8+A928*IF('Loan Inputs'!$B$14=26,14,7)))</f>
        <v/>
      </c>
      <c r="C928" s="2" t="str">
        <f t="shared" si="44"/>
        <v/>
      </c>
      <c r="D928" s="2" t="str">
        <f>IF(A928="","",MIN('Loan Inputs'!$B$17,C928+E928)+H928)</f>
        <v/>
      </c>
      <c r="E928" s="2" t="str">
        <f>IF(A928="","",C928*'Loan Inputs'!$B$15)</f>
        <v/>
      </c>
      <c r="F928" s="2" t="str">
        <f t="shared" si="42"/>
        <v/>
      </c>
      <c r="G928" s="2" t="str">
        <f t="shared" si="43"/>
        <v/>
      </c>
      <c r="H928" s="2" t="str">
        <f>IF(A928="","",MIN(0,MAX(0,C928+E928-'Loan Inputs'!$B$17)))</f>
        <v/>
      </c>
    </row>
    <row r="929" spans="1:8" ht="22" customHeight="1">
      <c r="A929" s="1" t="str">
        <f>IF(AND('Loan Inputs'!$B$12,923&lt;=IF('Loan Inputs'!$B$12,'Loan Inputs'!$B$7,0)*'Loan Inputs'!$B$14+0,ISNUMBER(G928),G928&gt;0),923,"")</f>
        <v/>
      </c>
      <c r="B929" s="4" t="str">
        <f>IF(A929="","",IF('Loan Inputs'!$B$14=12,DATE(YEAR('Loan Inputs'!$B$8),MONTH('Loan Inputs'!$B$8)+A929,DAY('Loan Inputs'!$B$8)),'Loan Inputs'!$B$8+A929*IF('Loan Inputs'!$B$14=26,14,7)))</f>
        <v/>
      </c>
      <c r="C929" s="2" t="str">
        <f t="shared" si="44"/>
        <v/>
      </c>
      <c r="D929" s="2" t="str">
        <f>IF(A929="","",MIN('Loan Inputs'!$B$17,C929+E929)+H929)</f>
        <v/>
      </c>
      <c r="E929" s="2" t="str">
        <f>IF(A929="","",C929*'Loan Inputs'!$B$15)</f>
        <v/>
      </c>
      <c r="F929" s="2" t="str">
        <f t="shared" si="42"/>
        <v/>
      </c>
      <c r="G929" s="2" t="str">
        <f t="shared" si="43"/>
        <v/>
      </c>
      <c r="H929" s="2" t="str">
        <f>IF(A929="","",MIN(0,MAX(0,C929+E929-'Loan Inputs'!$B$17)))</f>
        <v/>
      </c>
    </row>
    <row r="930" spans="1:8" ht="22" customHeight="1">
      <c r="A930" s="1" t="str">
        <f>IF(AND('Loan Inputs'!$B$12,924&lt;=IF('Loan Inputs'!$B$12,'Loan Inputs'!$B$7,0)*'Loan Inputs'!$B$14+0,ISNUMBER(G929),G929&gt;0),924,"")</f>
        <v/>
      </c>
      <c r="B930" s="4" t="str">
        <f>IF(A930="","",IF('Loan Inputs'!$B$14=12,DATE(YEAR('Loan Inputs'!$B$8),MONTH('Loan Inputs'!$B$8)+A930,DAY('Loan Inputs'!$B$8)),'Loan Inputs'!$B$8+A930*IF('Loan Inputs'!$B$14=26,14,7)))</f>
        <v/>
      </c>
      <c r="C930" s="2" t="str">
        <f t="shared" si="44"/>
        <v/>
      </c>
      <c r="D930" s="2" t="str">
        <f>IF(A930="","",MIN('Loan Inputs'!$B$17,C930+E930)+H930)</f>
        <v/>
      </c>
      <c r="E930" s="2" t="str">
        <f>IF(A930="","",C930*'Loan Inputs'!$B$15)</f>
        <v/>
      </c>
      <c r="F930" s="2" t="str">
        <f t="shared" si="42"/>
        <v/>
      </c>
      <c r="G930" s="2" t="str">
        <f t="shared" si="43"/>
        <v/>
      </c>
      <c r="H930" s="2" t="str">
        <f>IF(A930="","",MIN(0,MAX(0,C930+E930-'Loan Inputs'!$B$17)))</f>
        <v/>
      </c>
    </row>
    <row r="931" spans="1:8" ht="22" customHeight="1">
      <c r="A931" s="1" t="str">
        <f>IF(AND('Loan Inputs'!$B$12,925&lt;=IF('Loan Inputs'!$B$12,'Loan Inputs'!$B$7,0)*'Loan Inputs'!$B$14+0,ISNUMBER(G930),G930&gt;0),925,"")</f>
        <v/>
      </c>
      <c r="B931" s="4" t="str">
        <f>IF(A931="","",IF('Loan Inputs'!$B$14=12,DATE(YEAR('Loan Inputs'!$B$8),MONTH('Loan Inputs'!$B$8)+A931,DAY('Loan Inputs'!$B$8)),'Loan Inputs'!$B$8+A931*IF('Loan Inputs'!$B$14=26,14,7)))</f>
        <v/>
      </c>
      <c r="C931" s="2" t="str">
        <f t="shared" si="44"/>
        <v/>
      </c>
      <c r="D931" s="2" t="str">
        <f>IF(A931="","",MIN('Loan Inputs'!$B$17,C931+E931)+H931)</f>
        <v/>
      </c>
      <c r="E931" s="2" t="str">
        <f>IF(A931="","",C931*'Loan Inputs'!$B$15)</f>
        <v/>
      </c>
      <c r="F931" s="2" t="str">
        <f t="shared" si="42"/>
        <v/>
      </c>
      <c r="G931" s="2" t="str">
        <f t="shared" si="43"/>
        <v/>
      </c>
      <c r="H931" s="2" t="str">
        <f>IF(A931="","",MIN(0,MAX(0,C931+E931-'Loan Inputs'!$B$17)))</f>
        <v/>
      </c>
    </row>
    <row r="932" spans="1:8" ht="22" customHeight="1">
      <c r="A932" s="1" t="str">
        <f>IF(AND('Loan Inputs'!$B$12,926&lt;=IF('Loan Inputs'!$B$12,'Loan Inputs'!$B$7,0)*'Loan Inputs'!$B$14+0,ISNUMBER(G931),G931&gt;0),926,"")</f>
        <v/>
      </c>
      <c r="B932" s="4" t="str">
        <f>IF(A932="","",IF('Loan Inputs'!$B$14=12,DATE(YEAR('Loan Inputs'!$B$8),MONTH('Loan Inputs'!$B$8)+A932,DAY('Loan Inputs'!$B$8)),'Loan Inputs'!$B$8+A932*IF('Loan Inputs'!$B$14=26,14,7)))</f>
        <v/>
      </c>
      <c r="C932" s="2" t="str">
        <f t="shared" si="44"/>
        <v/>
      </c>
      <c r="D932" s="2" t="str">
        <f>IF(A932="","",MIN('Loan Inputs'!$B$17,C932+E932)+H932)</f>
        <v/>
      </c>
      <c r="E932" s="2" t="str">
        <f>IF(A932="","",C932*'Loan Inputs'!$B$15)</f>
        <v/>
      </c>
      <c r="F932" s="2" t="str">
        <f t="shared" si="42"/>
        <v/>
      </c>
      <c r="G932" s="2" t="str">
        <f t="shared" si="43"/>
        <v/>
      </c>
      <c r="H932" s="2" t="str">
        <f>IF(A932="","",MIN(0,MAX(0,C932+E932-'Loan Inputs'!$B$17)))</f>
        <v/>
      </c>
    </row>
    <row r="933" spans="1:8" ht="22" customHeight="1">
      <c r="A933" s="1" t="str">
        <f>IF(AND('Loan Inputs'!$B$12,927&lt;=IF('Loan Inputs'!$B$12,'Loan Inputs'!$B$7,0)*'Loan Inputs'!$B$14+0,ISNUMBER(G932),G932&gt;0),927,"")</f>
        <v/>
      </c>
      <c r="B933" s="4" t="str">
        <f>IF(A933="","",IF('Loan Inputs'!$B$14=12,DATE(YEAR('Loan Inputs'!$B$8),MONTH('Loan Inputs'!$B$8)+A933,DAY('Loan Inputs'!$B$8)),'Loan Inputs'!$B$8+A933*IF('Loan Inputs'!$B$14=26,14,7)))</f>
        <v/>
      </c>
      <c r="C933" s="2" t="str">
        <f t="shared" si="44"/>
        <v/>
      </c>
      <c r="D933" s="2" t="str">
        <f>IF(A933="","",MIN('Loan Inputs'!$B$17,C933+E933)+H933)</f>
        <v/>
      </c>
      <c r="E933" s="2" t="str">
        <f>IF(A933="","",C933*'Loan Inputs'!$B$15)</f>
        <v/>
      </c>
      <c r="F933" s="2" t="str">
        <f t="shared" si="42"/>
        <v/>
      </c>
      <c r="G933" s="2" t="str">
        <f t="shared" si="43"/>
        <v/>
      </c>
      <c r="H933" s="2" t="str">
        <f>IF(A933="","",MIN(0,MAX(0,C933+E933-'Loan Inputs'!$B$17)))</f>
        <v/>
      </c>
    </row>
    <row r="934" spans="1:8" ht="22" customHeight="1">
      <c r="A934" s="1" t="str">
        <f>IF(AND('Loan Inputs'!$B$12,928&lt;=IF('Loan Inputs'!$B$12,'Loan Inputs'!$B$7,0)*'Loan Inputs'!$B$14+0,ISNUMBER(G933),G933&gt;0),928,"")</f>
        <v/>
      </c>
      <c r="B934" s="4" t="str">
        <f>IF(A934="","",IF('Loan Inputs'!$B$14=12,DATE(YEAR('Loan Inputs'!$B$8),MONTH('Loan Inputs'!$B$8)+A934,DAY('Loan Inputs'!$B$8)),'Loan Inputs'!$B$8+A934*IF('Loan Inputs'!$B$14=26,14,7)))</f>
        <v/>
      </c>
      <c r="C934" s="2" t="str">
        <f t="shared" si="44"/>
        <v/>
      </c>
      <c r="D934" s="2" t="str">
        <f>IF(A934="","",MIN('Loan Inputs'!$B$17,C934+E934)+H934)</f>
        <v/>
      </c>
      <c r="E934" s="2" t="str">
        <f>IF(A934="","",C934*'Loan Inputs'!$B$15)</f>
        <v/>
      </c>
      <c r="F934" s="2" t="str">
        <f t="shared" si="42"/>
        <v/>
      </c>
      <c r="G934" s="2" t="str">
        <f t="shared" si="43"/>
        <v/>
      </c>
      <c r="H934" s="2" t="str">
        <f>IF(A934="","",MIN(0,MAX(0,C934+E934-'Loan Inputs'!$B$17)))</f>
        <v/>
      </c>
    </row>
    <row r="935" spans="1:8" ht="22" customHeight="1">
      <c r="A935" s="1" t="str">
        <f>IF(AND('Loan Inputs'!$B$12,929&lt;=IF('Loan Inputs'!$B$12,'Loan Inputs'!$B$7,0)*'Loan Inputs'!$B$14+0,ISNUMBER(G934),G934&gt;0),929,"")</f>
        <v/>
      </c>
      <c r="B935" s="4" t="str">
        <f>IF(A935="","",IF('Loan Inputs'!$B$14=12,DATE(YEAR('Loan Inputs'!$B$8),MONTH('Loan Inputs'!$B$8)+A935,DAY('Loan Inputs'!$B$8)),'Loan Inputs'!$B$8+A935*IF('Loan Inputs'!$B$14=26,14,7)))</f>
        <v/>
      </c>
      <c r="C935" s="2" t="str">
        <f t="shared" si="44"/>
        <v/>
      </c>
      <c r="D935" s="2" t="str">
        <f>IF(A935="","",MIN('Loan Inputs'!$B$17,C935+E935)+H935)</f>
        <v/>
      </c>
      <c r="E935" s="2" t="str">
        <f>IF(A935="","",C935*'Loan Inputs'!$B$15)</f>
        <v/>
      </c>
      <c r="F935" s="2" t="str">
        <f t="shared" si="42"/>
        <v/>
      </c>
      <c r="G935" s="2" t="str">
        <f t="shared" si="43"/>
        <v/>
      </c>
      <c r="H935" s="2" t="str">
        <f>IF(A935="","",MIN(0,MAX(0,C935+E935-'Loan Inputs'!$B$17)))</f>
        <v/>
      </c>
    </row>
    <row r="936" spans="1:8" ht="22" customHeight="1">
      <c r="A936" s="1" t="str">
        <f>IF(AND('Loan Inputs'!$B$12,930&lt;=IF('Loan Inputs'!$B$12,'Loan Inputs'!$B$7,0)*'Loan Inputs'!$B$14+0,ISNUMBER(G935),G935&gt;0),930,"")</f>
        <v/>
      </c>
      <c r="B936" s="4" t="str">
        <f>IF(A936="","",IF('Loan Inputs'!$B$14=12,DATE(YEAR('Loan Inputs'!$B$8),MONTH('Loan Inputs'!$B$8)+A936,DAY('Loan Inputs'!$B$8)),'Loan Inputs'!$B$8+A936*IF('Loan Inputs'!$B$14=26,14,7)))</f>
        <v/>
      </c>
      <c r="C936" s="2" t="str">
        <f t="shared" si="44"/>
        <v/>
      </c>
      <c r="D936" s="2" t="str">
        <f>IF(A936="","",MIN('Loan Inputs'!$B$17,C936+E936)+H936)</f>
        <v/>
      </c>
      <c r="E936" s="2" t="str">
        <f>IF(A936="","",C936*'Loan Inputs'!$B$15)</f>
        <v/>
      </c>
      <c r="F936" s="2" t="str">
        <f t="shared" si="42"/>
        <v/>
      </c>
      <c r="G936" s="2" t="str">
        <f t="shared" si="43"/>
        <v/>
      </c>
      <c r="H936" s="2" t="str">
        <f>IF(A936="","",MIN(0,MAX(0,C936+E936-'Loan Inputs'!$B$17)))</f>
        <v/>
      </c>
    </row>
    <row r="937" spans="1:8" ht="22" customHeight="1">
      <c r="A937" s="1" t="str">
        <f>IF(AND('Loan Inputs'!$B$12,931&lt;=IF('Loan Inputs'!$B$12,'Loan Inputs'!$B$7,0)*'Loan Inputs'!$B$14+0,ISNUMBER(G936),G936&gt;0),931,"")</f>
        <v/>
      </c>
      <c r="B937" s="4" t="str">
        <f>IF(A937="","",IF('Loan Inputs'!$B$14=12,DATE(YEAR('Loan Inputs'!$B$8),MONTH('Loan Inputs'!$B$8)+A937,DAY('Loan Inputs'!$B$8)),'Loan Inputs'!$B$8+A937*IF('Loan Inputs'!$B$14=26,14,7)))</f>
        <v/>
      </c>
      <c r="C937" s="2" t="str">
        <f t="shared" si="44"/>
        <v/>
      </c>
      <c r="D937" s="2" t="str">
        <f>IF(A937="","",MIN('Loan Inputs'!$B$17,C937+E937)+H937)</f>
        <v/>
      </c>
      <c r="E937" s="2" t="str">
        <f>IF(A937="","",C937*'Loan Inputs'!$B$15)</f>
        <v/>
      </c>
      <c r="F937" s="2" t="str">
        <f t="shared" si="42"/>
        <v/>
      </c>
      <c r="G937" s="2" t="str">
        <f t="shared" si="43"/>
        <v/>
      </c>
      <c r="H937" s="2" t="str">
        <f>IF(A937="","",MIN(0,MAX(0,C937+E937-'Loan Inputs'!$B$17)))</f>
        <v/>
      </c>
    </row>
    <row r="938" spans="1:8" ht="22" customHeight="1">
      <c r="A938" s="1" t="str">
        <f>IF(AND('Loan Inputs'!$B$12,932&lt;=IF('Loan Inputs'!$B$12,'Loan Inputs'!$B$7,0)*'Loan Inputs'!$B$14+0,ISNUMBER(G937),G937&gt;0),932,"")</f>
        <v/>
      </c>
      <c r="B938" s="4" t="str">
        <f>IF(A938="","",IF('Loan Inputs'!$B$14=12,DATE(YEAR('Loan Inputs'!$B$8),MONTH('Loan Inputs'!$B$8)+A938,DAY('Loan Inputs'!$B$8)),'Loan Inputs'!$B$8+A938*IF('Loan Inputs'!$B$14=26,14,7)))</f>
        <v/>
      </c>
      <c r="C938" s="2" t="str">
        <f t="shared" si="44"/>
        <v/>
      </c>
      <c r="D938" s="2" t="str">
        <f>IF(A938="","",MIN('Loan Inputs'!$B$17,C938+E938)+H938)</f>
        <v/>
      </c>
      <c r="E938" s="2" t="str">
        <f>IF(A938="","",C938*'Loan Inputs'!$B$15)</f>
        <v/>
      </c>
      <c r="F938" s="2" t="str">
        <f t="shared" si="42"/>
        <v/>
      </c>
      <c r="G938" s="2" t="str">
        <f t="shared" si="43"/>
        <v/>
      </c>
      <c r="H938" s="2" t="str">
        <f>IF(A938="","",MIN(0,MAX(0,C938+E938-'Loan Inputs'!$B$17)))</f>
        <v/>
      </c>
    </row>
    <row r="939" spans="1:8" ht="22" customHeight="1">
      <c r="A939" s="1" t="str">
        <f>IF(AND('Loan Inputs'!$B$12,933&lt;=IF('Loan Inputs'!$B$12,'Loan Inputs'!$B$7,0)*'Loan Inputs'!$B$14+0,ISNUMBER(G938),G938&gt;0),933,"")</f>
        <v/>
      </c>
      <c r="B939" s="4" t="str">
        <f>IF(A939="","",IF('Loan Inputs'!$B$14=12,DATE(YEAR('Loan Inputs'!$B$8),MONTH('Loan Inputs'!$B$8)+A939,DAY('Loan Inputs'!$B$8)),'Loan Inputs'!$B$8+A939*IF('Loan Inputs'!$B$14=26,14,7)))</f>
        <v/>
      </c>
      <c r="C939" s="2" t="str">
        <f t="shared" si="44"/>
        <v/>
      </c>
      <c r="D939" s="2" t="str">
        <f>IF(A939="","",MIN('Loan Inputs'!$B$17,C939+E939)+H939)</f>
        <v/>
      </c>
      <c r="E939" s="2" t="str">
        <f>IF(A939="","",C939*'Loan Inputs'!$B$15)</f>
        <v/>
      </c>
      <c r="F939" s="2" t="str">
        <f t="shared" si="42"/>
        <v/>
      </c>
      <c r="G939" s="2" t="str">
        <f t="shared" si="43"/>
        <v/>
      </c>
      <c r="H939" s="2" t="str">
        <f>IF(A939="","",MIN(0,MAX(0,C939+E939-'Loan Inputs'!$B$17)))</f>
        <v/>
      </c>
    </row>
    <row r="940" spans="1:8" ht="22" customHeight="1">
      <c r="A940" s="1" t="str">
        <f>IF(AND('Loan Inputs'!$B$12,934&lt;=IF('Loan Inputs'!$B$12,'Loan Inputs'!$B$7,0)*'Loan Inputs'!$B$14+0,ISNUMBER(G939),G939&gt;0),934,"")</f>
        <v/>
      </c>
      <c r="B940" s="4" t="str">
        <f>IF(A940="","",IF('Loan Inputs'!$B$14=12,DATE(YEAR('Loan Inputs'!$B$8),MONTH('Loan Inputs'!$B$8)+A940,DAY('Loan Inputs'!$B$8)),'Loan Inputs'!$B$8+A940*IF('Loan Inputs'!$B$14=26,14,7)))</f>
        <v/>
      </c>
      <c r="C940" s="2" t="str">
        <f t="shared" si="44"/>
        <v/>
      </c>
      <c r="D940" s="2" t="str">
        <f>IF(A940="","",MIN('Loan Inputs'!$B$17,C940+E940)+H940)</f>
        <v/>
      </c>
      <c r="E940" s="2" t="str">
        <f>IF(A940="","",C940*'Loan Inputs'!$B$15)</f>
        <v/>
      </c>
      <c r="F940" s="2" t="str">
        <f t="shared" si="42"/>
        <v/>
      </c>
      <c r="G940" s="2" t="str">
        <f t="shared" si="43"/>
        <v/>
      </c>
      <c r="H940" s="2" t="str">
        <f>IF(A940="","",MIN(0,MAX(0,C940+E940-'Loan Inputs'!$B$17)))</f>
        <v/>
      </c>
    </row>
    <row r="941" spans="1:8" ht="22" customHeight="1">
      <c r="A941" s="1" t="str">
        <f>IF(AND('Loan Inputs'!$B$12,935&lt;=IF('Loan Inputs'!$B$12,'Loan Inputs'!$B$7,0)*'Loan Inputs'!$B$14+0,ISNUMBER(G940),G940&gt;0),935,"")</f>
        <v/>
      </c>
      <c r="B941" s="4" t="str">
        <f>IF(A941="","",IF('Loan Inputs'!$B$14=12,DATE(YEAR('Loan Inputs'!$B$8),MONTH('Loan Inputs'!$B$8)+A941,DAY('Loan Inputs'!$B$8)),'Loan Inputs'!$B$8+A941*IF('Loan Inputs'!$B$14=26,14,7)))</f>
        <v/>
      </c>
      <c r="C941" s="2" t="str">
        <f t="shared" si="44"/>
        <v/>
      </c>
      <c r="D941" s="2" t="str">
        <f>IF(A941="","",MIN('Loan Inputs'!$B$17,C941+E941)+H941)</f>
        <v/>
      </c>
      <c r="E941" s="2" t="str">
        <f>IF(A941="","",C941*'Loan Inputs'!$B$15)</f>
        <v/>
      </c>
      <c r="F941" s="2" t="str">
        <f t="shared" si="42"/>
        <v/>
      </c>
      <c r="G941" s="2" t="str">
        <f t="shared" si="43"/>
        <v/>
      </c>
      <c r="H941" s="2" t="str">
        <f>IF(A941="","",MIN(0,MAX(0,C941+E941-'Loan Inputs'!$B$17)))</f>
        <v/>
      </c>
    </row>
    <row r="942" spans="1:8" ht="22" customHeight="1">
      <c r="A942" s="1" t="str">
        <f>IF(AND('Loan Inputs'!$B$12,936&lt;=IF('Loan Inputs'!$B$12,'Loan Inputs'!$B$7,0)*'Loan Inputs'!$B$14+0,ISNUMBER(G941),G941&gt;0),936,"")</f>
        <v/>
      </c>
      <c r="B942" s="4" t="str">
        <f>IF(A942="","",IF('Loan Inputs'!$B$14=12,DATE(YEAR('Loan Inputs'!$B$8),MONTH('Loan Inputs'!$B$8)+A942,DAY('Loan Inputs'!$B$8)),'Loan Inputs'!$B$8+A942*IF('Loan Inputs'!$B$14=26,14,7)))</f>
        <v/>
      </c>
      <c r="C942" s="2" t="str">
        <f t="shared" si="44"/>
        <v/>
      </c>
      <c r="D942" s="2" t="str">
        <f>IF(A942="","",MIN('Loan Inputs'!$B$17,C942+E942)+H942)</f>
        <v/>
      </c>
      <c r="E942" s="2" t="str">
        <f>IF(A942="","",C942*'Loan Inputs'!$B$15)</f>
        <v/>
      </c>
      <c r="F942" s="2" t="str">
        <f t="shared" si="42"/>
        <v/>
      </c>
      <c r="G942" s="2" t="str">
        <f t="shared" si="43"/>
        <v/>
      </c>
      <c r="H942" s="2" t="str">
        <f>IF(A942="","",MIN(0,MAX(0,C942+E942-'Loan Inputs'!$B$17)))</f>
        <v/>
      </c>
    </row>
    <row r="943" spans="1:8" ht="22" customHeight="1">
      <c r="A943" s="1" t="str">
        <f>IF(AND('Loan Inputs'!$B$12,937&lt;=IF('Loan Inputs'!$B$12,'Loan Inputs'!$B$7,0)*'Loan Inputs'!$B$14+0,ISNUMBER(G942),G942&gt;0),937,"")</f>
        <v/>
      </c>
      <c r="B943" s="4" t="str">
        <f>IF(A943="","",IF('Loan Inputs'!$B$14=12,DATE(YEAR('Loan Inputs'!$B$8),MONTH('Loan Inputs'!$B$8)+A943,DAY('Loan Inputs'!$B$8)),'Loan Inputs'!$B$8+A943*IF('Loan Inputs'!$B$14=26,14,7)))</f>
        <v/>
      </c>
      <c r="C943" s="2" t="str">
        <f t="shared" si="44"/>
        <v/>
      </c>
      <c r="D943" s="2" t="str">
        <f>IF(A943="","",MIN('Loan Inputs'!$B$17,C943+E943)+H943)</f>
        <v/>
      </c>
      <c r="E943" s="2" t="str">
        <f>IF(A943="","",C943*'Loan Inputs'!$B$15)</f>
        <v/>
      </c>
      <c r="F943" s="2" t="str">
        <f t="shared" si="42"/>
        <v/>
      </c>
      <c r="G943" s="2" t="str">
        <f t="shared" si="43"/>
        <v/>
      </c>
      <c r="H943" s="2" t="str">
        <f>IF(A943="","",MIN(0,MAX(0,C943+E943-'Loan Inputs'!$B$17)))</f>
        <v/>
      </c>
    </row>
    <row r="944" spans="1:8" ht="22" customHeight="1">
      <c r="A944" s="1" t="str">
        <f>IF(AND('Loan Inputs'!$B$12,938&lt;=IF('Loan Inputs'!$B$12,'Loan Inputs'!$B$7,0)*'Loan Inputs'!$B$14+0,ISNUMBER(G943),G943&gt;0),938,"")</f>
        <v/>
      </c>
      <c r="B944" s="4" t="str">
        <f>IF(A944="","",IF('Loan Inputs'!$B$14=12,DATE(YEAR('Loan Inputs'!$B$8),MONTH('Loan Inputs'!$B$8)+A944,DAY('Loan Inputs'!$B$8)),'Loan Inputs'!$B$8+A944*IF('Loan Inputs'!$B$14=26,14,7)))</f>
        <v/>
      </c>
      <c r="C944" s="2" t="str">
        <f t="shared" si="44"/>
        <v/>
      </c>
      <c r="D944" s="2" t="str">
        <f>IF(A944="","",MIN('Loan Inputs'!$B$17,C944+E944)+H944)</f>
        <v/>
      </c>
      <c r="E944" s="2" t="str">
        <f>IF(A944="","",C944*'Loan Inputs'!$B$15)</f>
        <v/>
      </c>
      <c r="F944" s="2" t="str">
        <f t="shared" si="42"/>
        <v/>
      </c>
      <c r="G944" s="2" t="str">
        <f t="shared" si="43"/>
        <v/>
      </c>
      <c r="H944" s="2" t="str">
        <f>IF(A944="","",MIN(0,MAX(0,C944+E944-'Loan Inputs'!$B$17)))</f>
        <v/>
      </c>
    </row>
    <row r="945" spans="1:8" ht="22" customHeight="1">
      <c r="A945" s="1" t="str">
        <f>IF(AND('Loan Inputs'!$B$12,939&lt;=IF('Loan Inputs'!$B$12,'Loan Inputs'!$B$7,0)*'Loan Inputs'!$B$14+0,ISNUMBER(G944),G944&gt;0),939,"")</f>
        <v/>
      </c>
      <c r="B945" s="4" t="str">
        <f>IF(A945="","",IF('Loan Inputs'!$B$14=12,DATE(YEAR('Loan Inputs'!$B$8),MONTH('Loan Inputs'!$B$8)+A945,DAY('Loan Inputs'!$B$8)),'Loan Inputs'!$B$8+A945*IF('Loan Inputs'!$B$14=26,14,7)))</f>
        <v/>
      </c>
      <c r="C945" s="2" t="str">
        <f t="shared" si="44"/>
        <v/>
      </c>
      <c r="D945" s="2" t="str">
        <f>IF(A945="","",MIN('Loan Inputs'!$B$17,C945+E945)+H945)</f>
        <v/>
      </c>
      <c r="E945" s="2" t="str">
        <f>IF(A945="","",C945*'Loan Inputs'!$B$15)</f>
        <v/>
      </c>
      <c r="F945" s="2" t="str">
        <f t="shared" si="42"/>
        <v/>
      </c>
      <c r="G945" s="2" t="str">
        <f t="shared" si="43"/>
        <v/>
      </c>
      <c r="H945" s="2" t="str">
        <f>IF(A945="","",MIN(0,MAX(0,C945+E945-'Loan Inputs'!$B$17)))</f>
        <v/>
      </c>
    </row>
    <row r="946" spans="1:8" ht="22" customHeight="1">
      <c r="A946" s="1" t="str">
        <f>IF(AND('Loan Inputs'!$B$12,940&lt;=IF('Loan Inputs'!$B$12,'Loan Inputs'!$B$7,0)*'Loan Inputs'!$B$14+0,ISNUMBER(G945),G945&gt;0),940,"")</f>
        <v/>
      </c>
      <c r="B946" s="4" t="str">
        <f>IF(A946="","",IF('Loan Inputs'!$B$14=12,DATE(YEAR('Loan Inputs'!$B$8),MONTH('Loan Inputs'!$B$8)+A946,DAY('Loan Inputs'!$B$8)),'Loan Inputs'!$B$8+A946*IF('Loan Inputs'!$B$14=26,14,7)))</f>
        <v/>
      </c>
      <c r="C946" s="2" t="str">
        <f t="shared" si="44"/>
        <v/>
      </c>
      <c r="D946" s="2" t="str">
        <f>IF(A946="","",MIN('Loan Inputs'!$B$17,C946+E946)+H946)</f>
        <v/>
      </c>
      <c r="E946" s="2" t="str">
        <f>IF(A946="","",C946*'Loan Inputs'!$B$15)</f>
        <v/>
      </c>
      <c r="F946" s="2" t="str">
        <f t="shared" si="42"/>
        <v/>
      </c>
      <c r="G946" s="2" t="str">
        <f t="shared" si="43"/>
        <v/>
      </c>
      <c r="H946" s="2" t="str">
        <f>IF(A946="","",MIN(0,MAX(0,C946+E946-'Loan Inputs'!$B$17)))</f>
        <v/>
      </c>
    </row>
    <row r="947" spans="1:8" ht="22" customHeight="1">
      <c r="A947" s="1" t="str">
        <f>IF(AND('Loan Inputs'!$B$12,941&lt;=IF('Loan Inputs'!$B$12,'Loan Inputs'!$B$7,0)*'Loan Inputs'!$B$14+0,ISNUMBER(G946),G946&gt;0),941,"")</f>
        <v/>
      </c>
      <c r="B947" s="4" t="str">
        <f>IF(A947="","",IF('Loan Inputs'!$B$14=12,DATE(YEAR('Loan Inputs'!$B$8),MONTH('Loan Inputs'!$B$8)+A947,DAY('Loan Inputs'!$B$8)),'Loan Inputs'!$B$8+A947*IF('Loan Inputs'!$B$14=26,14,7)))</f>
        <v/>
      </c>
      <c r="C947" s="2" t="str">
        <f t="shared" si="44"/>
        <v/>
      </c>
      <c r="D947" s="2" t="str">
        <f>IF(A947="","",MIN('Loan Inputs'!$B$17,C947+E947)+H947)</f>
        <v/>
      </c>
      <c r="E947" s="2" t="str">
        <f>IF(A947="","",C947*'Loan Inputs'!$B$15)</f>
        <v/>
      </c>
      <c r="F947" s="2" t="str">
        <f t="shared" si="42"/>
        <v/>
      </c>
      <c r="G947" s="2" t="str">
        <f t="shared" si="43"/>
        <v/>
      </c>
      <c r="H947" s="2" t="str">
        <f>IF(A947="","",MIN(0,MAX(0,C947+E947-'Loan Inputs'!$B$17)))</f>
        <v/>
      </c>
    </row>
    <row r="948" spans="1:8" ht="22" customHeight="1">
      <c r="A948" s="1" t="str">
        <f>IF(AND('Loan Inputs'!$B$12,942&lt;=IF('Loan Inputs'!$B$12,'Loan Inputs'!$B$7,0)*'Loan Inputs'!$B$14+0,ISNUMBER(G947),G947&gt;0),942,"")</f>
        <v/>
      </c>
      <c r="B948" s="4" t="str">
        <f>IF(A948="","",IF('Loan Inputs'!$B$14=12,DATE(YEAR('Loan Inputs'!$B$8),MONTH('Loan Inputs'!$B$8)+A948,DAY('Loan Inputs'!$B$8)),'Loan Inputs'!$B$8+A948*IF('Loan Inputs'!$B$14=26,14,7)))</f>
        <v/>
      </c>
      <c r="C948" s="2" t="str">
        <f t="shared" si="44"/>
        <v/>
      </c>
      <c r="D948" s="2" t="str">
        <f>IF(A948="","",MIN('Loan Inputs'!$B$17,C948+E948)+H948)</f>
        <v/>
      </c>
      <c r="E948" s="2" t="str">
        <f>IF(A948="","",C948*'Loan Inputs'!$B$15)</f>
        <v/>
      </c>
      <c r="F948" s="2" t="str">
        <f t="shared" si="42"/>
        <v/>
      </c>
      <c r="G948" s="2" t="str">
        <f t="shared" si="43"/>
        <v/>
      </c>
      <c r="H948" s="2" t="str">
        <f>IF(A948="","",MIN(0,MAX(0,C948+E948-'Loan Inputs'!$B$17)))</f>
        <v/>
      </c>
    </row>
    <row r="949" spans="1:8" ht="22" customHeight="1">
      <c r="A949" s="1" t="str">
        <f>IF(AND('Loan Inputs'!$B$12,943&lt;=IF('Loan Inputs'!$B$12,'Loan Inputs'!$B$7,0)*'Loan Inputs'!$B$14+0,ISNUMBER(G948),G948&gt;0),943,"")</f>
        <v/>
      </c>
      <c r="B949" s="4" t="str">
        <f>IF(A949="","",IF('Loan Inputs'!$B$14=12,DATE(YEAR('Loan Inputs'!$B$8),MONTH('Loan Inputs'!$B$8)+A949,DAY('Loan Inputs'!$B$8)),'Loan Inputs'!$B$8+A949*IF('Loan Inputs'!$B$14=26,14,7)))</f>
        <v/>
      </c>
      <c r="C949" s="2" t="str">
        <f t="shared" si="44"/>
        <v/>
      </c>
      <c r="D949" s="2" t="str">
        <f>IF(A949="","",MIN('Loan Inputs'!$B$17,C949+E949)+H949)</f>
        <v/>
      </c>
      <c r="E949" s="2" t="str">
        <f>IF(A949="","",C949*'Loan Inputs'!$B$15)</f>
        <v/>
      </c>
      <c r="F949" s="2" t="str">
        <f t="shared" si="42"/>
        <v/>
      </c>
      <c r="G949" s="2" t="str">
        <f t="shared" si="43"/>
        <v/>
      </c>
      <c r="H949" s="2" t="str">
        <f>IF(A949="","",MIN(0,MAX(0,C949+E949-'Loan Inputs'!$B$17)))</f>
        <v/>
      </c>
    </row>
    <row r="950" spans="1:8" ht="22" customHeight="1">
      <c r="A950" s="1" t="str">
        <f>IF(AND('Loan Inputs'!$B$12,944&lt;=IF('Loan Inputs'!$B$12,'Loan Inputs'!$B$7,0)*'Loan Inputs'!$B$14+0,ISNUMBER(G949),G949&gt;0),944,"")</f>
        <v/>
      </c>
      <c r="B950" s="4" t="str">
        <f>IF(A950="","",IF('Loan Inputs'!$B$14=12,DATE(YEAR('Loan Inputs'!$B$8),MONTH('Loan Inputs'!$B$8)+A950,DAY('Loan Inputs'!$B$8)),'Loan Inputs'!$B$8+A950*IF('Loan Inputs'!$B$14=26,14,7)))</f>
        <v/>
      </c>
      <c r="C950" s="2" t="str">
        <f t="shared" si="44"/>
        <v/>
      </c>
      <c r="D950" s="2" t="str">
        <f>IF(A950="","",MIN('Loan Inputs'!$B$17,C950+E950)+H950)</f>
        <v/>
      </c>
      <c r="E950" s="2" t="str">
        <f>IF(A950="","",C950*'Loan Inputs'!$B$15)</f>
        <v/>
      </c>
      <c r="F950" s="2" t="str">
        <f t="shared" si="42"/>
        <v/>
      </c>
      <c r="G950" s="2" t="str">
        <f t="shared" si="43"/>
        <v/>
      </c>
      <c r="H950" s="2" t="str">
        <f>IF(A950="","",MIN(0,MAX(0,C950+E950-'Loan Inputs'!$B$17)))</f>
        <v/>
      </c>
    </row>
    <row r="951" spans="1:8" ht="22" customHeight="1">
      <c r="A951" s="1" t="str">
        <f>IF(AND('Loan Inputs'!$B$12,945&lt;=IF('Loan Inputs'!$B$12,'Loan Inputs'!$B$7,0)*'Loan Inputs'!$B$14+0,ISNUMBER(G950),G950&gt;0),945,"")</f>
        <v/>
      </c>
      <c r="B951" s="4" t="str">
        <f>IF(A951="","",IF('Loan Inputs'!$B$14=12,DATE(YEAR('Loan Inputs'!$B$8),MONTH('Loan Inputs'!$B$8)+A951,DAY('Loan Inputs'!$B$8)),'Loan Inputs'!$B$8+A951*IF('Loan Inputs'!$B$14=26,14,7)))</f>
        <v/>
      </c>
      <c r="C951" s="2" t="str">
        <f t="shared" si="44"/>
        <v/>
      </c>
      <c r="D951" s="2" t="str">
        <f>IF(A951="","",MIN('Loan Inputs'!$B$17,C951+E951)+H951)</f>
        <v/>
      </c>
      <c r="E951" s="2" t="str">
        <f>IF(A951="","",C951*'Loan Inputs'!$B$15)</f>
        <v/>
      </c>
      <c r="F951" s="2" t="str">
        <f t="shared" si="42"/>
        <v/>
      </c>
      <c r="G951" s="2" t="str">
        <f t="shared" si="43"/>
        <v/>
      </c>
      <c r="H951" s="2" t="str">
        <f>IF(A951="","",MIN(0,MAX(0,C951+E951-'Loan Inputs'!$B$17)))</f>
        <v/>
      </c>
    </row>
    <row r="952" spans="1:8" ht="22" customHeight="1">
      <c r="A952" s="1" t="str">
        <f>IF(AND('Loan Inputs'!$B$12,946&lt;=IF('Loan Inputs'!$B$12,'Loan Inputs'!$B$7,0)*'Loan Inputs'!$B$14+0,ISNUMBER(G951),G951&gt;0),946,"")</f>
        <v/>
      </c>
      <c r="B952" s="4" t="str">
        <f>IF(A952="","",IF('Loan Inputs'!$B$14=12,DATE(YEAR('Loan Inputs'!$B$8),MONTH('Loan Inputs'!$B$8)+A952,DAY('Loan Inputs'!$B$8)),'Loan Inputs'!$B$8+A952*IF('Loan Inputs'!$B$14=26,14,7)))</f>
        <v/>
      </c>
      <c r="C952" s="2" t="str">
        <f t="shared" si="44"/>
        <v/>
      </c>
      <c r="D952" s="2" t="str">
        <f>IF(A952="","",MIN('Loan Inputs'!$B$17,C952+E952)+H952)</f>
        <v/>
      </c>
      <c r="E952" s="2" t="str">
        <f>IF(A952="","",C952*'Loan Inputs'!$B$15)</f>
        <v/>
      </c>
      <c r="F952" s="2" t="str">
        <f t="shared" si="42"/>
        <v/>
      </c>
      <c r="G952" s="2" t="str">
        <f t="shared" si="43"/>
        <v/>
      </c>
      <c r="H952" s="2" t="str">
        <f>IF(A952="","",MIN(0,MAX(0,C952+E952-'Loan Inputs'!$B$17)))</f>
        <v/>
      </c>
    </row>
    <row r="953" spans="1:8" ht="22" customHeight="1">
      <c r="A953" s="1" t="str">
        <f>IF(AND('Loan Inputs'!$B$12,947&lt;=IF('Loan Inputs'!$B$12,'Loan Inputs'!$B$7,0)*'Loan Inputs'!$B$14+0,ISNUMBER(G952),G952&gt;0),947,"")</f>
        <v/>
      </c>
      <c r="B953" s="4" t="str">
        <f>IF(A953="","",IF('Loan Inputs'!$B$14=12,DATE(YEAR('Loan Inputs'!$B$8),MONTH('Loan Inputs'!$B$8)+A953,DAY('Loan Inputs'!$B$8)),'Loan Inputs'!$B$8+A953*IF('Loan Inputs'!$B$14=26,14,7)))</f>
        <v/>
      </c>
      <c r="C953" s="2" t="str">
        <f t="shared" si="44"/>
        <v/>
      </c>
      <c r="D953" s="2" t="str">
        <f>IF(A953="","",MIN('Loan Inputs'!$B$17,C953+E953)+H953)</f>
        <v/>
      </c>
      <c r="E953" s="2" t="str">
        <f>IF(A953="","",C953*'Loan Inputs'!$B$15)</f>
        <v/>
      </c>
      <c r="F953" s="2" t="str">
        <f t="shared" si="42"/>
        <v/>
      </c>
      <c r="G953" s="2" t="str">
        <f t="shared" si="43"/>
        <v/>
      </c>
      <c r="H953" s="2" t="str">
        <f>IF(A953="","",MIN(0,MAX(0,C953+E953-'Loan Inputs'!$B$17)))</f>
        <v/>
      </c>
    </row>
    <row r="954" spans="1:8" ht="22" customHeight="1">
      <c r="A954" s="1" t="str">
        <f>IF(AND('Loan Inputs'!$B$12,948&lt;=IF('Loan Inputs'!$B$12,'Loan Inputs'!$B$7,0)*'Loan Inputs'!$B$14+0,ISNUMBER(G953),G953&gt;0),948,"")</f>
        <v/>
      </c>
      <c r="B954" s="4" t="str">
        <f>IF(A954="","",IF('Loan Inputs'!$B$14=12,DATE(YEAR('Loan Inputs'!$B$8),MONTH('Loan Inputs'!$B$8)+A954,DAY('Loan Inputs'!$B$8)),'Loan Inputs'!$B$8+A954*IF('Loan Inputs'!$B$14=26,14,7)))</f>
        <v/>
      </c>
      <c r="C954" s="2" t="str">
        <f t="shared" si="44"/>
        <v/>
      </c>
      <c r="D954" s="2" t="str">
        <f>IF(A954="","",MIN('Loan Inputs'!$B$17,C954+E954)+H954)</f>
        <v/>
      </c>
      <c r="E954" s="2" t="str">
        <f>IF(A954="","",C954*'Loan Inputs'!$B$15)</f>
        <v/>
      </c>
      <c r="F954" s="2" t="str">
        <f t="shared" si="42"/>
        <v/>
      </c>
      <c r="G954" s="2" t="str">
        <f t="shared" si="43"/>
        <v/>
      </c>
      <c r="H954" s="2" t="str">
        <f>IF(A954="","",MIN(0,MAX(0,C954+E954-'Loan Inputs'!$B$17)))</f>
        <v/>
      </c>
    </row>
    <row r="955" spans="1:8" ht="22" customHeight="1">
      <c r="A955" s="1" t="str">
        <f>IF(AND('Loan Inputs'!$B$12,949&lt;=IF('Loan Inputs'!$B$12,'Loan Inputs'!$B$7,0)*'Loan Inputs'!$B$14+0,ISNUMBER(G954),G954&gt;0),949,"")</f>
        <v/>
      </c>
      <c r="B955" s="4" t="str">
        <f>IF(A955="","",IF('Loan Inputs'!$B$14=12,DATE(YEAR('Loan Inputs'!$B$8),MONTH('Loan Inputs'!$B$8)+A955,DAY('Loan Inputs'!$B$8)),'Loan Inputs'!$B$8+A955*IF('Loan Inputs'!$B$14=26,14,7)))</f>
        <v/>
      </c>
      <c r="C955" s="2" t="str">
        <f t="shared" si="44"/>
        <v/>
      </c>
      <c r="D955" s="2" t="str">
        <f>IF(A955="","",MIN('Loan Inputs'!$B$17,C955+E955)+H955)</f>
        <v/>
      </c>
      <c r="E955" s="2" t="str">
        <f>IF(A955="","",C955*'Loan Inputs'!$B$15)</f>
        <v/>
      </c>
      <c r="F955" s="2" t="str">
        <f t="shared" si="42"/>
        <v/>
      </c>
      <c r="G955" s="2" t="str">
        <f t="shared" si="43"/>
        <v/>
      </c>
      <c r="H955" s="2" t="str">
        <f>IF(A955="","",MIN(0,MAX(0,C955+E955-'Loan Inputs'!$B$17)))</f>
        <v/>
      </c>
    </row>
    <row r="956" spans="1:8" ht="22" customHeight="1">
      <c r="A956" s="1" t="str">
        <f>IF(AND('Loan Inputs'!$B$12,950&lt;=IF('Loan Inputs'!$B$12,'Loan Inputs'!$B$7,0)*'Loan Inputs'!$B$14+0,ISNUMBER(G955),G955&gt;0),950,"")</f>
        <v/>
      </c>
      <c r="B956" s="4" t="str">
        <f>IF(A956="","",IF('Loan Inputs'!$B$14=12,DATE(YEAR('Loan Inputs'!$B$8),MONTH('Loan Inputs'!$B$8)+A956,DAY('Loan Inputs'!$B$8)),'Loan Inputs'!$B$8+A956*IF('Loan Inputs'!$B$14=26,14,7)))</f>
        <v/>
      </c>
      <c r="C956" s="2" t="str">
        <f t="shared" si="44"/>
        <v/>
      </c>
      <c r="D956" s="2" t="str">
        <f>IF(A956="","",MIN('Loan Inputs'!$B$17,C956+E956)+H956)</f>
        <v/>
      </c>
      <c r="E956" s="2" t="str">
        <f>IF(A956="","",C956*'Loan Inputs'!$B$15)</f>
        <v/>
      </c>
      <c r="F956" s="2" t="str">
        <f t="shared" si="42"/>
        <v/>
      </c>
      <c r="G956" s="2" t="str">
        <f t="shared" si="43"/>
        <v/>
      </c>
      <c r="H956" s="2" t="str">
        <f>IF(A956="","",MIN(0,MAX(0,C956+E956-'Loan Inputs'!$B$17)))</f>
        <v/>
      </c>
    </row>
    <row r="957" spans="1:8" ht="22" customHeight="1">
      <c r="A957" s="1" t="str">
        <f>IF(AND('Loan Inputs'!$B$12,951&lt;=IF('Loan Inputs'!$B$12,'Loan Inputs'!$B$7,0)*'Loan Inputs'!$B$14+0,ISNUMBER(G956),G956&gt;0),951,"")</f>
        <v/>
      </c>
      <c r="B957" s="4" t="str">
        <f>IF(A957="","",IF('Loan Inputs'!$B$14=12,DATE(YEAR('Loan Inputs'!$B$8),MONTH('Loan Inputs'!$B$8)+A957,DAY('Loan Inputs'!$B$8)),'Loan Inputs'!$B$8+A957*IF('Loan Inputs'!$B$14=26,14,7)))</f>
        <v/>
      </c>
      <c r="C957" s="2" t="str">
        <f t="shared" si="44"/>
        <v/>
      </c>
      <c r="D957" s="2" t="str">
        <f>IF(A957="","",MIN('Loan Inputs'!$B$17,C957+E957)+H957)</f>
        <v/>
      </c>
      <c r="E957" s="2" t="str">
        <f>IF(A957="","",C957*'Loan Inputs'!$B$15)</f>
        <v/>
      </c>
      <c r="F957" s="2" t="str">
        <f t="shared" si="42"/>
        <v/>
      </c>
      <c r="G957" s="2" t="str">
        <f t="shared" si="43"/>
        <v/>
      </c>
      <c r="H957" s="2" t="str">
        <f>IF(A957="","",MIN(0,MAX(0,C957+E957-'Loan Inputs'!$B$17)))</f>
        <v/>
      </c>
    </row>
    <row r="958" spans="1:8" ht="22" customHeight="1">
      <c r="A958" s="1" t="str">
        <f>IF(AND('Loan Inputs'!$B$12,952&lt;=IF('Loan Inputs'!$B$12,'Loan Inputs'!$B$7,0)*'Loan Inputs'!$B$14+0,ISNUMBER(G957),G957&gt;0),952,"")</f>
        <v/>
      </c>
      <c r="B958" s="4" t="str">
        <f>IF(A958="","",IF('Loan Inputs'!$B$14=12,DATE(YEAR('Loan Inputs'!$B$8),MONTH('Loan Inputs'!$B$8)+A958,DAY('Loan Inputs'!$B$8)),'Loan Inputs'!$B$8+A958*IF('Loan Inputs'!$B$14=26,14,7)))</f>
        <v/>
      </c>
      <c r="C958" s="2" t="str">
        <f t="shared" si="44"/>
        <v/>
      </c>
      <c r="D958" s="2" t="str">
        <f>IF(A958="","",MIN('Loan Inputs'!$B$17,C958+E958)+H958)</f>
        <v/>
      </c>
      <c r="E958" s="2" t="str">
        <f>IF(A958="","",C958*'Loan Inputs'!$B$15)</f>
        <v/>
      </c>
      <c r="F958" s="2" t="str">
        <f t="shared" si="42"/>
        <v/>
      </c>
      <c r="G958" s="2" t="str">
        <f t="shared" si="43"/>
        <v/>
      </c>
      <c r="H958" s="2" t="str">
        <f>IF(A958="","",MIN(0,MAX(0,C958+E958-'Loan Inputs'!$B$17)))</f>
        <v/>
      </c>
    </row>
    <row r="959" spans="1:8" ht="22" customHeight="1">
      <c r="A959" s="1" t="str">
        <f>IF(AND('Loan Inputs'!$B$12,953&lt;=IF('Loan Inputs'!$B$12,'Loan Inputs'!$B$7,0)*'Loan Inputs'!$B$14+0,ISNUMBER(G958),G958&gt;0),953,"")</f>
        <v/>
      </c>
      <c r="B959" s="4" t="str">
        <f>IF(A959="","",IF('Loan Inputs'!$B$14=12,DATE(YEAR('Loan Inputs'!$B$8),MONTH('Loan Inputs'!$B$8)+A959,DAY('Loan Inputs'!$B$8)),'Loan Inputs'!$B$8+A959*IF('Loan Inputs'!$B$14=26,14,7)))</f>
        <v/>
      </c>
      <c r="C959" s="2" t="str">
        <f t="shared" si="44"/>
        <v/>
      </c>
      <c r="D959" s="2" t="str">
        <f>IF(A959="","",MIN('Loan Inputs'!$B$17,C959+E959)+H959)</f>
        <v/>
      </c>
      <c r="E959" s="2" t="str">
        <f>IF(A959="","",C959*'Loan Inputs'!$B$15)</f>
        <v/>
      </c>
      <c r="F959" s="2" t="str">
        <f t="shared" si="42"/>
        <v/>
      </c>
      <c r="G959" s="2" t="str">
        <f t="shared" si="43"/>
        <v/>
      </c>
      <c r="H959" s="2" t="str">
        <f>IF(A959="","",MIN(0,MAX(0,C959+E959-'Loan Inputs'!$B$17)))</f>
        <v/>
      </c>
    </row>
    <row r="960" spans="1:8" ht="22" customHeight="1">
      <c r="A960" s="1" t="str">
        <f>IF(AND('Loan Inputs'!$B$12,954&lt;=IF('Loan Inputs'!$B$12,'Loan Inputs'!$B$7,0)*'Loan Inputs'!$B$14+0,ISNUMBER(G959),G959&gt;0),954,"")</f>
        <v/>
      </c>
      <c r="B960" s="4" t="str">
        <f>IF(A960="","",IF('Loan Inputs'!$B$14=12,DATE(YEAR('Loan Inputs'!$B$8),MONTH('Loan Inputs'!$B$8)+A960,DAY('Loan Inputs'!$B$8)),'Loan Inputs'!$B$8+A960*IF('Loan Inputs'!$B$14=26,14,7)))</f>
        <v/>
      </c>
      <c r="C960" s="2" t="str">
        <f t="shared" si="44"/>
        <v/>
      </c>
      <c r="D960" s="2" t="str">
        <f>IF(A960="","",MIN('Loan Inputs'!$B$17,C960+E960)+H960)</f>
        <v/>
      </c>
      <c r="E960" s="2" t="str">
        <f>IF(A960="","",C960*'Loan Inputs'!$B$15)</f>
        <v/>
      </c>
      <c r="F960" s="2" t="str">
        <f t="shared" si="42"/>
        <v/>
      </c>
      <c r="G960" s="2" t="str">
        <f t="shared" si="43"/>
        <v/>
      </c>
      <c r="H960" s="2" t="str">
        <f>IF(A960="","",MIN(0,MAX(0,C960+E960-'Loan Inputs'!$B$17)))</f>
        <v/>
      </c>
    </row>
    <row r="961" spans="1:8" ht="22" customHeight="1">
      <c r="A961" s="1" t="str">
        <f>IF(AND('Loan Inputs'!$B$12,955&lt;=IF('Loan Inputs'!$B$12,'Loan Inputs'!$B$7,0)*'Loan Inputs'!$B$14+0,ISNUMBER(G960),G960&gt;0),955,"")</f>
        <v/>
      </c>
      <c r="B961" s="4" t="str">
        <f>IF(A961="","",IF('Loan Inputs'!$B$14=12,DATE(YEAR('Loan Inputs'!$B$8),MONTH('Loan Inputs'!$B$8)+A961,DAY('Loan Inputs'!$B$8)),'Loan Inputs'!$B$8+A961*IF('Loan Inputs'!$B$14=26,14,7)))</f>
        <v/>
      </c>
      <c r="C961" s="2" t="str">
        <f t="shared" si="44"/>
        <v/>
      </c>
      <c r="D961" s="2" t="str">
        <f>IF(A961="","",MIN('Loan Inputs'!$B$17,C961+E961)+H961)</f>
        <v/>
      </c>
      <c r="E961" s="2" t="str">
        <f>IF(A961="","",C961*'Loan Inputs'!$B$15)</f>
        <v/>
      </c>
      <c r="F961" s="2" t="str">
        <f t="shared" si="42"/>
        <v/>
      </c>
      <c r="G961" s="2" t="str">
        <f t="shared" si="43"/>
        <v/>
      </c>
      <c r="H961" s="2" t="str">
        <f>IF(A961="","",MIN(0,MAX(0,C961+E961-'Loan Inputs'!$B$17)))</f>
        <v/>
      </c>
    </row>
    <row r="962" spans="1:8" ht="22" customHeight="1">
      <c r="A962" s="1" t="str">
        <f>IF(AND('Loan Inputs'!$B$12,956&lt;=IF('Loan Inputs'!$B$12,'Loan Inputs'!$B$7,0)*'Loan Inputs'!$B$14+0,ISNUMBER(G961),G961&gt;0),956,"")</f>
        <v/>
      </c>
      <c r="B962" s="4" t="str">
        <f>IF(A962="","",IF('Loan Inputs'!$B$14=12,DATE(YEAR('Loan Inputs'!$B$8),MONTH('Loan Inputs'!$B$8)+A962,DAY('Loan Inputs'!$B$8)),'Loan Inputs'!$B$8+A962*IF('Loan Inputs'!$B$14=26,14,7)))</f>
        <v/>
      </c>
      <c r="C962" s="2" t="str">
        <f t="shared" si="44"/>
        <v/>
      </c>
      <c r="D962" s="2" t="str">
        <f>IF(A962="","",MIN('Loan Inputs'!$B$17,C962+E962)+H962)</f>
        <v/>
      </c>
      <c r="E962" s="2" t="str">
        <f>IF(A962="","",C962*'Loan Inputs'!$B$15)</f>
        <v/>
      </c>
      <c r="F962" s="2" t="str">
        <f t="shared" si="42"/>
        <v/>
      </c>
      <c r="G962" s="2" t="str">
        <f t="shared" si="43"/>
        <v/>
      </c>
      <c r="H962" s="2" t="str">
        <f>IF(A962="","",MIN(0,MAX(0,C962+E962-'Loan Inputs'!$B$17)))</f>
        <v/>
      </c>
    </row>
    <row r="963" spans="1:8" ht="22" customHeight="1">
      <c r="A963" s="1" t="str">
        <f>IF(AND('Loan Inputs'!$B$12,957&lt;=IF('Loan Inputs'!$B$12,'Loan Inputs'!$B$7,0)*'Loan Inputs'!$B$14+0,ISNUMBER(G962),G962&gt;0),957,"")</f>
        <v/>
      </c>
      <c r="B963" s="4" t="str">
        <f>IF(A963="","",IF('Loan Inputs'!$B$14=12,DATE(YEAR('Loan Inputs'!$B$8),MONTH('Loan Inputs'!$B$8)+A963,DAY('Loan Inputs'!$B$8)),'Loan Inputs'!$B$8+A963*IF('Loan Inputs'!$B$14=26,14,7)))</f>
        <v/>
      </c>
      <c r="C963" s="2" t="str">
        <f t="shared" si="44"/>
        <v/>
      </c>
      <c r="D963" s="2" t="str">
        <f>IF(A963="","",MIN('Loan Inputs'!$B$17,C963+E963)+H963)</f>
        <v/>
      </c>
      <c r="E963" s="2" t="str">
        <f>IF(A963="","",C963*'Loan Inputs'!$B$15)</f>
        <v/>
      </c>
      <c r="F963" s="2" t="str">
        <f t="shared" si="42"/>
        <v/>
      </c>
      <c r="G963" s="2" t="str">
        <f t="shared" si="43"/>
        <v/>
      </c>
      <c r="H963" s="2" t="str">
        <f>IF(A963="","",MIN(0,MAX(0,C963+E963-'Loan Inputs'!$B$17)))</f>
        <v/>
      </c>
    </row>
    <row r="964" spans="1:8" ht="22" customHeight="1">
      <c r="A964" s="1" t="str">
        <f>IF(AND('Loan Inputs'!$B$12,958&lt;=IF('Loan Inputs'!$B$12,'Loan Inputs'!$B$7,0)*'Loan Inputs'!$B$14+0,ISNUMBER(G963),G963&gt;0),958,"")</f>
        <v/>
      </c>
      <c r="B964" s="4" t="str">
        <f>IF(A964="","",IF('Loan Inputs'!$B$14=12,DATE(YEAR('Loan Inputs'!$B$8),MONTH('Loan Inputs'!$B$8)+A964,DAY('Loan Inputs'!$B$8)),'Loan Inputs'!$B$8+A964*IF('Loan Inputs'!$B$14=26,14,7)))</f>
        <v/>
      </c>
      <c r="C964" s="2" t="str">
        <f t="shared" si="44"/>
        <v/>
      </c>
      <c r="D964" s="2" t="str">
        <f>IF(A964="","",MIN('Loan Inputs'!$B$17,C964+E964)+H964)</f>
        <v/>
      </c>
      <c r="E964" s="2" t="str">
        <f>IF(A964="","",C964*'Loan Inputs'!$B$15)</f>
        <v/>
      </c>
      <c r="F964" s="2" t="str">
        <f t="shared" si="42"/>
        <v/>
      </c>
      <c r="G964" s="2" t="str">
        <f t="shared" si="43"/>
        <v/>
      </c>
      <c r="H964" s="2" t="str">
        <f>IF(A964="","",MIN(0,MAX(0,C964+E964-'Loan Inputs'!$B$17)))</f>
        <v/>
      </c>
    </row>
    <row r="965" spans="1:8" ht="22" customHeight="1">
      <c r="A965" s="1" t="str">
        <f>IF(AND('Loan Inputs'!$B$12,959&lt;=IF('Loan Inputs'!$B$12,'Loan Inputs'!$B$7,0)*'Loan Inputs'!$B$14+0,ISNUMBER(G964),G964&gt;0),959,"")</f>
        <v/>
      </c>
      <c r="B965" s="4" t="str">
        <f>IF(A965="","",IF('Loan Inputs'!$B$14=12,DATE(YEAR('Loan Inputs'!$B$8),MONTH('Loan Inputs'!$B$8)+A965,DAY('Loan Inputs'!$B$8)),'Loan Inputs'!$B$8+A965*IF('Loan Inputs'!$B$14=26,14,7)))</f>
        <v/>
      </c>
      <c r="C965" s="2" t="str">
        <f t="shared" si="44"/>
        <v/>
      </c>
      <c r="D965" s="2" t="str">
        <f>IF(A965="","",MIN('Loan Inputs'!$B$17,C965+E965)+H965)</f>
        <v/>
      </c>
      <c r="E965" s="2" t="str">
        <f>IF(A965="","",C965*'Loan Inputs'!$B$15)</f>
        <v/>
      </c>
      <c r="F965" s="2" t="str">
        <f t="shared" si="42"/>
        <v/>
      </c>
      <c r="G965" s="2" t="str">
        <f t="shared" si="43"/>
        <v/>
      </c>
      <c r="H965" s="2" t="str">
        <f>IF(A965="","",MIN(0,MAX(0,C965+E965-'Loan Inputs'!$B$17)))</f>
        <v/>
      </c>
    </row>
    <row r="966" spans="1:8" ht="22" customHeight="1">
      <c r="A966" s="1" t="str">
        <f>IF(AND('Loan Inputs'!$B$12,960&lt;=IF('Loan Inputs'!$B$12,'Loan Inputs'!$B$7,0)*'Loan Inputs'!$B$14+0,ISNUMBER(G965),G965&gt;0),960,"")</f>
        <v/>
      </c>
      <c r="B966" s="4" t="str">
        <f>IF(A966="","",IF('Loan Inputs'!$B$14=12,DATE(YEAR('Loan Inputs'!$B$8),MONTH('Loan Inputs'!$B$8)+A966,DAY('Loan Inputs'!$B$8)),'Loan Inputs'!$B$8+A966*IF('Loan Inputs'!$B$14=26,14,7)))</f>
        <v/>
      </c>
      <c r="C966" s="2" t="str">
        <f t="shared" si="44"/>
        <v/>
      </c>
      <c r="D966" s="2" t="str">
        <f>IF(A966="","",MIN('Loan Inputs'!$B$17,C966+E966)+H966)</f>
        <v/>
      </c>
      <c r="E966" s="2" t="str">
        <f>IF(A966="","",C966*'Loan Inputs'!$B$15)</f>
        <v/>
      </c>
      <c r="F966" s="2" t="str">
        <f t="shared" si="42"/>
        <v/>
      </c>
      <c r="G966" s="2" t="str">
        <f t="shared" si="43"/>
        <v/>
      </c>
      <c r="H966" s="2" t="str">
        <f>IF(A966="","",MIN(0,MAX(0,C966+E966-'Loan Inputs'!$B$17)))</f>
        <v/>
      </c>
    </row>
    <row r="967" spans="1:8" ht="22" customHeight="1">
      <c r="A967" s="1" t="str">
        <f>IF(AND('Loan Inputs'!$B$12,961&lt;=IF('Loan Inputs'!$B$12,'Loan Inputs'!$B$7,0)*'Loan Inputs'!$B$14+0,ISNUMBER(G966),G966&gt;0),961,"")</f>
        <v/>
      </c>
      <c r="B967" s="4" t="str">
        <f>IF(A967="","",IF('Loan Inputs'!$B$14=12,DATE(YEAR('Loan Inputs'!$B$8),MONTH('Loan Inputs'!$B$8)+A967,DAY('Loan Inputs'!$B$8)),'Loan Inputs'!$B$8+A967*IF('Loan Inputs'!$B$14=26,14,7)))</f>
        <v/>
      </c>
      <c r="C967" s="2" t="str">
        <f t="shared" si="44"/>
        <v/>
      </c>
      <c r="D967" s="2" t="str">
        <f>IF(A967="","",MIN('Loan Inputs'!$B$17,C967+E967)+H967)</f>
        <v/>
      </c>
      <c r="E967" s="2" t="str">
        <f>IF(A967="","",C967*'Loan Inputs'!$B$15)</f>
        <v/>
      </c>
      <c r="F967" s="2" t="str">
        <f t="shared" ref="F967:F1030" si="45">IF(A967="","",MIN(C967,D967-E967))</f>
        <v/>
      </c>
      <c r="G967" s="2" t="str">
        <f t="shared" ref="G967:G1030" si="46">IF(A967="","",IF(C967-F967&lt;0.01,0,MAX(0,C967-F967)))</f>
        <v/>
      </c>
      <c r="H967" s="2" t="str">
        <f>IF(A967="","",MIN(0,MAX(0,C967+E967-'Loan Inputs'!$B$17)))</f>
        <v/>
      </c>
    </row>
    <row r="968" spans="1:8" ht="22" customHeight="1">
      <c r="A968" s="1" t="str">
        <f>IF(AND('Loan Inputs'!$B$12,962&lt;=IF('Loan Inputs'!$B$12,'Loan Inputs'!$B$7,0)*'Loan Inputs'!$B$14+0,ISNUMBER(G967),G967&gt;0),962,"")</f>
        <v/>
      </c>
      <c r="B968" s="4" t="str">
        <f>IF(A968="","",IF('Loan Inputs'!$B$14=12,DATE(YEAR('Loan Inputs'!$B$8),MONTH('Loan Inputs'!$B$8)+A968,DAY('Loan Inputs'!$B$8)),'Loan Inputs'!$B$8+A968*IF('Loan Inputs'!$B$14=26,14,7)))</f>
        <v/>
      </c>
      <c r="C968" s="2" t="str">
        <f t="shared" ref="C968:C1031" si="47">IF(A968="","",G967)</f>
        <v/>
      </c>
      <c r="D968" s="2" t="str">
        <f>IF(A968="","",MIN('Loan Inputs'!$B$17,C968+E968)+H968)</f>
        <v/>
      </c>
      <c r="E968" s="2" t="str">
        <f>IF(A968="","",C968*'Loan Inputs'!$B$15)</f>
        <v/>
      </c>
      <c r="F968" s="2" t="str">
        <f t="shared" si="45"/>
        <v/>
      </c>
      <c r="G968" s="2" t="str">
        <f t="shared" si="46"/>
        <v/>
      </c>
      <c r="H968" s="2" t="str">
        <f>IF(A968="","",MIN(0,MAX(0,C968+E968-'Loan Inputs'!$B$17)))</f>
        <v/>
      </c>
    </row>
    <row r="969" spans="1:8" ht="22" customHeight="1">
      <c r="A969" s="1" t="str">
        <f>IF(AND('Loan Inputs'!$B$12,963&lt;=IF('Loan Inputs'!$B$12,'Loan Inputs'!$B$7,0)*'Loan Inputs'!$B$14+0,ISNUMBER(G968),G968&gt;0),963,"")</f>
        <v/>
      </c>
      <c r="B969" s="4" t="str">
        <f>IF(A969="","",IF('Loan Inputs'!$B$14=12,DATE(YEAR('Loan Inputs'!$B$8),MONTH('Loan Inputs'!$B$8)+A969,DAY('Loan Inputs'!$B$8)),'Loan Inputs'!$B$8+A969*IF('Loan Inputs'!$B$14=26,14,7)))</f>
        <v/>
      </c>
      <c r="C969" s="2" t="str">
        <f t="shared" si="47"/>
        <v/>
      </c>
      <c r="D969" s="2" t="str">
        <f>IF(A969="","",MIN('Loan Inputs'!$B$17,C969+E969)+H969)</f>
        <v/>
      </c>
      <c r="E969" s="2" t="str">
        <f>IF(A969="","",C969*'Loan Inputs'!$B$15)</f>
        <v/>
      </c>
      <c r="F969" s="2" t="str">
        <f t="shared" si="45"/>
        <v/>
      </c>
      <c r="G969" s="2" t="str">
        <f t="shared" si="46"/>
        <v/>
      </c>
      <c r="H969" s="2" t="str">
        <f>IF(A969="","",MIN(0,MAX(0,C969+E969-'Loan Inputs'!$B$17)))</f>
        <v/>
      </c>
    </row>
    <row r="970" spans="1:8" ht="22" customHeight="1">
      <c r="A970" s="1" t="str">
        <f>IF(AND('Loan Inputs'!$B$12,964&lt;=IF('Loan Inputs'!$B$12,'Loan Inputs'!$B$7,0)*'Loan Inputs'!$B$14+0,ISNUMBER(G969),G969&gt;0),964,"")</f>
        <v/>
      </c>
      <c r="B970" s="4" t="str">
        <f>IF(A970="","",IF('Loan Inputs'!$B$14=12,DATE(YEAR('Loan Inputs'!$B$8),MONTH('Loan Inputs'!$B$8)+A970,DAY('Loan Inputs'!$B$8)),'Loan Inputs'!$B$8+A970*IF('Loan Inputs'!$B$14=26,14,7)))</f>
        <v/>
      </c>
      <c r="C970" s="2" t="str">
        <f t="shared" si="47"/>
        <v/>
      </c>
      <c r="D970" s="2" t="str">
        <f>IF(A970="","",MIN('Loan Inputs'!$B$17,C970+E970)+H970)</f>
        <v/>
      </c>
      <c r="E970" s="2" t="str">
        <f>IF(A970="","",C970*'Loan Inputs'!$B$15)</f>
        <v/>
      </c>
      <c r="F970" s="2" t="str">
        <f t="shared" si="45"/>
        <v/>
      </c>
      <c r="G970" s="2" t="str">
        <f t="shared" si="46"/>
        <v/>
      </c>
      <c r="H970" s="2" t="str">
        <f>IF(A970="","",MIN(0,MAX(0,C970+E970-'Loan Inputs'!$B$17)))</f>
        <v/>
      </c>
    </row>
    <row r="971" spans="1:8" ht="22" customHeight="1">
      <c r="A971" s="1" t="str">
        <f>IF(AND('Loan Inputs'!$B$12,965&lt;=IF('Loan Inputs'!$B$12,'Loan Inputs'!$B$7,0)*'Loan Inputs'!$B$14+0,ISNUMBER(G970),G970&gt;0),965,"")</f>
        <v/>
      </c>
      <c r="B971" s="4" t="str">
        <f>IF(A971="","",IF('Loan Inputs'!$B$14=12,DATE(YEAR('Loan Inputs'!$B$8),MONTH('Loan Inputs'!$B$8)+A971,DAY('Loan Inputs'!$B$8)),'Loan Inputs'!$B$8+A971*IF('Loan Inputs'!$B$14=26,14,7)))</f>
        <v/>
      </c>
      <c r="C971" s="2" t="str">
        <f t="shared" si="47"/>
        <v/>
      </c>
      <c r="D971" s="2" t="str">
        <f>IF(A971="","",MIN('Loan Inputs'!$B$17,C971+E971)+H971)</f>
        <v/>
      </c>
      <c r="E971" s="2" t="str">
        <f>IF(A971="","",C971*'Loan Inputs'!$B$15)</f>
        <v/>
      </c>
      <c r="F971" s="2" t="str">
        <f t="shared" si="45"/>
        <v/>
      </c>
      <c r="G971" s="2" t="str">
        <f t="shared" si="46"/>
        <v/>
      </c>
      <c r="H971" s="2" t="str">
        <f>IF(A971="","",MIN(0,MAX(0,C971+E971-'Loan Inputs'!$B$17)))</f>
        <v/>
      </c>
    </row>
    <row r="972" spans="1:8" ht="22" customHeight="1">
      <c r="A972" s="1" t="str">
        <f>IF(AND('Loan Inputs'!$B$12,966&lt;=IF('Loan Inputs'!$B$12,'Loan Inputs'!$B$7,0)*'Loan Inputs'!$B$14+0,ISNUMBER(G971),G971&gt;0),966,"")</f>
        <v/>
      </c>
      <c r="B972" s="4" t="str">
        <f>IF(A972="","",IF('Loan Inputs'!$B$14=12,DATE(YEAR('Loan Inputs'!$B$8),MONTH('Loan Inputs'!$B$8)+A972,DAY('Loan Inputs'!$B$8)),'Loan Inputs'!$B$8+A972*IF('Loan Inputs'!$B$14=26,14,7)))</f>
        <v/>
      </c>
      <c r="C972" s="2" t="str">
        <f t="shared" si="47"/>
        <v/>
      </c>
      <c r="D972" s="2" t="str">
        <f>IF(A972="","",MIN('Loan Inputs'!$B$17,C972+E972)+H972)</f>
        <v/>
      </c>
      <c r="E972" s="2" t="str">
        <f>IF(A972="","",C972*'Loan Inputs'!$B$15)</f>
        <v/>
      </c>
      <c r="F972" s="2" t="str">
        <f t="shared" si="45"/>
        <v/>
      </c>
      <c r="G972" s="2" t="str">
        <f t="shared" si="46"/>
        <v/>
      </c>
      <c r="H972" s="2" t="str">
        <f>IF(A972="","",MIN(0,MAX(0,C972+E972-'Loan Inputs'!$B$17)))</f>
        <v/>
      </c>
    </row>
    <row r="973" spans="1:8" ht="22" customHeight="1">
      <c r="A973" s="1" t="str">
        <f>IF(AND('Loan Inputs'!$B$12,967&lt;=IF('Loan Inputs'!$B$12,'Loan Inputs'!$B$7,0)*'Loan Inputs'!$B$14+0,ISNUMBER(G972),G972&gt;0),967,"")</f>
        <v/>
      </c>
      <c r="B973" s="4" t="str">
        <f>IF(A973="","",IF('Loan Inputs'!$B$14=12,DATE(YEAR('Loan Inputs'!$B$8),MONTH('Loan Inputs'!$B$8)+A973,DAY('Loan Inputs'!$B$8)),'Loan Inputs'!$B$8+A973*IF('Loan Inputs'!$B$14=26,14,7)))</f>
        <v/>
      </c>
      <c r="C973" s="2" t="str">
        <f t="shared" si="47"/>
        <v/>
      </c>
      <c r="D973" s="2" t="str">
        <f>IF(A973="","",MIN('Loan Inputs'!$B$17,C973+E973)+H973)</f>
        <v/>
      </c>
      <c r="E973" s="2" t="str">
        <f>IF(A973="","",C973*'Loan Inputs'!$B$15)</f>
        <v/>
      </c>
      <c r="F973" s="2" t="str">
        <f t="shared" si="45"/>
        <v/>
      </c>
      <c r="G973" s="2" t="str">
        <f t="shared" si="46"/>
        <v/>
      </c>
      <c r="H973" s="2" t="str">
        <f>IF(A973="","",MIN(0,MAX(0,C973+E973-'Loan Inputs'!$B$17)))</f>
        <v/>
      </c>
    </row>
    <row r="974" spans="1:8" ht="22" customHeight="1">
      <c r="A974" s="1" t="str">
        <f>IF(AND('Loan Inputs'!$B$12,968&lt;=IF('Loan Inputs'!$B$12,'Loan Inputs'!$B$7,0)*'Loan Inputs'!$B$14+0,ISNUMBER(G973),G973&gt;0),968,"")</f>
        <v/>
      </c>
      <c r="B974" s="4" t="str">
        <f>IF(A974="","",IF('Loan Inputs'!$B$14=12,DATE(YEAR('Loan Inputs'!$B$8),MONTH('Loan Inputs'!$B$8)+A974,DAY('Loan Inputs'!$B$8)),'Loan Inputs'!$B$8+A974*IF('Loan Inputs'!$B$14=26,14,7)))</f>
        <v/>
      </c>
      <c r="C974" s="2" t="str">
        <f t="shared" si="47"/>
        <v/>
      </c>
      <c r="D974" s="2" t="str">
        <f>IF(A974="","",MIN('Loan Inputs'!$B$17,C974+E974)+H974)</f>
        <v/>
      </c>
      <c r="E974" s="2" t="str">
        <f>IF(A974="","",C974*'Loan Inputs'!$B$15)</f>
        <v/>
      </c>
      <c r="F974" s="2" t="str">
        <f t="shared" si="45"/>
        <v/>
      </c>
      <c r="G974" s="2" t="str">
        <f t="shared" si="46"/>
        <v/>
      </c>
      <c r="H974" s="2" t="str">
        <f>IF(A974="","",MIN(0,MAX(0,C974+E974-'Loan Inputs'!$B$17)))</f>
        <v/>
      </c>
    </row>
    <row r="975" spans="1:8" ht="22" customHeight="1">
      <c r="A975" s="1" t="str">
        <f>IF(AND('Loan Inputs'!$B$12,969&lt;=IF('Loan Inputs'!$B$12,'Loan Inputs'!$B$7,0)*'Loan Inputs'!$B$14+0,ISNUMBER(G974),G974&gt;0),969,"")</f>
        <v/>
      </c>
      <c r="B975" s="4" t="str">
        <f>IF(A975="","",IF('Loan Inputs'!$B$14=12,DATE(YEAR('Loan Inputs'!$B$8),MONTH('Loan Inputs'!$B$8)+A975,DAY('Loan Inputs'!$B$8)),'Loan Inputs'!$B$8+A975*IF('Loan Inputs'!$B$14=26,14,7)))</f>
        <v/>
      </c>
      <c r="C975" s="2" t="str">
        <f t="shared" si="47"/>
        <v/>
      </c>
      <c r="D975" s="2" t="str">
        <f>IF(A975="","",MIN('Loan Inputs'!$B$17,C975+E975)+H975)</f>
        <v/>
      </c>
      <c r="E975" s="2" t="str">
        <f>IF(A975="","",C975*'Loan Inputs'!$B$15)</f>
        <v/>
      </c>
      <c r="F975" s="2" t="str">
        <f t="shared" si="45"/>
        <v/>
      </c>
      <c r="G975" s="2" t="str">
        <f t="shared" si="46"/>
        <v/>
      </c>
      <c r="H975" s="2" t="str">
        <f>IF(A975="","",MIN(0,MAX(0,C975+E975-'Loan Inputs'!$B$17)))</f>
        <v/>
      </c>
    </row>
    <row r="976" spans="1:8" ht="22" customHeight="1">
      <c r="A976" s="1" t="str">
        <f>IF(AND('Loan Inputs'!$B$12,970&lt;=IF('Loan Inputs'!$B$12,'Loan Inputs'!$B$7,0)*'Loan Inputs'!$B$14+0,ISNUMBER(G975),G975&gt;0),970,"")</f>
        <v/>
      </c>
      <c r="B976" s="4" t="str">
        <f>IF(A976="","",IF('Loan Inputs'!$B$14=12,DATE(YEAR('Loan Inputs'!$B$8),MONTH('Loan Inputs'!$B$8)+A976,DAY('Loan Inputs'!$B$8)),'Loan Inputs'!$B$8+A976*IF('Loan Inputs'!$B$14=26,14,7)))</f>
        <v/>
      </c>
      <c r="C976" s="2" t="str">
        <f t="shared" si="47"/>
        <v/>
      </c>
      <c r="D976" s="2" t="str">
        <f>IF(A976="","",MIN('Loan Inputs'!$B$17,C976+E976)+H976)</f>
        <v/>
      </c>
      <c r="E976" s="2" t="str">
        <f>IF(A976="","",C976*'Loan Inputs'!$B$15)</f>
        <v/>
      </c>
      <c r="F976" s="2" t="str">
        <f t="shared" si="45"/>
        <v/>
      </c>
      <c r="G976" s="2" t="str">
        <f t="shared" si="46"/>
        <v/>
      </c>
      <c r="H976" s="2" t="str">
        <f>IF(A976="","",MIN(0,MAX(0,C976+E976-'Loan Inputs'!$B$17)))</f>
        <v/>
      </c>
    </row>
    <row r="977" spans="1:8" ht="22" customHeight="1">
      <c r="A977" s="1" t="str">
        <f>IF(AND('Loan Inputs'!$B$12,971&lt;=IF('Loan Inputs'!$B$12,'Loan Inputs'!$B$7,0)*'Loan Inputs'!$B$14+0,ISNUMBER(G976),G976&gt;0),971,"")</f>
        <v/>
      </c>
      <c r="B977" s="4" t="str">
        <f>IF(A977="","",IF('Loan Inputs'!$B$14=12,DATE(YEAR('Loan Inputs'!$B$8),MONTH('Loan Inputs'!$B$8)+A977,DAY('Loan Inputs'!$B$8)),'Loan Inputs'!$B$8+A977*IF('Loan Inputs'!$B$14=26,14,7)))</f>
        <v/>
      </c>
      <c r="C977" s="2" t="str">
        <f t="shared" si="47"/>
        <v/>
      </c>
      <c r="D977" s="2" t="str">
        <f>IF(A977="","",MIN('Loan Inputs'!$B$17,C977+E977)+H977)</f>
        <v/>
      </c>
      <c r="E977" s="2" t="str">
        <f>IF(A977="","",C977*'Loan Inputs'!$B$15)</f>
        <v/>
      </c>
      <c r="F977" s="2" t="str">
        <f t="shared" si="45"/>
        <v/>
      </c>
      <c r="G977" s="2" t="str">
        <f t="shared" si="46"/>
        <v/>
      </c>
      <c r="H977" s="2" t="str">
        <f>IF(A977="","",MIN(0,MAX(0,C977+E977-'Loan Inputs'!$B$17)))</f>
        <v/>
      </c>
    </row>
    <row r="978" spans="1:8" ht="22" customHeight="1">
      <c r="A978" s="1" t="str">
        <f>IF(AND('Loan Inputs'!$B$12,972&lt;=IF('Loan Inputs'!$B$12,'Loan Inputs'!$B$7,0)*'Loan Inputs'!$B$14+0,ISNUMBER(G977),G977&gt;0),972,"")</f>
        <v/>
      </c>
      <c r="B978" s="4" t="str">
        <f>IF(A978="","",IF('Loan Inputs'!$B$14=12,DATE(YEAR('Loan Inputs'!$B$8),MONTH('Loan Inputs'!$B$8)+A978,DAY('Loan Inputs'!$B$8)),'Loan Inputs'!$B$8+A978*IF('Loan Inputs'!$B$14=26,14,7)))</f>
        <v/>
      </c>
      <c r="C978" s="2" t="str">
        <f t="shared" si="47"/>
        <v/>
      </c>
      <c r="D978" s="2" t="str">
        <f>IF(A978="","",MIN('Loan Inputs'!$B$17,C978+E978)+H978)</f>
        <v/>
      </c>
      <c r="E978" s="2" t="str">
        <f>IF(A978="","",C978*'Loan Inputs'!$B$15)</f>
        <v/>
      </c>
      <c r="F978" s="2" t="str">
        <f t="shared" si="45"/>
        <v/>
      </c>
      <c r="G978" s="2" t="str">
        <f t="shared" si="46"/>
        <v/>
      </c>
      <c r="H978" s="2" t="str">
        <f>IF(A978="","",MIN(0,MAX(0,C978+E978-'Loan Inputs'!$B$17)))</f>
        <v/>
      </c>
    </row>
    <row r="979" spans="1:8" ht="22" customHeight="1">
      <c r="A979" s="1" t="str">
        <f>IF(AND('Loan Inputs'!$B$12,973&lt;=IF('Loan Inputs'!$B$12,'Loan Inputs'!$B$7,0)*'Loan Inputs'!$B$14+0,ISNUMBER(G978),G978&gt;0),973,"")</f>
        <v/>
      </c>
      <c r="B979" s="4" t="str">
        <f>IF(A979="","",IF('Loan Inputs'!$B$14=12,DATE(YEAR('Loan Inputs'!$B$8),MONTH('Loan Inputs'!$B$8)+A979,DAY('Loan Inputs'!$B$8)),'Loan Inputs'!$B$8+A979*IF('Loan Inputs'!$B$14=26,14,7)))</f>
        <v/>
      </c>
      <c r="C979" s="2" t="str">
        <f t="shared" si="47"/>
        <v/>
      </c>
      <c r="D979" s="2" t="str">
        <f>IF(A979="","",MIN('Loan Inputs'!$B$17,C979+E979)+H979)</f>
        <v/>
      </c>
      <c r="E979" s="2" t="str">
        <f>IF(A979="","",C979*'Loan Inputs'!$B$15)</f>
        <v/>
      </c>
      <c r="F979" s="2" t="str">
        <f t="shared" si="45"/>
        <v/>
      </c>
      <c r="G979" s="2" t="str">
        <f t="shared" si="46"/>
        <v/>
      </c>
      <c r="H979" s="2" t="str">
        <f>IF(A979="","",MIN(0,MAX(0,C979+E979-'Loan Inputs'!$B$17)))</f>
        <v/>
      </c>
    </row>
    <row r="980" spans="1:8" ht="22" customHeight="1">
      <c r="A980" s="1" t="str">
        <f>IF(AND('Loan Inputs'!$B$12,974&lt;=IF('Loan Inputs'!$B$12,'Loan Inputs'!$B$7,0)*'Loan Inputs'!$B$14+0,ISNUMBER(G979),G979&gt;0),974,"")</f>
        <v/>
      </c>
      <c r="B980" s="4" t="str">
        <f>IF(A980="","",IF('Loan Inputs'!$B$14=12,DATE(YEAR('Loan Inputs'!$B$8),MONTH('Loan Inputs'!$B$8)+A980,DAY('Loan Inputs'!$B$8)),'Loan Inputs'!$B$8+A980*IF('Loan Inputs'!$B$14=26,14,7)))</f>
        <v/>
      </c>
      <c r="C980" s="2" t="str">
        <f t="shared" si="47"/>
        <v/>
      </c>
      <c r="D980" s="2" t="str">
        <f>IF(A980="","",MIN('Loan Inputs'!$B$17,C980+E980)+H980)</f>
        <v/>
      </c>
      <c r="E980" s="2" t="str">
        <f>IF(A980="","",C980*'Loan Inputs'!$B$15)</f>
        <v/>
      </c>
      <c r="F980" s="2" t="str">
        <f t="shared" si="45"/>
        <v/>
      </c>
      <c r="G980" s="2" t="str">
        <f t="shared" si="46"/>
        <v/>
      </c>
      <c r="H980" s="2" t="str">
        <f>IF(A980="","",MIN(0,MAX(0,C980+E980-'Loan Inputs'!$B$17)))</f>
        <v/>
      </c>
    </row>
    <row r="981" spans="1:8" ht="22" customHeight="1">
      <c r="A981" s="1" t="str">
        <f>IF(AND('Loan Inputs'!$B$12,975&lt;=IF('Loan Inputs'!$B$12,'Loan Inputs'!$B$7,0)*'Loan Inputs'!$B$14+0,ISNUMBER(G980),G980&gt;0),975,"")</f>
        <v/>
      </c>
      <c r="B981" s="4" t="str">
        <f>IF(A981="","",IF('Loan Inputs'!$B$14=12,DATE(YEAR('Loan Inputs'!$B$8),MONTH('Loan Inputs'!$B$8)+A981,DAY('Loan Inputs'!$B$8)),'Loan Inputs'!$B$8+A981*IF('Loan Inputs'!$B$14=26,14,7)))</f>
        <v/>
      </c>
      <c r="C981" s="2" t="str">
        <f t="shared" si="47"/>
        <v/>
      </c>
      <c r="D981" s="2" t="str">
        <f>IF(A981="","",MIN('Loan Inputs'!$B$17,C981+E981)+H981)</f>
        <v/>
      </c>
      <c r="E981" s="2" t="str">
        <f>IF(A981="","",C981*'Loan Inputs'!$B$15)</f>
        <v/>
      </c>
      <c r="F981" s="2" t="str">
        <f t="shared" si="45"/>
        <v/>
      </c>
      <c r="G981" s="2" t="str">
        <f t="shared" si="46"/>
        <v/>
      </c>
      <c r="H981" s="2" t="str">
        <f>IF(A981="","",MIN(0,MAX(0,C981+E981-'Loan Inputs'!$B$17)))</f>
        <v/>
      </c>
    </row>
    <row r="982" spans="1:8" ht="22" customHeight="1">
      <c r="A982" s="1" t="str">
        <f>IF(AND('Loan Inputs'!$B$12,976&lt;=IF('Loan Inputs'!$B$12,'Loan Inputs'!$B$7,0)*'Loan Inputs'!$B$14+0,ISNUMBER(G981),G981&gt;0),976,"")</f>
        <v/>
      </c>
      <c r="B982" s="4" t="str">
        <f>IF(A982="","",IF('Loan Inputs'!$B$14=12,DATE(YEAR('Loan Inputs'!$B$8),MONTH('Loan Inputs'!$B$8)+A982,DAY('Loan Inputs'!$B$8)),'Loan Inputs'!$B$8+A982*IF('Loan Inputs'!$B$14=26,14,7)))</f>
        <v/>
      </c>
      <c r="C982" s="2" t="str">
        <f t="shared" si="47"/>
        <v/>
      </c>
      <c r="D982" s="2" t="str">
        <f>IF(A982="","",MIN('Loan Inputs'!$B$17,C982+E982)+H982)</f>
        <v/>
      </c>
      <c r="E982" s="2" t="str">
        <f>IF(A982="","",C982*'Loan Inputs'!$B$15)</f>
        <v/>
      </c>
      <c r="F982" s="2" t="str">
        <f t="shared" si="45"/>
        <v/>
      </c>
      <c r="G982" s="2" t="str">
        <f t="shared" si="46"/>
        <v/>
      </c>
      <c r="H982" s="2" t="str">
        <f>IF(A982="","",MIN(0,MAX(0,C982+E982-'Loan Inputs'!$B$17)))</f>
        <v/>
      </c>
    </row>
    <row r="983" spans="1:8" ht="22" customHeight="1">
      <c r="A983" s="1" t="str">
        <f>IF(AND('Loan Inputs'!$B$12,977&lt;=IF('Loan Inputs'!$B$12,'Loan Inputs'!$B$7,0)*'Loan Inputs'!$B$14+0,ISNUMBER(G982),G982&gt;0),977,"")</f>
        <v/>
      </c>
      <c r="B983" s="4" t="str">
        <f>IF(A983="","",IF('Loan Inputs'!$B$14=12,DATE(YEAR('Loan Inputs'!$B$8),MONTH('Loan Inputs'!$B$8)+A983,DAY('Loan Inputs'!$B$8)),'Loan Inputs'!$B$8+A983*IF('Loan Inputs'!$B$14=26,14,7)))</f>
        <v/>
      </c>
      <c r="C983" s="2" t="str">
        <f t="shared" si="47"/>
        <v/>
      </c>
      <c r="D983" s="2" t="str">
        <f>IF(A983="","",MIN('Loan Inputs'!$B$17,C983+E983)+H983)</f>
        <v/>
      </c>
      <c r="E983" s="2" t="str">
        <f>IF(A983="","",C983*'Loan Inputs'!$B$15)</f>
        <v/>
      </c>
      <c r="F983" s="2" t="str">
        <f t="shared" si="45"/>
        <v/>
      </c>
      <c r="G983" s="2" t="str">
        <f t="shared" si="46"/>
        <v/>
      </c>
      <c r="H983" s="2" t="str">
        <f>IF(A983="","",MIN(0,MAX(0,C983+E983-'Loan Inputs'!$B$17)))</f>
        <v/>
      </c>
    </row>
    <row r="984" spans="1:8" ht="22" customHeight="1">
      <c r="A984" s="1" t="str">
        <f>IF(AND('Loan Inputs'!$B$12,978&lt;=IF('Loan Inputs'!$B$12,'Loan Inputs'!$B$7,0)*'Loan Inputs'!$B$14+0,ISNUMBER(G983),G983&gt;0),978,"")</f>
        <v/>
      </c>
      <c r="B984" s="4" t="str">
        <f>IF(A984="","",IF('Loan Inputs'!$B$14=12,DATE(YEAR('Loan Inputs'!$B$8),MONTH('Loan Inputs'!$B$8)+A984,DAY('Loan Inputs'!$B$8)),'Loan Inputs'!$B$8+A984*IF('Loan Inputs'!$B$14=26,14,7)))</f>
        <v/>
      </c>
      <c r="C984" s="2" t="str">
        <f t="shared" si="47"/>
        <v/>
      </c>
      <c r="D984" s="2" t="str">
        <f>IF(A984="","",MIN('Loan Inputs'!$B$17,C984+E984)+H984)</f>
        <v/>
      </c>
      <c r="E984" s="2" t="str">
        <f>IF(A984="","",C984*'Loan Inputs'!$B$15)</f>
        <v/>
      </c>
      <c r="F984" s="2" t="str">
        <f t="shared" si="45"/>
        <v/>
      </c>
      <c r="G984" s="2" t="str">
        <f t="shared" si="46"/>
        <v/>
      </c>
      <c r="H984" s="2" t="str">
        <f>IF(A984="","",MIN(0,MAX(0,C984+E984-'Loan Inputs'!$B$17)))</f>
        <v/>
      </c>
    </row>
    <row r="985" spans="1:8" ht="22" customHeight="1">
      <c r="A985" s="1" t="str">
        <f>IF(AND('Loan Inputs'!$B$12,979&lt;=IF('Loan Inputs'!$B$12,'Loan Inputs'!$B$7,0)*'Loan Inputs'!$B$14+0,ISNUMBER(G984),G984&gt;0),979,"")</f>
        <v/>
      </c>
      <c r="B985" s="4" t="str">
        <f>IF(A985="","",IF('Loan Inputs'!$B$14=12,DATE(YEAR('Loan Inputs'!$B$8),MONTH('Loan Inputs'!$B$8)+A985,DAY('Loan Inputs'!$B$8)),'Loan Inputs'!$B$8+A985*IF('Loan Inputs'!$B$14=26,14,7)))</f>
        <v/>
      </c>
      <c r="C985" s="2" t="str">
        <f t="shared" si="47"/>
        <v/>
      </c>
      <c r="D985" s="2" t="str">
        <f>IF(A985="","",MIN('Loan Inputs'!$B$17,C985+E985)+H985)</f>
        <v/>
      </c>
      <c r="E985" s="2" t="str">
        <f>IF(A985="","",C985*'Loan Inputs'!$B$15)</f>
        <v/>
      </c>
      <c r="F985" s="2" t="str">
        <f t="shared" si="45"/>
        <v/>
      </c>
      <c r="G985" s="2" t="str">
        <f t="shared" si="46"/>
        <v/>
      </c>
      <c r="H985" s="2" t="str">
        <f>IF(A985="","",MIN(0,MAX(0,C985+E985-'Loan Inputs'!$B$17)))</f>
        <v/>
      </c>
    </row>
    <row r="986" spans="1:8" ht="22" customHeight="1">
      <c r="A986" s="1" t="str">
        <f>IF(AND('Loan Inputs'!$B$12,980&lt;=IF('Loan Inputs'!$B$12,'Loan Inputs'!$B$7,0)*'Loan Inputs'!$B$14+0,ISNUMBER(G985),G985&gt;0),980,"")</f>
        <v/>
      </c>
      <c r="B986" s="4" t="str">
        <f>IF(A986="","",IF('Loan Inputs'!$B$14=12,DATE(YEAR('Loan Inputs'!$B$8),MONTH('Loan Inputs'!$B$8)+A986,DAY('Loan Inputs'!$B$8)),'Loan Inputs'!$B$8+A986*IF('Loan Inputs'!$B$14=26,14,7)))</f>
        <v/>
      </c>
      <c r="C986" s="2" t="str">
        <f t="shared" si="47"/>
        <v/>
      </c>
      <c r="D986" s="2" t="str">
        <f>IF(A986="","",MIN('Loan Inputs'!$B$17,C986+E986)+H986)</f>
        <v/>
      </c>
      <c r="E986" s="2" t="str">
        <f>IF(A986="","",C986*'Loan Inputs'!$B$15)</f>
        <v/>
      </c>
      <c r="F986" s="2" t="str">
        <f t="shared" si="45"/>
        <v/>
      </c>
      <c r="G986" s="2" t="str">
        <f t="shared" si="46"/>
        <v/>
      </c>
      <c r="H986" s="2" t="str">
        <f>IF(A986="","",MIN(0,MAX(0,C986+E986-'Loan Inputs'!$B$17)))</f>
        <v/>
      </c>
    </row>
    <row r="987" spans="1:8" ht="22" customHeight="1">
      <c r="A987" s="1" t="str">
        <f>IF(AND('Loan Inputs'!$B$12,981&lt;=IF('Loan Inputs'!$B$12,'Loan Inputs'!$B$7,0)*'Loan Inputs'!$B$14+0,ISNUMBER(G986),G986&gt;0),981,"")</f>
        <v/>
      </c>
      <c r="B987" s="4" t="str">
        <f>IF(A987="","",IF('Loan Inputs'!$B$14=12,DATE(YEAR('Loan Inputs'!$B$8),MONTH('Loan Inputs'!$B$8)+A987,DAY('Loan Inputs'!$B$8)),'Loan Inputs'!$B$8+A987*IF('Loan Inputs'!$B$14=26,14,7)))</f>
        <v/>
      </c>
      <c r="C987" s="2" t="str">
        <f t="shared" si="47"/>
        <v/>
      </c>
      <c r="D987" s="2" t="str">
        <f>IF(A987="","",MIN('Loan Inputs'!$B$17,C987+E987)+H987)</f>
        <v/>
      </c>
      <c r="E987" s="2" t="str">
        <f>IF(A987="","",C987*'Loan Inputs'!$B$15)</f>
        <v/>
      </c>
      <c r="F987" s="2" t="str">
        <f t="shared" si="45"/>
        <v/>
      </c>
      <c r="G987" s="2" t="str">
        <f t="shared" si="46"/>
        <v/>
      </c>
      <c r="H987" s="2" t="str">
        <f>IF(A987="","",MIN(0,MAX(0,C987+E987-'Loan Inputs'!$B$17)))</f>
        <v/>
      </c>
    </row>
    <row r="988" spans="1:8" ht="22" customHeight="1">
      <c r="A988" s="1" t="str">
        <f>IF(AND('Loan Inputs'!$B$12,982&lt;=IF('Loan Inputs'!$B$12,'Loan Inputs'!$B$7,0)*'Loan Inputs'!$B$14+0,ISNUMBER(G987),G987&gt;0),982,"")</f>
        <v/>
      </c>
      <c r="B988" s="4" t="str">
        <f>IF(A988="","",IF('Loan Inputs'!$B$14=12,DATE(YEAR('Loan Inputs'!$B$8),MONTH('Loan Inputs'!$B$8)+A988,DAY('Loan Inputs'!$B$8)),'Loan Inputs'!$B$8+A988*IF('Loan Inputs'!$B$14=26,14,7)))</f>
        <v/>
      </c>
      <c r="C988" s="2" t="str">
        <f t="shared" si="47"/>
        <v/>
      </c>
      <c r="D988" s="2" t="str">
        <f>IF(A988="","",MIN('Loan Inputs'!$B$17,C988+E988)+H988)</f>
        <v/>
      </c>
      <c r="E988" s="2" t="str">
        <f>IF(A988="","",C988*'Loan Inputs'!$B$15)</f>
        <v/>
      </c>
      <c r="F988" s="2" t="str">
        <f t="shared" si="45"/>
        <v/>
      </c>
      <c r="G988" s="2" t="str">
        <f t="shared" si="46"/>
        <v/>
      </c>
      <c r="H988" s="2" t="str">
        <f>IF(A988="","",MIN(0,MAX(0,C988+E988-'Loan Inputs'!$B$17)))</f>
        <v/>
      </c>
    </row>
    <row r="989" spans="1:8" ht="22" customHeight="1">
      <c r="A989" s="1" t="str">
        <f>IF(AND('Loan Inputs'!$B$12,983&lt;=IF('Loan Inputs'!$B$12,'Loan Inputs'!$B$7,0)*'Loan Inputs'!$B$14+0,ISNUMBER(G988),G988&gt;0),983,"")</f>
        <v/>
      </c>
      <c r="B989" s="4" t="str">
        <f>IF(A989="","",IF('Loan Inputs'!$B$14=12,DATE(YEAR('Loan Inputs'!$B$8),MONTH('Loan Inputs'!$B$8)+A989,DAY('Loan Inputs'!$B$8)),'Loan Inputs'!$B$8+A989*IF('Loan Inputs'!$B$14=26,14,7)))</f>
        <v/>
      </c>
      <c r="C989" s="2" t="str">
        <f t="shared" si="47"/>
        <v/>
      </c>
      <c r="D989" s="2" t="str">
        <f>IF(A989="","",MIN('Loan Inputs'!$B$17,C989+E989)+H989)</f>
        <v/>
      </c>
      <c r="E989" s="2" t="str">
        <f>IF(A989="","",C989*'Loan Inputs'!$B$15)</f>
        <v/>
      </c>
      <c r="F989" s="2" t="str">
        <f t="shared" si="45"/>
        <v/>
      </c>
      <c r="G989" s="2" t="str">
        <f t="shared" si="46"/>
        <v/>
      </c>
      <c r="H989" s="2" t="str">
        <f>IF(A989="","",MIN(0,MAX(0,C989+E989-'Loan Inputs'!$B$17)))</f>
        <v/>
      </c>
    </row>
    <row r="990" spans="1:8" ht="22" customHeight="1">
      <c r="A990" s="1" t="str">
        <f>IF(AND('Loan Inputs'!$B$12,984&lt;=IF('Loan Inputs'!$B$12,'Loan Inputs'!$B$7,0)*'Loan Inputs'!$B$14+0,ISNUMBER(G989),G989&gt;0),984,"")</f>
        <v/>
      </c>
      <c r="B990" s="4" t="str">
        <f>IF(A990="","",IF('Loan Inputs'!$B$14=12,DATE(YEAR('Loan Inputs'!$B$8),MONTH('Loan Inputs'!$B$8)+A990,DAY('Loan Inputs'!$B$8)),'Loan Inputs'!$B$8+A990*IF('Loan Inputs'!$B$14=26,14,7)))</f>
        <v/>
      </c>
      <c r="C990" s="2" t="str">
        <f t="shared" si="47"/>
        <v/>
      </c>
      <c r="D990" s="2" t="str">
        <f>IF(A990="","",MIN('Loan Inputs'!$B$17,C990+E990)+H990)</f>
        <v/>
      </c>
      <c r="E990" s="2" t="str">
        <f>IF(A990="","",C990*'Loan Inputs'!$B$15)</f>
        <v/>
      </c>
      <c r="F990" s="2" t="str">
        <f t="shared" si="45"/>
        <v/>
      </c>
      <c r="G990" s="2" t="str">
        <f t="shared" si="46"/>
        <v/>
      </c>
      <c r="H990" s="2" t="str">
        <f>IF(A990="","",MIN(0,MAX(0,C990+E990-'Loan Inputs'!$B$17)))</f>
        <v/>
      </c>
    </row>
    <row r="991" spans="1:8" ht="22" customHeight="1">
      <c r="A991" s="1" t="str">
        <f>IF(AND('Loan Inputs'!$B$12,985&lt;=IF('Loan Inputs'!$B$12,'Loan Inputs'!$B$7,0)*'Loan Inputs'!$B$14+0,ISNUMBER(G990),G990&gt;0),985,"")</f>
        <v/>
      </c>
      <c r="B991" s="4" t="str">
        <f>IF(A991="","",IF('Loan Inputs'!$B$14=12,DATE(YEAR('Loan Inputs'!$B$8),MONTH('Loan Inputs'!$B$8)+A991,DAY('Loan Inputs'!$B$8)),'Loan Inputs'!$B$8+A991*IF('Loan Inputs'!$B$14=26,14,7)))</f>
        <v/>
      </c>
      <c r="C991" s="2" t="str">
        <f t="shared" si="47"/>
        <v/>
      </c>
      <c r="D991" s="2" t="str">
        <f>IF(A991="","",MIN('Loan Inputs'!$B$17,C991+E991)+H991)</f>
        <v/>
      </c>
      <c r="E991" s="2" t="str">
        <f>IF(A991="","",C991*'Loan Inputs'!$B$15)</f>
        <v/>
      </c>
      <c r="F991" s="2" t="str">
        <f t="shared" si="45"/>
        <v/>
      </c>
      <c r="G991" s="2" t="str">
        <f t="shared" si="46"/>
        <v/>
      </c>
      <c r="H991" s="2" t="str">
        <f>IF(A991="","",MIN(0,MAX(0,C991+E991-'Loan Inputs'!$B$17)))</f>
        <v/>
      </c>
    </row>
    <row r="992" spans="1:8" ht="22" customHeight="1">
      <c r="A992" s="1" t="str">
        <f>IF(AND('Loan Inputs'!$B$12,986&lt;=IF('Loan Inputs'!$B$12,'Loan Inputs'!$B$7,0)*'Loan Inputs'!$B$14+0,ISNUMBER(G991),G991&gt;0),986,"")</f>
        <v/>
      </c>
      <c r="B992" s="4" t="str">
        <f>IF(A992="","",IF('Loan Inputs'!$B$14=12,DATE(YEAR('Loan Inputs'!$B$8),MONTH('Loan Inputs'!$B$8)+A992,DAY('Loan Inputs'!$B$8)),'Loan Inputs'!$B$8+A992*IF('Loan Inputs'!$B$14=26,14,7)))</f>
        <v/>
      </c>
      <c r="C992" s="2" t="str">
        <f t="shared" si="47"/>
        <v/>
      </c>
      <c r="D992" s="2" t="str">
        <f>IF(A992="","",MIN('Loan Inputs'!$B$17,C992+E992)+H992)</f>
        <v/>
      </c>
      <c r="E992" s="2" t="str">
        <f>IF(A992="","",C992*'Loan Inputs'!$B$15)</f>
        <v/>
      </c>
      <c r="F992" s="2" t="str">
        <f t="shared" si="45"/>
        <v/>
      </c>
      <c r="G992" s="2" t="str">
        <f t="shared" si="46"/>
        <v/>
      </c>
      <c r="H992" s="2" t="str">
        <f>IF(A992="","",MIN(0,MAX(0,C992+E992-'Loan Inputs'!$B$17)))</f>
        <v/>
      </c>
    </row>
    <row r="993" spans="1:8" ht="22" customHeight="1">
      <c r="A993" s="1" t="str">
        <f>IF(AND('Loan Inputs'!$B$12,987&lt;=IF('Loan Inputs'!$B$12,'Loan Inputs'!$B$7,0)*'Loan Inputs'!$B$14+0,ISNUMBER(G992),G992&gt;0),987,"")</f>
        <v/>
      </c>
      <c r="B993" s="4" t="str">
        <f>IF(A993="","",IF('Loan Inputs'!$B$14=12,DATE(YEAR('Loan Inputs'!$B$8),MONTH('Loan Inputs'!$B$8)+A993,DAY('Loan Inputs'!$B$8)),'Loan Inputs'!$B$8+A993*IF('Loan Inputs'!$B$14=26,14,7)))</f>
        <v/>
      </c>
      <c r="C993" s="2" t="str">
        <f t="shared" si="47"/>
        <v/>
      </c>
      <c r="D993" s="2" t="str">
        <f>IF(A993="","",MIN('Loan Inputs'!$B$17,C993+E993)+H993)</f>
        <v/>
      </c>
      <c r="E993" s="2" t="str">
        <f>IF(A993="","",C993*'Loan Inputs'!$B$15)</f>
        <v/>
      </c>
      <c r="F993" s="2" t="str">
        <f t="shared" si="45"/>
        <v/>
      </c>
      <c r="G993" s="2" t="str">
        <f t="shared" si="46"/>
        <v/>
      </c>
      <c r="H993" s="2" t="str">
        <f>IF(A993="","",MIN(0,MAX(0,C993+E993-'Loan Inputs'!$B$17)))</f>
        <v/>
      </c>
    </row>
    <row r="994" spans="1:8" ht="22" customHeight="1">
      <c r="A994" s="1" t="str">
        <f>IF(AND('Loan Inputs'!$B$12,988&lt;=IF('Loan Inputs'!$B$12,'Loan Inputs'!$B$7,0)*'Loan Inputs'!$B$14+0,ISNUMBER(G993),G993&gt;0),988,"")</f>
        <v/>
      </c>
      <c r="B994" s="4" t="str">
        <f>IF(A994="","",IF('Loan Inputs'!$B$14=12,DATE(YEAR('Loan Inputs'!$B$8),MONTH('Loan Inputs'!$B$8)+A994,DAY('Loan Inputs'!$B$8)),'Loan Inputs'!$B$8+A994*IF('Loan Inputs'!$B$14=26,14,7)))</f>
        <v/>
      </c>
      <c r="C994" s="2" t="str">
        <f t="shared" si="47"/>
        <v/>
      </c>
      <c r="D994" s="2" t="str">
        <f>IF(A994="","",MIN('Loan Inputs'!$B$17,C994+E994)+H994)</f>
        <v/>
      </c>
      <c r="E994" s="2" t="str">
        <f>IF(A994="","",C994*'Loan Inputs'!$B$15)</f>
        <v/>
      </c>
      <c r="F994" s="2" t="str">
        <f t="shared" si="45"/>
        <v/>
      </c>
      <c r="G994" s="2" t="str">
        <f t="shared" si="46"/>
        <v/>
      </c>
      <c r="H994" s="2" t="str">
        <f>IF(A994="","",MIN(0,MAX(0,C994+E994-'Loan Inputs'!$B$17)))</f>
        <v/>
      </c>
    </row>
    <row r="995" spans="1:8" ht="22" customHeight="1">
      <c r="A995" s="1" t="str">
        <f>IF(AND('Loan Inputs'!$B$12,989&lt;=IF('Loan Inputs'!$B$12,'Loan Inputs'!$B$7,0)*'Loan Inputs'!$B$14+0,ISNUMBER(G994),G994&gt;0),989,"")</f>
        <v/>
      </c>
      <c r="B995" s="4" t="str">
        <f>IF(A995="","",IF('Loan Inputs'!$B$14=12,DATE(YEAR('Loan Inputs'!$B$8),MONTH('Loan Inputs'!$B$8)+A995,DAY('Loan Inputs'!$B$8)),'Loan Inputs'!$B$8+A995*IF('Loan Inputs'!$B$14=26,14,7)))</f>
        <v/>
      </c>
      <c r="C995" s="2" t="str">
        <f t="shared" si="47"/>
        <v/>
      </c>
      <c r="D995" s="2" t="str">
        <f>IF(A995="","",MIN('Loan Inputs'!$B$17,C995+E995)+H995)</f>
        <v/>
      </c>
      <c r="E995" s="2" t="str">
        <f>IF(A995="","",C995*'Loan Inputs'!$B$15)</f>
        <v/>
      </c>
      <c r="F995" s="2" t="str">
        <f t="shared" si="45"/>
        <v/>
      </c>
      <c r="G995" s="2" t="str">
        <f t="shared" si="46"/>
        <v/>
      </c>
      <c r="H995" s="2" t="str">
        <f>IF(A995="","",MIN(0,MAX(0,C995+E995-'Loan Inputs'!$B$17)))</f>
        <v/>
      </c>
    </row>
    <row r="996" spans="1:8" ht="22" customHeight="1">
      <c r="A996" s="1" t="str">
        <f>IF(AND('Loan Inputs'!$B$12,990&lt;=IF('Loan Inputs'!$B$12,'Loan Inputs'!$B$7,0)*'Loan Inputs'!$B$14+0,ISNUMBER(G995),G995&gt;0),990,"")</f>
        <v/>
      </c>
      <c r="B996" s="4" t="str">
        <f>IF(A996="","",IF('Loan Inputs'!$B$14=12,DATE(YEAR('Loan Inputs'!$B$8),MONTH('Loan Inputs'!$B$8)+A996,DAY('Loan Inputs'!$B$8)),'Loan Inputs'!$B$8+A996*IF('Loan Inputs'!$B$14=26,14,7)))</f>
        <v/>
      </c>
      <c r="C996" s="2" t="str">
        <f t="shared" si="47"/>
        <v/>
      </c>
      <c r="D996" s="2" t="str">
        <f>IF(A996="","",MIN('Loan Inputs'!$B$17,C996+E996)+H996)</f>
        <v/>
      </c>
      <c r="E996" s="2" t="str">
        <f>IF(A996="","",C996*'Loan Inputs'!$B$15)</f>
        <v/>
      </c>
      <c r="F996" s="2" t="str">
        <f t="shared" si="45"/>
        <v/>
      </c>
      <c r="G996" s="2" t="str">
        <f t="shared" si="46"/>
        <v/>
      </c>
      <c r="H996" s="2" t="str">
        <f>IF(A996="","",MIN(0,MAX(0,C996+E996-'Loan Inputs'!$B$17)))</f>
        <v/>
      </c>
    </row>
    <row r="997" spans="1:8" ht="22" customHeight="1">
      <c r="A997" s="1" t="str">
        <f>IF(AND('Loan Inputs'!$B$12,991&lt;=IF('Loan Inputs'!$B$12,'Loan Inputs'!$B$7,0)*'Loan Inputs'!$B$14+0,ISNUMBER(G996),G996&gt;0),991,"")</f>
        <v/>
      </c>
      <c r="B997" s="4" t="str">
        <f>IF(A997="","",IF('Loan Inputs'!$B$14=12,DATE(YEAR('Loan Inputs'!$B$8),MONTH('Loan Inputs'!$B$8)+A997,DAY('Loan Inputs'!$B$8)),'Loan Inputs'!$B$8+A997*IF('Loan Inputs'!$B$14=26,14,7)))</f>
        <v/>
      </c>
      <c r="C997" s="2" t="str">
        <f t="shared" si="47"/>
        <v/>
      </c>
      <c r="D997" s="2" t="str">
        <f>IF(A997="","",MIN('Loan Inputs'!$B$17,C997+E997)+H997)</f>
        <v/>
      </c>
      <c r="E997" s="2" t="str">
        <f>IF(A997="","",C997*'Loan Inputs'!$B$15)</f>
        <v/>
      </c>
      <c r="F997" s="2" t="str">
        <f t="shared" si="45"/>
        <v/>
      </c>
      <c r="G997" s="2" t="str">
        <f t="shared" si="46"/>
        <v/>
      </c>
      <c r="H997" s="2" t="str">
        <f>IF(A997="","",MIN(0,MAX(0,C997+E997-'Loan Inputs'!$B$17)))</f>
        <v/>
      </c>
    </row>
    <row r="998" spans="1:8" ht="22" customHeight="1">
      <c r="A998" s="1" t="str">
        <f>IF(AND('Loan Inputs'!$B$12,992&lt;=IF('Loan Inputs'!$B$12,'Loan Inputs'!$B$7,0)*'Loan Inputs'!$B$14+0,ISNUMBER(G997),G997&gt;0),992,"")</f>
        <v/>
      </c>
      <c r="B998" s="4" t="str">
        <f>IF(A998="","",IF('Loan Inputs'!$B$14=12,DATE(YEAR('Loan Inputs'!$B$8),MONTH('Loan Inputs'!$B$8)+A998,DAY('Loan Inputs'!$B$8)),'Loan Inputs'!$B$8+A998*IF('Loan Inputs'!$B$14=26,14,7)))</f>
        <v/>
      </c>
      <c r="C998" s="2" t="str">
        <f t="shared" si="47"/>
        <v/>
      </c>
      <c r="D998" s="2" t="str">
        <f>IF(A998="","",MIN('Loan Inputs'!$B$17,C998+E998)+H998)</f>
        <v/>
      </c>
      <c r="E998" s="2" t="str">
        <f>IF(A998="","",C998*'Loan Inputs'!$B$15)</f>
        <v/>
      </c>
      <c r="F998" s="2" t="str">
        <f t="shared" si="45"/>
        <v/>
      </c>
      <c r="G998" s="2" t="str">
        <f t="shared" si="46"/>
        <v/>
      </c>
      <c r="H998" s="2" t="str">
        <f>IF(A998="","",MIN(0,MAX(0,C998+E998-'Loan Inputs'!$B$17)))</f>
        <v/>
      </c>
    </row>
    <row r="999" spans="1:8" ht="22" customHeight="1">
      <c r="A999" s="1" t="str">
        <f>IF(AND('Loan Inputs'!$B$12,993&lt;=IF('Loan Inputs'!$B$12,'Loan Inputs'!$B$7,0)*'Loan Inputs'!$B$14+0,ISNUMBER(G998),G998&gt;0),993,"")</f>
        <v/>
      </c>
      <c r="B999" s="4" t="str">
        <f>IF(A999="","",IF('Loan Inputs'!$B$14=12,DATE(YEAR('Loan Inputs'!$B$8),MONTH('Loan Inputs'!$B$8)+A999,DAY('Loan Inputs'!$B$8)),'Loan Inputs'!$B$8+A999*IF('Loan Inputs'!$B$14=26,14,7)))</f>
        <v/>
      </c>
      <c r="C999" s="2" t="str">
        <f t="shared" si="47"/>
        <v/>
      </c>
      <c r="D999" s="2" t="str">
        <f>IF(A999="","",MIN('Loan Inputs'!$B$17,C999+E999)+H999)</f>
        <v/>
      </c>
      <c r="E999" s="2" t="str">
        <f>IF(A999="","",C999*'Loan Inputs'!$B$15)</f>
        <v/>
      </c>
      <c r="F999" s="2" t="str">
        <f t="shared" si="45"/>
        <v/>
      </c>
      <c r="G999" s="2" t="str">
        <f t="shared" si="46"/>
        <v/>
      </c>
      <c r="H999" s="2" t="str">
        <f>IF(A999="","",MIN(0,MAX(0,C999+E999-'Loan Inputs'!$B$17)))</f>
        <v/>
      </c>
    </row>
    <row r="1000" spans="1:8" ht="22" customHeight="1">
      <c r="A1000" s="1" t="str">
        <f>IF(AND('Loan Inputs'!$B$12,994&lt;=IF('Loan Inputs'!$B$12,'Loan Inputs'!$B$7,0)*'Loan Inputs'!$B$14+0,ISNUMBER(G999),G999&gt;0),994,"")</f>
        <v/>
      </c>
      <c r="B1000" s="4" t="str">
        <f>IF(A1000="","",IF('Loan Inputs'!$B$14=12,DATE(YEAR('Loan Inputs'!$B$8),MONTH('Loan Inputs'!$B$8)+A1000,DAY('Loan Inputs'!$B$8)),'Loan Inputs'!$B$8+A1000*IF('Loan Inputs'!$B$14=26,14,7)))</f>
        <v/>
      </c>
      <c r="C1000" s="2" t="str">
        <f t="shared" si="47"/>
        <v/>
      </c>
      <c r="D1000" s="2" t="str">
        <f>IF(A1000="","",MIN('Loan Inputs'!$B$17,C1000+E1000)+H1000)</f>
        <v/>
      </c>
      <c r="E1000" s="2" t="str">
        <f>IF(A1000="","",C1000*'Loan Inputs'!$B$15)</f>
        <v/>
      </c>
      <c r="F1000" s="2" t="str">
        <f t="shared" si="45"/>
        <v/>
      </c>
      <c r="G1000" s="2" t="str">
        <f t="shared" si="46"/>
        <v/>
      </c>
      <c r="H1000" s="2" t="str">
        <f>IF(A1000="","",MIN(0,MAX(0,C1000+E1000-'Loan Inputs'!$B$17)))</f>
        <v/>
      </c>
    </row>
    <row r="1001" spans="1:8" ht="22" customHeight="1">
      <c r="A1001" s="1" t="str">
        <f>IF(AND('Loan Inputs'!$B$12,995&lt;=IF('Loan Inputs'!$B$12,'Loan Inputs'!$B$7,0)*'Loan Inputs'!$B$14+0,ISNUMBER(G1000),G1000&gt;0),995,"")</f>
        <v/>
      </c>
      <c r="B1001" s="4" t="str">
        <f>IF(A1001="","",IF('Loan Inputs'!$B$14=12,DATE(YEAR('Loan Inputs'!$B$8),MONTH('Loan Inputs'!$B$8)+A1001,DAY('Loan Inputs'!$B$8)),'Loan Inputs'!$B$8+A1001*IF('Loan Inputs'!$B$14=26,14,7)))</f>
        <v/>
      </c>
      <c r="C1001" s="2" t="str">
        <f t="shared" si="47"/>
        <v/>
      </c>
      <c r="D1001" s="2" t="str">
        <f>IF(A1001="","",MIN('Loan Inputs'!$B$17,C1001+E1001)+H1001)</f>
        <v/>
      </c>
      <c r="E1001" s="2" t="str">
        <f>IF(A1001="","",C1001*'Loan Inputs'!$B$15)</f>
        <v/>
      </c>
      <c r="F1001" s="2" t="str">
        <f t="shared" si="45"/>
        <v/>
      </c>
      <c r="G1001" s="2" t="str">
        <f t="shared" si="46"/>
        <v/>
      </c>
      <c r="H1001" s="2" t="str">
        <f>IF(A1001="","",MIN(0,MAX(0,C1001+E1001-'Loan Inputs'!$B$17)))</f>
        <v/>
      </c>
    </row>
    <row r="1002" spans="1:8" ht="22" customHeight="1">
      <c r="A1002" s="1" t="str">
        <f>IF(AND('Loan Inputs'!$B$12,996&lt;=IF('Loan Inputs'!$B$12,'Loan Inputs'!$B$7,0)*'Loan Inputs'!$B$14+0,ISNUMBER(G1001),G1001&gt;0),996,"")</f>
        <v/>
      </c>
      <c r="B1002" s="4" t="str">
        <f>IF(A1002="","",IF('Loan Inputs'!$B$14=12,DATE(YEAR('Loan Inputs'!$B$8),MONTH('Loan Inputs'!$B$8)+A1002,DAY('Loan Inputs'!$B$8)),'Loan Inputs'!$B$8+A1002*IF('Loan Inputs'!$B$14=26,14,7)))</f>
        <v/>
      </c>
      <c r="C1002" s="2" t="str">
        <f t="shared" si="47"/>
        <v/>
      </c>
      <c r="D1002" s="2" t="str">
        <f>IF(A1002="","",MIN('Loan Inputs'!$B$17,C1002+E1002)+H1002)</f>
        <v/>
      </c>
      <c r="E1002" s="2" t="str">
        <f>IF(A1002="","",C1002*'Loan Inputs'!$B$15)</f>
        <v/>
      </c>
      <c r="F1002" s="2" t="str">
        <f t="shared" si="45"/>
        <v/>
      </c>
      <c r="G1002" s="2" t="str">
        <f t="shared" si="46"/>
        <v/>
      </c>
      <c r="H1002" s="2" t="str">
        <f>IF(A1002="","",MIN(0,MAX(0,C1002+E1002-'Loan Inputs'!$B$17)))</f>
        <v/>
      </c>
    </row>
    <row r="1003" spans="1:8" ht="22" customHeight="1">
      <c r="A1003" s="1" t="str">
        <f>IF(AND('Loan Inputs'!$B$12,997&lt;=IF('Loan Inputs'!$B$12,'Loan Inputs'!$B$7,0)*'Loan Inputs'!$B$14+0,ISNUMBER(G1002),G1002&gt;0),997,"")</f>
        <v/>
      </c>
      <c r="B1003" s="4" t="str">
        <f>IF(A1003="","",IF('Loan Inputs'!$B$14=12,DATE(YEAR('Loan Inputs'!$B$8),MONTH('Loan Inputs'!$B$8)+A1003,DAY('Loan Inputs'!$B$8)),'Loan Inputs'!$B$8+A1003*IF('Loan Inputs'!$B$14=26,14,7)))</f>
        <v/>
      </c>
      <c r="C1003" s="2" t="str">
        <f t="shared" si="47"/>
        <v/>
      </c>
      <c r="D1003" s="2" t="str">
        <f>IF(A1003="","",MIN('Loan Inputs'!$B$17,C1003+E1003)+H1003)</f>
        <v/>
      </c>
      <c r="E1003" s="2" t="str">
        <f>IF(A1003="","",C1003*'Loan Inputs'!$B$15)</f>
        <v/>
      </c>
      <c r="F1003" s="2" t="str">
        <f t="shared" si="45"/>
        <v/>
      </c>
      <c r="G1003" s="2" t="str">
        <f t="shared" si="46"/>
        <v/>
      </c>
      <c r="H1003" s="2" t="str">
        <f>IF(A1003="","",MIN(0,MAX(0,C1003+E1003-'Loan Inputs'!$B$17)))</f>
        <v/>
      </c>
    </row>
    <row r="1004" spans="1:8" ht="22" customHeight="1">
      <c r="A1004" s="1" t="str">
        <f>IF(AND('Loan Inputs'!$B$12,998&lt;=IF('Loan Inputs'!$B$12,'Loan Inputs'!$B$7,0)*'Loan Inputs'!$B$14+0,ISNUMBER(G1003),G1003&gt;0),998,"")</f>
        <v/>
      </c>
      <c r="B1004" s="4" t="str">
        <f>IF(A1004="","",IF('Loan Inputs'!$B$14=12,DATE(YEAR('Loan Inputs'!$B$8),MONTH('Loan Inputs'!$B$8)+A1004,DAY('Loan Inputs'!$B$8)),'Loan Inputs'!$B$8+A1004*IF('Loan Inputs'!$B$14=26,14,7)))</f>
        <v/>
      </c>
      <c r="C1004" s="2" t="str">
        <f t="shared" si="47"/>
        <v/>
      </c>
      <c r="D1004" s="2" t="str">
        <f>IF(A1004="","",MIN('Loan Inputs'!$B$17,C1004+E1004)+H1004)</f>
        <v/>
      </c>
      <c r="E1004" s="2" t="str">
        <f>IF(A1004="","",C1004*'Loan Inputs'!$B$15)</f>
        <v/>
      </c>
      <c r="F1004" s="2" t="str">
        <f t="shared" si="45"/>
        <v/>
      </c>
      <c r="G1004" s="2" t="str">
        <f t="shared" si="46"/>
        <v/>
      </c>
      <c r="H1004" s="2" t="str">
        <f>IF(A1004="","",MIN(0,MAX(0,C1004+E1004-'Loan Inputs'!$B$17)))</f>
        <v/>
      </c>
    </row>
    <row r="1005" spans="1:8" ht="22" customHeight="1">
      <c r="A1005" s="1" t="str">
        <f>IF(AND('Loan Inputs'!$B$12,999&lt;=IF('Loan Inputs'!$B$12,'Loan Inputs'!$B$7,0)*'Loan Inputs'!$B$14+0,ISNUMBER(G1004),G1004&gt;0),999,"")</f>
        <v/>
      </c>
      <c r="B1005" s="4" t="str">
        <f>IF(A1005="","",IF('Loan Inputs'!$B$14=12,DATE(YEAR('Loan Inputs'!$B$8),MONTH('Loan Inputs'!$B$8)+A1005,DAY('Loan Inputs'!$B$8)),'Loan Inputs'!$B$8+A1005*IF('Loan Inputs'!$B$14=26,14,7)))</f>
        <v/>
      </c>
      <c r="C1005" s="2" t="str">
        <f t="shared" si="47"/>
        <v/>
      </c>
      <c r="D1005" s="2" t="str">
        <f>IF(A1005="","",MIN('Loan Inputs'!$B$17,C1005+E1005)+H1005)</f>
        <v/>
      </c>
      <c r="E1005" s="2" t="str">
        <f>IF(A1005="","",C1005*'Loan Inputs'!$B$15)</f>
        <v/>
      </c>
      <c r="F1005" s="2" t="str">
        <f t="shared" si="45"/>
        <v/>
      </c>
      <c r="G1005" s="2" t="str">
        <f t="shared" si="46"/>
        <v/>
      </c>
      <c r="H1005" s="2" t="str">
        <f>IF(A1005="","",MIN(0,MAX(0,C1005+E1005-'Loan Inputs'!$B$17)))</f>
        <v/>
      </c>
    </row>
    <row r="1006" spans="1:8" ht="22" customHeight="1">
      <c r="A1006" s="1" t="str">
        <f>IF(AND('Loan Inputs'!$B$12,1000&lt;=IF('Loan Inputs'!$B$12,'Loan Inputs'!$B$7,0)*'Loan Inputs'!$B$14+0,ISNUMBER(G1005),G1005&gt;0),1000,"")</f>
        <v/>
      </c>
      <c r="B1006" s="4" t="str">
        <f>IF(A1006="","",IF('Loan Inputs'!$B$14=12,DATE(YEAR('Loan Inputs'!$B$8),MONTH('Loan Inputs'!$B$8)+A1006,DAY('Loan Inputs'!$B$8)),'Loan Inputs'!$B$8+A1006*IF('Loan Inputs'!$B$14=26,14,7)))</f>
        <v/>
      </c>
      <c r="C1006" s="2" t="str">
        <f t="shared" si="47"/>
        <v/>
      </c>
      <c r="D1006" s="2" t="str">
        <f>IF(A1006="","",MIN('Loan Inputs'!$B$17,C1006+E1006)+H1006)</f>
        <v/>
      </c>
      <c r="E1006" s="2" t="str">
        <f>IF(A1006="","",C1006*'Loan Inputs'!$B$15)</f>
        <v/>
      </c>
      <c r="F1006" s="2" t="str">
        <f t="shared" si="45"/>
        <v/>
      </c>
      <c r="G1006" s="2" t="str">
        <f t="shared" si="46"/>
        <v/>
      </c>
      <c r="H1006" s="2" t="str">
        <f>IF(A1006="","",MIN(0,MAX(0,C1006+E1006-'Loan Inputs'!$B$17)))</f>
        <v/>
      </c>
    </row>
    <row r="1007" spans="1:8" ht="22" customHeight="1">
      <c r="A1007" s="1" t="str">
        <f>IF(AND('Loan Inputs'!$B$12,1001&lt;=IF('Loan Inputs'!$B$12,'Loan Inputs'!$B$7,0)*'Loan Inputs'!$B$14+0,ISNUMBER(G1006),G1006&gt;0),1001,"")</f>
        <v/>
      </c>
      <c r="B1007" s="4" t="str">
        <f>IF(A1007="","",IF('Loan Inputs'!$B$14=12,DATE(YEAR('Loan Inputs'!$B$8),MONTH('Loan Inputs'!$B$8)+A1007,DAY('Loan Inputs'!$B$8)),'Loan Inputs'!$B$8+A1007*IF('Loan Inputs'!$B$14=26,14,7)))</f>
        <v/>
      </c>
      <c r="C1007" s="2" t="str">
        <f t="shared" si="47"/>
        <v/>
      </c>
      <c r="D1007" s="2" t="str">
        <f>IF(A1007="","",MIN('Loan Inputs'!$B$17,C1007+E1007)+H1007)</f>
        <v/>
      </c>
      <c r="E1007" s="2" t="str">
        <f>IF(A1007="","",C1007*'Loan Inputs'!$B$15)</f>
        <v/>
      </c>
      <c r="F1007" s="2" t="str">
        <f t="shared" si="45"/>
        <v/>
      </c>
      <c r="G1007" s="2" t="str">
        <f t="shared" si="46"/>
        <v/>
      </c>
      <c r="H1007" s="2" t="str">
        <f>IF(A1007="","",MIN(0,MAX(0,C1007+E1007-'Loan Inputs'!$B$17)))</f>
        <v/>
      </c>
    </row>
    <row r="1008" spans="1:8" ht="22" customHeight="1">
      <c r="A1008" s="1" t="str">
        <f>IF(AND('Loan Inputs'!$B$12,1002&lt;=IF('Loan Inputs'!$B$12,'Loan Inputs'!$B$7,0)*'Loan Inputs'!$B$14+0,ISNUMBER(G1007),G1007&gt;0),1002,"")</f>
        <v/>
      </c>
      <c r="B1008" s="4" t="str">
        <f>IF(A1008="","",IF('Loan Inputs'!$B$14=12,DATE(YEAR('Loan Inputs'!$B$8),MONTH('Loan Inputs'!$B$8)+A1008,DAY('Loan Inputs'!$B$8)),'Loan Inputs'!$B$8+A1008*IF('Loan Inputs'!$B$14=26,14,7)))</f>
        <v/>
      </c>
      <c r="C1008" s="2" t="str">
        <f t="shared" si="47"/>
        <v/>
      </c>
      <c r="D1008" s="2" t="str">
        <f>IF(A1008="","",MIN('Loan Inputs'!$B$17,C1008+E1008)+H1008)</f>
        <v/>
      </c>
      <c r="E1008" s="2" t="str">
        <f>IF(A1008="","",C1008*'Loan Inputs'!$B$15)</f>
        <v/>
      </c>
      <c r="F1008" s="2" t="str">
        <f t="shared" si="45"/>
        <v/>
      </c>
      <c r="G1008" s="2" t="str">
        <f t="shared" si="46"/>
        <v/>
      </c>
      <c r="H1008" s="2" t="str">
        <f>IF(A1008="","",MIN(0,MAX(0,C1008+E1008-'Loan Inputs'!$B$17)))</f>
        <v/>
      </c>
    </row>
    <row r="1009" spans="1:8" ht="22" customHeight="1">
      <c r="A1009" s="1" t="str">
        <f>IF(AND('Loan Inputs'!$B$12,1003&lt;=IF('Loan Inputs'!$B$12,'Loan Inputs'!$B$7,0)*'Loan Inputs'!$B$14+0,ISNUMBER(G1008),G1008&gt;0),1003,"")</f>
        <v/>
      </c>
      <c r="B1009" s="4" t="str">
        <f>IF(A1009="","",IF('Loan Inputs'!$B$14=12,DATE(YEAR('Loan Inputs'!$B$8),MONTH('Loan Inputs'!$B$8)+A1009,DAY('Loan Inputs'!$B$8)),'Loan Inputs'!$B$8+A1009*IF('Loan Inputs'!$B$14=26,14,7)))</f>
        <v/>
      </c>
      <c r="C1009" s="2" t="str">
        <f t="shared" si="47"/>
        <v/>
      </c>
      <c r="D1009" s="2" t="str">
        <f>IF(A1009="","",MIN('Loan Inputs'!$B$17,C1009+E1009)+H1009)</f>
        <v/>
      </c>
      <c r="E1009" s="2" t="str">
        <f>IF(A1009="","",C1009*'Loan Inputs'!$B$15)</f>
        <v/>
      </c>
      <c r="F1009" s="2" t="str">
        <f t="shared" si="45"/>
        <v/>
      </c>
      <c r="G1009" s="2" t="str">
        <f t="shared" si="46"/>
        <v/>
      </c>
      <c r="H1009" s="2" t="str">
        <f>IF(A1009="","",MIN(0,MAX(0,C1009+E1009-'Loan Inputs'!$B$17)))</f>
        <v/>
      </c>
    </row>
    <row r="1010" spans="1:8" ht="22" customHeight="1">
      <c r="A1010" s="1" t="str">
        <f>IF(AND('Loan Inputs'!$B$12,1004&lt;=IF('Loan Inputs'!$B$12,'Loan Inputs'!$B$7,0)*'Loan Inputs'!$B$14+0,ISNUMBER(G1009),G1009&gt;0),1004,"")</f>
        <v/>
      </c>
      <c r="B1010" s="4" t="str">
        <f>IF(A1010="","",IF('Loan Inputs'!$B$14=12,DATE(YEAR('Loan Inputs'!$B$8),MONTH('Loan Inputs'!$B$8)+A1010,DAY('Loan Inputs'!$B$8)),'Loan Inputs'!$B$8+A1010*IF('Loan Inputs'!$B$14=26,14,7)))</f>
        <v/>
      </c>
      <c r="C1010" s="2" t="str">
        <f t="shared" si="47"/>
        <v/>
      </c>
      <c r="D1010" s="2" t="str">
        <f>IF(A1010="","",MIN('Loan Inputs'!$B$17,C1010+E1010)+H1010)</f>
        <v/>
      </c>
      <c r="E1010" s="2" t="str">
        <f>IF(A1010="","",C1010*'Loan Inputs'!$B$15)</f>
        <v/>
      </c>
      <c r="F1010" s="2" t="str">
        <f t="shared" si="45"/>
        <v/>
      </c>
      <c r="G1010" s="2" t="str">
        <f t="shared" si="46"/>
        <v/>
      </c>
      <c r="H1010" s="2" t="str">
        <f>IF(A1010="","",MIN(0,MAX(0,C1010+E1010-'Loan Inputs'!$B$17)))</f>
        <v/>
      </c>
    </row>
    <row r="1011" spans="1:8" ht="22" customHeight="1">
      <c r="A1011" s="1" t="str">
        <f>IF(AND('Loan Inputs'!$B$12,1005&lt;=IF('Loan Inputs'!$B$12,'Loan Inputs'!$B$7,0)*'Loan Inputs'!$B$14+0,ISNUMBER(G1010),G1010&gt;0),1005,"")</f>
        <v/>
      </c>
      <c r="B1011" s="4" t="str">
        <f>IF(A1011="","",IF('Loan Inputs'!$B$14=12,DATE(YEAR('Loan Inputs'!$B$8),MONTH('Loan Inputs'!$B$8)+A1011,DAY('Loan Inputs'!$B$8)),'Loan Inputs'!$B$8+A1011*IF('Loan Inputs'!$B$14=26,14,7)))</f>
        <v/>
      </c>
      <c r="C1011" s="2" t="str">
        <f t="shared" si="47"/>
        <v/>
      </c>
      <c r="D1011" s="2" t="str">
        <f>IF(A1011="","",MIN('Loan Inputs'!$B$17,C1011+E1011)+H1011)</f>
        <v/>
      </c>
      <c r="E1011" s="2" t="str">
        <f>IF(A1011="","",C1011*'Loan Inputs'!$B$15)</f>
        <v/>
      </c>
      <c r="F1011" s="2" t="str">
        <f t="shared" si="45"/>
        <v/>
      </c>
      <c r="G1011" s="2" t="str">
        <f t="shared" si="46"/>
        <v/>
      </c>
      <c r="H1011" s="2" t="str">
        <f>IF(A1011="","",MIN(0,MAX(0,C1011+E1011-'Loan Inputs'!$B$17)))</f>
        <v/>
      </c>
    </row>
    <row r="1012" spans="1:8" ht="22" customHeight="1">
      <c r="A1012" s="1" t="str">
        <f>IF(AND('Loan Inputs'!$B$12,1006&lt;=IF('Loan Inputs'!$B$12,'Loan Inputs'!$B$7,0)*'Loan Inputs'!$B$14+0,ISNUMBER(G1011),G1011&gt;0),1006,"")</f>
        <v/>
      </c>
      <c r="B1012" s="4" t="str">
        <f>IF(A1012="","",IF('Loan Inputs'!$B$14=12,DATE(YEAR('Loan Inputs'!$B$8),MONTH('Loan Inputs'!$B$8)+A1012,DAY('Loan Inputs'!$B$8)),'Loan Inputs'!$B$8+A1012*IF('Loan Inputs'!$B$14=26,14,7)))</f>
        <v/>
      </c>
      <c r="C1012" s="2" t="str">
        <f t="shared" si="47"/>
        <v/>
      </c>
      <c r="D1012" s="2" t="str">
        <f>IF(A1012="","",MIN('Loan Inputs'!$B$17,C1012+E1012)+H1012)</f>
        <v/>
      </c>
      <c r="E1012" s="2" t="str">
        <f>IF(A1012="","",C1012*'Loan Inputs'!$B$15)</f>
        <v/>
      </c>
      <c r="F1012" s="2" t="str">
        <f t="shared" si="45"/>
        <v/>
      </c>
      <c r="G1012" s="2" t="str">
        <f t="shared" si="46"/>
        <v/>
      </c>
      <c r="H1012" s="2" t="str">
        <f>IF(A1012="","",MIN(0,MAX(0,C1012+E1012-'Loan Inputs'!$B$17)))</f>
        <v/>
      </c>
    </row>
    <row r="1013" spans="1:8" ht="22" customHeight="1">
      <c r="A1013" s="1" t="str">
        <f>IF(AND('Loan Inputs'!$B$12,1007&lt;=IF('Loan Inputs'!$B$12,'Loan Inputs'!$B$7,0)*'Loan Inputs'!$B$14+0,ISNUMBER(G1012),G1012&gt;0),1007,"")</f>
        <v/>
      </c>
      <c r="B1013" s="4" t="str">
        <f>IF(A1013="","",IF('Loan Inputs'!$B$14=12,DATE(YEAR('Loan Inputs'!$B$8),MONTH('Loan Inputs'!$B$8)+A1013,DAY('Loan Inputs'!$B$8)),'Loan Inputs'!$B$8+A1013*IF('Loan Inputs'!$B$14=26,14,7)))</f>
        <v/>
      </c>
      <c r="C1013" s="2" t="str">
        <f t="shared" si="47"/>
        <v/>
      </c>
      <c r="D1013" s="2" t="str">
        <f>IF(A1013="","",MIN('Loan Inputs'!$B$17,C1013+E1013)+H1013)</f>
        <v/>
      </c>
      <c r="E1013" s="2" t="str">
        <f>IF(A1013="","",C1013*'Loan Inputs'!$B$15)</f>
        <v/>
      </c>
      <c r="F1013" s="2" t="str">
        <f t="shared" si="45"/>
        <v/>
      </c>
      <c r="G1013" s="2" t="str">
        <f t="shared" si="46"/>
        <v/>
      </c>
      <c r="H1013" s="2" t="str">
        <f>IF(A1013="","",MIN(0,MAX(0,C1013+E1013-'Loan Inputs'!$B$17)))</f>
        <v/>
      </c>
    </row>
    <row r="1014" spans="1:8" ht="22" customHeight="1">
      <c r="A1014" s="1" t="str">
        <f>IF(AND('Loan Inputs'!$B$12,1008&lt;=IF('Loan Inputs'!$B$12,'Loan Inputs'!$B$7,0)*'Loan Inputs'!$B$14+0,ISNUMBER(G1013),G1013&gt;0),1008,"")</f>
        <v/>
      </c>
      <c r="B1014" s="4" t="str">
        <f>IF(A1014="","",IF('Loan Inputs'!$B$14=12,DATE(YEAR('Loan Inputs'!$B$8),MONTH('Loan Inputs'!$B$8)+A1014,DAY('Loan Inputs'!$B$8)),'Loan Inputs'!$B$8+A1014*IF('Loan Inputs'!$B$14=26,14,7)))</f>
        <v/>
      </c>
      <c r="C1014" s="2" t="str">
        <f t="shared" si="47"/>
        <v/>
      </c>
      <c r="D1014" s="2" t="str">
        <f>IF(A1014="","",MIN('Loan Inputs'!$B$17,C1014+E1014)+H1014)</f>
        <v/>
      </c>
      <c r="E1014" s="2" t="str">
        <f>IF(A1014="","",C1014*'Loan Inputs'!$B$15)</f>
        <v/>
      </c>
      <c r="F1014" s="2" t="str">
        <f t="shared" si="45"/>
        <v/>
      </c>
      <c r="G1014" s="2" t="str">
        <f t="shared" si="46"/>
        <v/>
      </c>
      <c r="H1014" s="2" t="str">
        <f>IF(A1014="","",MIN(0,MAX(0,C1014+E1014-'Loan Inputs'!$B$17)))</f>
        <v/>
      </c>
    </row>
    <row r="1015" spans="1:8" ht="22" customHeight="1">
      <c r="A1015" s="1" t="str">
        <f>IF(AND('Loan Inputs'!$B$12,1009&lt;=IF('Loan Inputs'!$B$12,'Loan Inputs'!$B$7,0)*'Loan Inputs'!$B$14+0,ISNUMBER(G1014),G1014&gt;0),1009,"")</f>
        <v/>
      </c>
      <c r="B1015" s="4" t="str">
        <f>IF(A1015="","",IF('Loan Inputs'!$B$14=12,DATE(YEAR('Loan Inputs'!$B$8),MONTH('Loan Inputs'!$B$8)+A1015,DAY('Loan Inputs'!$B$8)),'Loan Inputs'!$B$8+A1015*IF('Loan Inputs'!$B$14=26,14,7)))</f>
        <v/>
      </c>
      <c r="C1015" s="2" t="str">
        <f t="shared" si="47"/>
        <v/>
      </c>
      <c r="D1015" s="2" t="str">
        <f>IF(A1015="","",MIN('Loan Inputs'!$B$17,C1015+E1015)+H1015)</f>
        <v/>
      </c>
      <c r="E1015" s="2" t="str">
        <f>IF(A1015="","",C1015*'Loan Inputs'!$B$15)</f>
        <v/>
      </c>
      <c r="F1015" s="2" t="str">
        <f t="shared" si="45"/>
        <v/>
      </c>
      <c r="G1015" s="2" t="str">
        <f t="shared" si="46"/>
        <v/>
      </c>
      <c r="H1015" s="2" t="str">
        <f>IF(A1015="","",MIN(0,MAX(0,C1015+E1015-'Loan Inputs'!$B$17)))</f>
        <v/>
      </c>
    </row>
    <row r="1016" spans="1:8" ht="22" customHeight="1">
      <c r="A1016" s="1" t="str">
        <f>IF(AND('Loan Inputs'!$B$12,1010&lt;=IF('Loan Inputs'!$B$12,'Loan Inputs'!$B$7,0)*'Loan Inputs'!$B$14+0,ISNUMBER(G1015),G1015&gt;0),1010,"")</f>
        <v/>
      </c>
      <c r="B1016" s="4" t="str">
        <f>IF(A1016="","",IF('Loan Inputs'!$B$14=12,DATE(YEAR('Loan Inputs'!$B$8),MONTH('Loan Inputs'!$B$8)+A1016,DAY('Loan Inputs'!$B$8)),'Loan Inputs'!$B$8+A1016*IF('Loan Inputs'!$B$14=26,14,7)))</f>
        <v/>
      </c>
      <c r="C1016" s="2" t="str">
        <f t="shared" si="47"/>
        <v/>
      </c>
      <c r="D1016" s="2" t="str">
        <f>IF(A1016="","",MIN('Loan Inputs'!$B$17,C1016+E1016)+H1016)</f>
        <v/>
      </c>
      <c r="E1016" s="2" t="str">
        <f>IF(A1016="","",C1016*'Loan Inputs'!$B$15)</f>
        <v/>
      </c>
      <c r="F1016" s="2" t="str">
        <f t="shared" si="45"/>
        <v/>
      </c>
      <c r="G1016" s="2" t="str">
        <f t="shared" si="46"/>
        <v/>
      </c>
      <c r="H1016" s="2" t="str">
        <f>IF(A1016="","",MIN(0,MAX(0,C1016+E1016-'Loan Inputs'!$B$17)))</f>
        <v/>
      </c>
    </row>
    <row r="1017" spans="1:8" ht="22" customHeight="1">
      <c r="A1017" s="1" t="str">
        <f>IF(AND('Loan Inputs'!$B$12,1011&lt;=IF('Loan Inputs'!$B$12,'Loan Inputs'!$B$7,0)*'Loan Inputs'!$B$14+0,ISNUMBER(G1016),G1016&gt;0),1011,"")</f>
        <v/>
      </c>
      <c r="B1017" s="4" t="str">
        <f>IF(A1017="","",IF('Loan Inputs'!$B$14=12,DATE(YEAR('Loan Inputs'!$B$8),MONTH('Loan Inputs'!$B$8)+A1017,DAY('Loan Inputs'!$B$8)),'Loan Inputs'!$B$8+A1017*IF('Loan Inputs'!$B$14=26,14,7)))</f>
        <v/>
      </c>
      <c r="C1017" s="2" t="str">
        <f t="shared" si="47"/>
        <v/>
      </c>
      <c r="D1017" s="2" t="str">
        <f>IF(A1017="","",MIN('Loan Inputs'!$B$17,C1017+E1017)+H1017)</f>
        <v/>
      </c>
      <c r="E1017" s="2" t="str">
        <f>IF(A1017="","",C1017*'Loan Inputs'!$B$15)</f>
        <v/>
      </c>
      <c r="F1017" s="2" t="str">
        <f t="shared" si="45"/>
        <v/>
      </c>
      <c r="G1017" s="2" t="str">
        <f t="shared" si="46"/>
        <v/>
      </c>
      <c r="H1017" s="2" t="str">
        <f>IF(A1017="","",MIN(0,MAX(0,C1017+E1017-'Loan Inputs'!$B$17)))</f>
        <v/>
      </c>
    </row>
    <row r="1018" spans="1:8" ht="22" customHeight="1">
      <c r="A1018" s="1" t="str">
        <f>IF(AND('Loan Inputs'!$B$12,1012&lt;=IF('Loan Inputs'!$B$12,'Loan Inputs'!$B$7,0)*'Loan Inputs'!$B$14+0,ISNUMBER(G1017),G1017&gt;0),1012,"")</f>
        <v/>
      </c>
      <c r="B1018" s="4" t="str">
        <f>IF(A1018="","",IF('Loan Inputs'!$B$14=12,DATE(YEAR('Loan Inputs'!$B$8),MONTH('Loan Inputs'!$B$8)+A1018,DAY('Loan Inputs'!$B$8)),'Loan Inputs'!$B$8+A1018*IF('Loan Inputs'!$B$14=26,14,7)))</f>
        <v/>
      </c>
      <c r="C1018" s="2" t="str">
        <f t="shared" si="47"/>
        <v/>
      </c>
      <c r="D1018" s="2" t="str">
        <f>IF(A1018="","",MIN('Loan Inputs'!$B$17,C1018+E1018)+H1018)</f>
        <v/>
      </c>
      <c r="E1018" s="2" t="str">
        <f>IF(A1018="","",C1018*'Loan Inputs'!$B$15)</f>
        <v/>
      </c>
      <c r="F1018" s="2" t="str">
        <f t="shared" si="45"/>
        <v/>
      </c>
      <c r="G1018" s="2" t="str">
        <f t="shared" si="46"/>
        <v/>
      </c>
      <c r="H1018" s="2" t="str">
        <f>IF(A1018="","",MIN(0,MAX(0,C1018+E1018-'Loan Inputs'!$B$17)))</f>
        <v/>
      </c>
    </row>
    <row r="1019" spans="1:8" ht="22" customHeight="1">
      <c r="A1019" s="1" t="str">
        <f>IF(AND('Loan Inputs'!$B$12,1013&lt;=IF('Loan Inputs'!$B$12,'Loan Inputs'!$B$7,0)*'Loan Inputs'!$B$14+0,ISNUMBER(G1018),G1018&gt;0),1013,"")</f>
        <v/>
      </c>
      <c r="B1019" s="4" t="str">
        <f>IF(A1019="","",IF('Loan Inputs'!$B$14=12,DATE(YEAR('Loan Inputs'!$B$8),MONTH('Loan Inputs'!$B$8)+A1019,DAY('Loan Inputs'!$B$8)),'Loan Inputs'!$B$8+A1019*IF('Loan Inputs'!$B$14=26,14,7)))</f>
        <v/>
      </c>
      <c r="C1019" s="2" t="str">
        <f t="shared" si="47"/>
        <v/>
      </c>
      <c r="D1019" s="2" t="str">
        <f>IF(A1019="","",MIN('Loan Inputs'!$B$17,C1019+E1019)+H1019)</f>
        <v/>
      </c>
      <c r="E1019" s="2" t="str">
        <f>IF(A1019="","",C1019*'Loan Inputs'!$B$15)</f>
        <v/>
      </c>
      <c r="F1019" s="2" t="str">
        <f t="shared" si="45"/>
        <v/>
      </c>
      <c r="G1019" s="2" t="str">
        <f t="shared" si="46"/>
        <v/>
      </c>
      <c r="H1019" s="2" t="str">
        <f>IF(A1019="","",MIN(0,MAX(0,C1019+E1019-'Loan Inputs'!$B$17)))</f>
        <v/>
      </c>
    </row>
    <row r="1020" spans="1:8" ht="22" customHeight="1">
      <c r="A1020" s="1" t="str">
        <f>IF(AND('Loan Inputs'!$B$12,1014&lt;=IF('Loan Inputs'!$B$12,'Loan Inputs'!$B$7,0)*'Loan Inputs'!$B$14+0,ISNUMBER(G1019),G1019&gt;0),1014,"")</f>
        <v/>
      </c>
      <c r="B1020" s="4" t="str">
        <f>IF(A1020="","",IF('Loan Inputs'!$B$14=12,DATE(YEAR('Loan Inputs'!$B$8),MONTH('Loan Inputs'!$B$8)+A1020,DAY('Loan Inputs'!$B$8)),'Loan Inputs'!$B$8+A1020*IF('Loan Inputs'!$B$14=26,14,7)))</f>
        <v/>
      </c>
      <c r="C1020" s="2" t="str">
        <f t="shared" si="47"/>
        <v/>
      </c>
      <c r="D1020" s="2" t="str">
        <f>IF(A1020="","",MIN('Loan Inputs'!$B$17,C1020+E1020)+H1020)</f>
        <v/>
      </c>
      <c r="E1020" s="2" t="str">
        <f>IF(A1020="","",C1020*'Loan Inputs'!$B$15)</f>
        <v/>
      </c>
      <c r="F1020" s="2" t="str">
        <f t="shared" si="45"/>
        <v/>
      </c>
      <c r="G1020" s="2" t="str">
        <f t="shared" si="46"/>
        <v/>
      </c>
      <c r="H1020" s="2" t="str">
        <f>IF(A1020="","",MIN(0,MAX(0,C1020+E1020-'Loan Inputs'!$B$17)))</f>
        <v/>
      </c>
    </row>
    <row r="1021" spans="1:8" ht="22" customHeight="1">
      <c r="A1021" s="1" t="str">
        <f>IF(AND('Loan Inputs'!$B$12,1015&lt;=IF('Loan Inputs'!$B$12,'Loan Inputs'!$B$7,0)*'Loan Inputs'!$B$14+0,ISNUMBER(G1020),G1020&gt;0),1015,"")</f>
        <v/>
      </c>
      <c r="B1021" s="4" t="str">
        <f>IF(A1021="","",IF('Loan Inputs'!$B$14=12,DATE(YEAR('Loan Inputs'!$B$8),MONTH('Loan Inputs'!$B$8)+A1021,DAY('Loan Inputs'!$B$8)),'Loan Inputs'!$B$8+A1021*IF('Loan Inputs'!$B$14=26,14,7)))</f>
        <v/>
      </c>
      <c r="C1021" s="2" t="str">
        <f t="shared" si="47"/>
        <v/>
      </c>
      <c r="D1021" s="2" t="str">
        <f>IF(A1021="","",MIN('Loan Inputs'!$B$17,C1021+E1021)+H1021)</f>
        <v/>
      </c>
      <c r="E1021" s="2" t="str">
        <f>IF(A1021="","",C1021*'Loan Inputs'!$B$15)</f>
        <v/>
      </c>
      <c r="F1021" s="2" t="str">
        <f t="shared" si="45"/>
        <v/>
      </c>
      <c r="G1021" s="2" t="str">
        <f t="shared" si="46"/>
        <v/>
      </c>
      <c r="H1021" s="2" t="str">
        <f>IF(A1021="","",MIN(0,MAX(0,C1021+E1021-'Loan Inputs'!$B$17)))</f>
        <v/>
      </c>
    </row>
    <row r="1022" spans="1:8" ht="22" customHeight="1">
      <c r="A1022" s="1" t="str">
        <f>IF(AND('Loan Inputs'!$B$12,1016&lt;=IF('Loan Inputs'!$B$12,'Loan Inputs'!$B$7,0)*'Loan Inputs'!$B$14+0,ISNUMBER(G1021),G1021&gt;0),1016,"")</f>
        <v/>
      </c>
      <c r="B1022" s="4" t="str">
        <f>IF(A1022="","",IF('Loan Inputs'!$B$14=12,DATE(YEAR('Loan Inputs'!$B$8),MONTH('Loan Inputs'!$B$8)+A1022,DAY('Loan Inputs'!$B$8)),'Loan Inputs'!$B$8+A1022*IF('Loan Inputs'!$B$14=26,14,7)))</f>
        <v/>
      </c>
      <c r="C1022" s="2" t="str">
        <f t="shared" si="47"/>
        <v/>
      </c>
      <c r="D1022" s="2" t="str">
        <f>IF(A1022="","",MIN('Loan Inputs'!$B$17,C1022+E1022)+H1022)</f>
        <v/>
      </c>
      <c r="E1022" s="2" t="str">
        <f>IF(A1022="","",C1022*'Loan Inputs'!$B$15)</f>
        <v/>
      </c>
      <c r="F1022" s="2" t="str">
        <f t="shared" si="45"/>
        <v/>
      </c>
      <c r="G1022" s="2" t="str">
        <f t="shared" si="46"/>
        <v/>
      </c>
      <c r="H1022" s="2" t="str">
        <f>IF(A1022="","",MIN(0,MAX(0,C1022+E1022-'Loan Inputs'!$B$17)))</f>
        <v/>
      </c>
    </row>
    <row r="1023" spans="1:8" ht="22" customHeight="1">
      <c r="A1023" s="1" t="str">
        <f>IF(AND('Loan Inputs'!$B$12,1017&lt;=IF('Loan Inputs'!$B$12,'Loan Inputs'!$B$7,0)*'Loan Inputs'!$B$14+0,ISNUMBER(G1022),G1022&gt;0),1017,"")</f>
        <v/>
      </c>
      <c r="B1023" s="4" t="str">
        <f>IF(A1023="","",IF('Loan Inputs'!$B$14=12,DATE(YEAR('Loan Inputs'!$B$8),MONTH('Loan Inputs'!$B$8)+A1023,DAY('Loan Inputs'!$B$8)),'Loan Inputs'!$B$8+A1023*IF('Loan Inputs'!$B$14=26,14,7)))</f>
        <v/>
      </c>
      <c r="C1023" s="2" t="str">
        <f t="shared" si="47"/>
        <v/>
      </c>
      <c r="D1023" s="2" t="str">
        <f>IF(A1023="","",MIN('Loan Inputs'!$B$17,C1023+E1023)+H1023)</f>
        <v/>
      </c>
      <c r="E1023" s="2" t="str">
        <f>IF(A1023="","",C1023*'Loan Inputs'!$B$15)</f>
        <v/>
      </c>
      <c r="F1023" s="2" t="str">
        <f t="shared" si="45"/>
        <v/>
      </c>
      <c r="G1023" s="2" t="str">
        <f t="shared" si="46"/>
        <v/>
      </c>
      <c r="H1023" s="2" t="str">
        <f>IF(A1023="","",MIN(0,MAX(0,C1023+E1023-'Loan Inputs'!$B$17)))</f>
        <v/>
      </c>
    </row>
    <row r="1024" spans="1:8" ht="22" customHeight="1">
      <c r="A1024" s="1" t="str">
        <f>IF(AND('Loan Inputs'!$B$12,1018&lt;=IF('Loan Inputs'!$B$12,'Loan Inputs'!$B$7,0)*'Loan Inputs'!$B$14+0,ISNUMBER(G1023),G1023&gt;0),1018,"")</f>
        <v/>
      </c>
      <c r="B1024" s="4" t="str">
        <f>IF(A1024="","",IF('Loan Inputs'!$B$14=12,DATE(YEAR('Loan Inputs'!$B$8),MONTH('Loan Inputs'!$B$8)+A1024,DAY('Loan Inputs'!$B$8)),'Loan Inputs'!$B$8+A1024*IF('Loan Inputs'!$B$14=26,14,7)))</f>
        <v/>
      </c>
      <c r="C1024" s="2" t="str">
        <f t="shared" si="47"/>
        <v/>
      </c>
      <c r="D1024" s="2" t="str">
        <f>IF(A1024="","",MIN('Loan Inputs'!$B$17,C1024+E1024)+H1024)</f>
        <v/>
      </c>
      <c r="E1024" s="2" t="str">
        <f>IF(A1024="","",C1024*'Loan Inputs'!$B$15)</f>
        <v/>
      </c>
      <c r="F1024" s="2" t="str">
        <f t="shared" si="45"/>
        <v/>
      </c>
      <c r="G1024" s="2" t="str">
        <f t="shared" si="46"/>
        <v/>
      </c>
      <c r="H1024" s="2" t="str">
        <f>IF(A1024="","",MIN(0,MAX(0,C1024+E1024-'Loan Inputs'!$B$17)))</f>
        <v/>
      </c>
    </row>
    <row r="1025" spans="1:8" ht="22" customHeight="1">
      <c r="A1025" s="1" t="str">
        <f>IF(AND('Loan Inputs'!$B$12,1019&lt;=IF('Loan Inputs'!$B$12,'Loan Inputs'!$B$7,0)*'Loan Inputs'!$B$14+0,ISNUMBER(G1024),G1024&gt;0),1019,"")</f>
        <v/>
      </c>
      <c r="B1025" s="4" t="str">
        <f>IF(A1025="","",IF('Loan Inputs'!$B$14=12,DATE(YEAR('Loan Inputs'!$B$8),MONTH('Loan Inputs'!$B$8)+A1025,DAY('Loan Inputs'!$B$8)),'Loan Inputs'!$B$8+A1025*IF('Loan Inputs'!$B$14=26,14,7)))</f>
        <v/>
      </c>
      <c r="C1025" s="2" t="str">
        <f t="shared" si="47"/>
        <v/>
      </c>
      <c r="D1025" s="2" t="str">
        <f>IF(A1025="","",MIN('Loan Inputs'!$B$17,C1025+E1025)+H1025)</f>
        <v/>
      </c>
      <c r="E1025" s="2" t="str">
        <f>IF(A1025="","",C1025*'Loan Inputs'!$B$15)</f>
        <v/>
      </c>
      <c r="F1025" s="2" t="str">
        <f t="shared" si="45"/>
        <v/>
      </c>
      <c r="G1025" s="2" t="str">
        <f t="shared" si="46"/>
        <v/>
      </c>
      <c r="H1025" s="2" t="str">
        <f>IF(A1025="","",MIN(0,MAX(0,C1025+E1025-'Loan Inputs'!$B$17)))</f>
        <v/>
      </c>
    </row>
    <row r="1026" spans="1:8" ht="22" customHeight="1">
      <c r="A1026" s="1" t="str">
        <f>IF(AND('Loan Inputs'!$B$12,1020&lt;=IF('Loan Inputs'!$B$12,'Loan Inputs'!$B$7,0)*'Loan Inputs'!$B$14+0,ISNUMBER(G1025),G1025&gt;0),1020,"")</f>
        <v/>
      </c>
      <c r="B1026" s="4" t="str">
        <f>IF(A1026="","",IF('Loan Inputs'!$B$14=12,DATE(YEAR('Loan Inputs'!$B$8),MONTH('Loan Inputs'!$B$8)+A1026,DAY('Loan Inputs'!$B$8)),'Loan Inputs'!$B$8+A1026*IF('Loan Inputs'!$B$14=26,14,7)))</f>
        <v/>
      </c>
      <c r="C1026" s="2" t="str">
        <f t="shared" si="47"/>
        <v/>
      </c>
      <c r="D1026" s="2" t="str">
        <f>IF(A1026="","",MIN('Loan Inputs'!$B$17,C1026+E1026)+H1026)</f>
        <v/>
      </c>
      <c r="E1026" s="2" t="str">
        <f>IF(A1026="","",C1026*'Loan Inputs'!$B$15)</f>
        <v/>
      </c>
      <c r="F1026" s="2" t="str">
        <f t="shared" si="45"/>
        <v/>
      </c>
      <c r="G1026" s="2" t="str">
        <f t="shared" si="46"/>
        <v/>
      </c>
      <c r="H1026" s="2" t="str">
        <f>IF(A1026="","",MIN(0,MAX(0,C1026+E1026-'Loan Inputs'!$B$17)))</f>
        <v/>
      </c>
    </row>
    <row r="1027" spans="1:8" ht="22" customHeight="1">
      <c r="A1027" s="1" t="str">
        <f>IF(AND('Loan Inputs'!$B$12,1021&lt;=IF('Loan Inputs'!$B$12,'Loan Inputs'!$B$7,0)*'Loan Inputs'!$B$14+0,ISNUMBER(G1026),G1026&gt;0),1021,"")</f>
        <v/>
      </c>
      <c r="B1027" s="4" t="str">
        <f>IF(A1027="","",IF('Loan Inputs'!$B$14=12,DATE(YEAR('Loan Inputs'!$B$8),MONTH('Loan Inputs'!$B$8)+A1027,DAY('Loan Inputs'!$B$8)),'Loan Inputs'!$B$8+A1027*IF('Loan Inputs'!$B$14=26,14,7)))</f>
        <v/>
      </c>
      <c r="C1027" s="2" t="str">
        <f t="shared" si="47"/>
        <v/>
      </c>
      <c r="D1027" s="2" t="str">
        <f>IF(A1027="","",MIN('Loan Inputs'!$B$17,C1027+E1027)+H1027)</f>
        <v/>
      </c>
      <c r="E1027" s="2" t="str">
        <f>IF(A1027="","",C1027*'Loan Inputs'!$B$15)</f>
        <v/>
      </c>
      <c r="F1027" s="2" t="str">
        <f t="shared" si="45"/>
        <v/>
      </c>
      <c r="G1027" s="2" t="str">
        <f t="shared" si="46"/>
        <v/>
      </c>
      <c r="H1027" s="2" t="str">
        <f>IF(A1027="","",MIN(0,MAX(0,C1027+E1027-'Loan Inputs'!$B$17)))</f>
        <v/>
      </c>
    </row>
    <row r="1028" spans="1:8" ht="22" customHeight="1">
      <c r="A1028" s="1" t="str">
        <f>IF(AND('Loan Inputs'!$B$12,1022&lt;=IF('Loan Inputs'!$B$12,'Loan Inputs'!$B$7,0)*'Loan Inputs'!$B$14+0,ISNUMBER(G1027),G1027&gt;0),1022,"")</f>
        <v/>
      </c>
      <c r="B1028" s="4" t="str">
        <f>IF(A1028="","",IF('Loan Inputs'!$B$14=12,DATE(YEAR('Loan Inputs'!$B$8),MONTH('Loan Inputs'!$B$8)+A1028,DAY('Loan Inputs'!$B$8)),'Loan Inputs'!$B$8+A1028*IF('Loan Inputs'!$B$14=26,14,7)))</f>
        <v/>
      </c>
      <c r="C1028" s="2" t="str">
        <f t="shared" si="47"/>
        <v/>
      </c>
      <c r="D1028" s="2" t="str">
        <f>IF(A1028="","",MIN('Loan Inputs'!$B$17,C1028+E1028)+H1028)</f>
        <v/>
      </c>
      <c r="E1028" s="2" t="str">
        <f>IF(A1028="","",C1028*'Loan Inputs'!$B$15)</f>
        <v/>
      </c>
      <c r="F1028" s="2" t="str">
        <f t="shared" si="45"/>
        <v/>
      </c>
      <c r="G1028" s="2" t="str">
        <f t="shared" si="46"/>
        <v/>
      </c>
      <c r="H1028" s="2" t="str">
        <f>IF(A1028="","",MIN(0,MAX(0,C1028+E1028-'Loan Inputs'!$B$17)))</f>
        <v/>
      </c>
    </row>
    <row r="1029" spans="1:8" ht="22" customHeight="1">
      <c r="A1029" s="1" t="str">
        <f>IF(AND('Loan Inputs'!$B$12,1023&lt;=IF('Loan Inputs'!$B$12,'Loan Inputs'!$B$7,0)*'Loan Inputs'!$B$14+0,ISNUMBER(G1028),G1028&gt;0),1023,"")</f>
        <v/>
      </c>
      <c r="B1029" s="4" t="str">
        <f>IF(A1029="","",IF('Loan Inputs'!$B$14=12,DATE(YEAR('Loan Inputs'!$B$8),MONTH('Loan Inputs'!$B$8)+A1029,DAY('Loan Inputs'!$B$8)),'Loan Inputs'!$B$8+A1029*IF('Loan Inputs'!$B$14=26,14,7)))</f>
        <v/>
      </c>
      <c r="C1029" s="2" t="str">
        <f t="shared" si="47"/>
        <v/>
      </c>
      <c r="D1029" s="2" t="str">
        <f>IF(A1029="","",MIN('Loan Inputs'!$B$17,C1029+E1029)+H1029)</f>
        <v/>
      </c>
      <c r="E1029" s="2" t="str">
        <f>IF(A1029="","",C1029*'Loan Inputs'!$B$15)</f>
        <v/>
      </c>
      <c r="F1029" s="2" t="str">
        <f t="shared" si="45"/>
        <v/>
      </c>
      <c r="G1029" s="2" t="str">
        <f t="shared" si="46"/>
        <v/>
      </c>
      <c r="H1029" s="2" t="str">
        <f>IF(A1029="","",MIN(0,MAX(0,C1029+E1029-'Loan Inputs'!$B$17)))</f>
        <v/>
      </c>
    </row>
    <row r="1030" spans="1:8" ht="22" customHeight="1">
      <c r="A1030" s="1" t="str">
        <f>IF(AND('Loan Inputs'!$B$12,1024&lt;=IF('Loan Inputs'!$B$12,'Loan Inputs'!$B$7,0)*'Loan Inputs'!$B$14+0,ISNUMBER(G1029),G1029&gt;0),1024,"")</f>
        <v/>
      </c>
      <c r="B1030" s="4" t="str">
        <f>IF(A1030="","",IF('Loan Inputs'!$B$14=12,DATE(YEAR('Loan Inputs'!$B$8),MONTH('Loan Inputs'!$B$8)+A1030,DAY('Loan Inputs'!$B$8)),'Loan Inputs'!$B$8+A1030*IF('Loan Inputs'!$B$14=26,14,7)))</f>
        <v/>
      </c>
      <c r="C1030" s="2" t="str">
        <f t="shared" si="47"/>
        <v/>
      </c>
      <c r="D1030" s="2" t="str">
        <f>IF(A1030="","",MIN('Loan Inputs'!$B$17,C1030+E1030)+H1030)</f>
        <v/>
      </c>
      <c r="E1030" s="2" t="str">
        <f>IF(A1030="","",C1030*'Loan Inputs'!$B$15)</f>
        <v/>
      </c>
      <c r="F1030" s="2" t="str">
        <f t="shared" si="45"/>
        <v/>
      </c>
      <c r="G1030" s="2" t="str">
        <f t="shared" si="46"/>
        <v/>
      </c>
      <c r="H1030" s="2" t="str">
        <f>IF(A1030="","",MIN(0,MAX(0,C1030+E1030-'Loan Inputs'!$B$17)))</f>
        <v/>
      </c>
    </row>
    <row r="1031" spans="1:8" ht="22" customHeight="1">
      <c r="A1031" s="1" t="str">
        <f>IF(AND('Loan Inputs'!$B$12,1025&lt;=IF('Loan Inputs'!$B$12,'Loan Inputs'!$B$7,0)*'Loan Inputs'!$B$14+0,ISNUMBER(G1030),G1030&gt;0),1025,"")</f>
        <v/>
      </c>
      <c r="B1031" s="4" t="str">
        <f>IF(A1031="","",IF('Loan Inputs'!$B$14=12,DATE(YEAR('Loan Inputs'!$B$8),MONTH('Loan Inputs'!$B$8)+A1031,DAY('Loan Inputs'!$B$8)),'Loan Inputs'!$B$8+A1031*IF('Loan Inputs'!$B$14=26,14,7)))</f>
        <v/>
      </c>
      <c r="C1031" s="2" t="str">
        <f t="shared" si="47"/>
        <v/>
      </c>
      <c r="D1031" s="2" t="str">
        <f>IF(A1031="","",MIN('Loan Inputs'!$B$17,C1031+E1031)+H1031)</f>
        <v/>
      </c>
      <c r="E1031" s="2" t="str">
        <f>IF(A1031="","",C1031*'Loan Inputs'!$B$15)</f>
        <v/>
      </c>
      <c r="F1031" s="2" t="str">
        <f t="shared" ref="F1031:F1094" si="48">IF(A1031="","",MIN(C1031,D1031-E1031))</f>
        <v/>
      </c>
      <c r="G1031" s="2" t="str">
        <f t="shared" ref="G1031:G1094" si="49">IF(A1031="","",IF(C1031-F1031&lt;0.01,0,MAX(0,C1031-F1031)))</f>
        <v/>
      </c>
      <c r="H1031" s="2" t="str">
        <f>IF(A1031="","",MIN(0,MAX(0,C1031+E1031-'Loan Inputs'!$B$17)))</f>
        <v/>
      </c>
    </row>
    <row r="1032" spans="1:8" ht="22" customHeight="1">
      <c r="A1032" s="1" t="str">
        <f>IF(AND('Loan Inputs'!$B$12,1026&lt;=IF('Loan Inputs'!$B$12,'Loan Inputs'!$B$7,0)*'Loan Inputs'!$B$14+0,ISNUMBER(G1031),G1031&gt;0),1026,"")</f>
        <v/>
      </c>
      <c r="B1032" s="4" t="str">
        <f>IF(A1032="","",IF('Loan Inputs'!$B$14=12,DATE(YEAR('Loan Inputs'!$B$8),MONTH('Loan Inputs'!$B$8)+A1032,DAY('Loan Inputs'!$B$8)),'Loan Inputs'!$B$8+A1032*IF('Loan Inputs'!$B$14=26,14,7)))</f>
        <v/>
      </c>
      <c r="C1032" s="2" t="str">
        <f t="shared" ref="C1032:C1095" si="50">IF(A1032="","",G1031)</f>
        <v/>
      </c>
      <c r="D1032" s="2" t="str">
        <f>IF(A1032="","",MIN('Loan Inputs'!$B$17,C1032+E1032)+H1032)</f>
        <v/>
      </c>
      <c r="E1032" s="2" t="str">
        <f>IF(A1032="","",C1032*'Loan Inputs'!$B$15)</f>
        <v/>
      </c>
      <c r="F1032" s="2" t="str">
        <f t="shared" si="48"/>
        <v/>
      </c>
      <c r="G1032" s="2" t="str">
        <f t="shared" si="49"/>
        <v/>
      </c>
      <c r="H1032" s="2" t="str">
        <f>IF(A1032="","",MIN(0,MAX(0,C1032+E1032-'Loan Inputs'!$B$17)))</f>
        <v/>
      </c>
    </row>
    <row r="1033" spans="1:8" ht="22" customHeight="1">
      <c r="A1033" s="1" t="str">
        <f>IF(AND('Loan Inputs'!$B$12,1027&lt;=IF('Loan Inputs'!$B$12,'Loan Inputs'!$B$7,0)*'Loan Inputs'!$B$14+0,ISNUMBER(G1032),G1032&gt;0),1027,"")</f>
        <v/>
      </c>
      <c r="B1033" s="4" t="str">
        <f>IF(A1033="","",IF('Loan Inputs'!$B$14=12,DATE(YEAR('Loan Inputs'!$B$8),MONTH('Loan Inputs'!$B$8)+A1033,DAY('Loan Inputs'!$B$8)),'Loan Inputs'!$B$8+A1033*IF('Loan Inputs'!$B$14=26,14,7)))</f>
        <v/>
      </c>
      <c r="C1033" s="2" t="str">
        <f t="shared" si="50"/>
        <v/>
      </c>
      <c r="D1033" s="2" t="str">
        <f>IF(A1033="","",MIN('Loan Inputs'!$B$17,C1033+E1033)+H1033)</f>
        <v/>
      </c>
      <c r="E1033" s="2" t="str">
        <f>IF(A1033="","",C1033*'Loan Inputs'!$B$15)</f>
        <v/>
      </c>
      <c r="F1033" s="2" t="str">
        <f t="shared" si="48"/>
        <v/>
      </c>
      <c r="G1033" s="2" t="str">
        <f t="shared" si="49"/>
        <v/>
      </c>
      <c r="H1033" s="2" t="str">
        <f>IF(A1033="","",MIN(0,MAX(0,C1033+E1033-'Loan Inputs'!$B$17)))</f>
        <v/>
      </c>
    </row>
    <row r="1034" spans="1:8" ht="22" customHeight="1">
      <c r="A1034" s="1" t="str">
        <f>IF(AND('Loan Inputs'!$B$12,1028&lt;=IF('Loan Inputs'!$B$12,'Loan Inputs'!$B$7,0)*'Loan Inputs'!$B$14+0,ISNUMBER(G1033),G1033&gt;0),1028,"")</f>
        <v/>
      </c>
      <c r="B1034" s="4" t="str">
        <f>IF(A1034="","",IF('Loan Inputs'!$B$14=12,DATE(YEAR('Loan Inputs'!$B$8),MONTH('Loan Inputs'!$B$8)+A1034,DAY('Loan Inputs'!$B$8)),'Loan Inputs'!$B$8+A1034*IF('Loan Inputs'!$B$14=26,14,7)))</f>
        <v/>
      </c>
      <c r="C1034" s="2" t="str">
        <f t="shared" si="50"/>
        <v/>
      </c>
      <c r="D1034" s="2" t="str">
        <f>IF(A1034="","",MIN('Loan Inputs'!$B$17,C1034+E1034)+H1034)</f>
        <v/>
      </c>
      <c r="E1034" s="2" t="str">
        <f>IF(A1034="","",C1034*'Loan Inputs'!$B$15)</f>
        <v/>
      </c>
      <c r="F1034" s="2" t="str">
        <f t="shared" si="48"/>
        <v/>
      </c>
      <c r="G1034" s="2" t="str">
        <f t="shared" si="49"/>
        <v/>
      </c>
      <c r="H1034" s="2" t="str">
        <f>IF(A1034="","",MIN(0,MAX(0,C1034+E1034-'Loan Inputs'!$B$17)))</f>
        <v/>
      </c>
    </row>
    <row r="1035" spans="1:8" ht="22" customHeight="1">
      <c r="A1035" s="1" t="str">
        <f>IF(AND('Loan Inputs'!$B$12,1029&lt;=IF('Loan Inputs'!$B$12,'Loan Inputs'!$B$7,0)*'Loan Inputs'!$B$14+0,ISNUMBER(G1034),G1034&gt;0),1029,"")</f>
        <v/>
      </c>
      <c r="B1035" s="4" t="str">
        <f>IF(A1035="","",IF('Loan Inputs'!$B$14=12,DATE(YEAR('Loan Inputs'!$B$8),MONTH('Loan Inputs'!$B$8)+A1035,DAY('Loan Inputs'!$B$8)),'Loan Inputs'!$B$8+A1035*IF('Loan Inputs'!$B$14=26,14,7)))</f>
        <v/>
      </c>
      <c r="C1035" s="2" t="str">
        <f t="shared" si="50"/>
        <v/>
      </c>
      <c r="D1035" s="2" t="str">
        <f>IF(A1035="","",MIN('Loan Inputs'!$B$17,C1035+E1035)+H1035)</f>
        <v/>
      </c>
      <c r="E1035" s="2" t="str">
        <f>IF(A1035="","",C1035*'Loan Inputs'!$B$15)</f>
        <v/>
      </c>
      <c r="F1035" s="2" t="str">
        <f t="shared" si="48"/>
        <v/>
      </c>
      <c r="G1035" s="2" t="str">
        <f t="shared" si="49"/>
        <v/>
      </c>
      <c r="H1035" s="2" t="str">
        <f>IF(A1035="","",MIN(0,MAX(0,C1035+E1035-'Loan Inputs'!$B$17)))</f>
        <v/>
      </c>
    </row>
    <row r="1036" spans="1:8" ht="22" customHeight="1">
      <c r="A1036" s="1" t="str">
        <f>IF(AND('Loan Inputs'!$B$12,1030&lt;=IF('Loan Inputs'!$B$12,'Loan Inputs'!$B$7,0)*'Loan Inputs'!$B$14+0,ISNUMBER(G1035),G1035&gt;0),1030,"")</f>
        <v/>
      </c>
      <c r="B1036" s="4" t="str">
        <f>IF(A1036="","",IF('Loan Inputs'!$B$14=12,DATE(YEAR('Loan Inputs'!$B$8),MONTH('Loan Inputs'!$B$8)+A1036,DAY('Loan Inputs'!$B$8)),'Loan Inputs'!$B$8+A1036*IF('Loan Inputs'!$B$14=26,14,7)))</f>
        <v/>
      </c>
      <c r="C1036" s="2" t="str">
        <f t="shared" si="50"/>
        <v/>
      </c>
      <c r="D1036" s="2" t="str">
        <f>IF(A1036="","",MIN('Loan Inputs'!$B$17,C1036+E1036)+H1036)</f>
        <v/>
      </c>
      <c r="E1036" s="2" t="str">
        <f>IF(A1036="","",C1036*'Loan Inputs'!$B$15)</f>
        <v/>
      </c>
      <c r="F1036" s="2" t="str">
        <f t="shared" si="48"/>
        <v/>
      </c>
      <c r="G1036" s="2" t="str">
        <f t="shared" si="49"/>
        <v/>
      </c>
      <c r="H1036" s="2" t="str">
        <f>IF(A1036="","",MIN(0,MAX(0,C1036+E1036-'Loan Inputs'!$B$17)))</f>
        <v/>
      </c>
    </row>
    <row r="1037" spans="1:8" ht="22" customHeight="1">
      <c r="A1037" s="1" t="str">
        <f>IF(AND('Loan Inputs'!$B$12,1031&lt;=IF('Loan Inputs'!$B$12,'Loan Inputs'!$B$7,0)*'Loan Inputs'!$B$14+0,ISNUMBER(G1036),G1036&gt;0),1031,"")</f>
        <v/>
      </c>
      <c r="B1037" s="4" t="str">
        <f>IF(A1037="","",IF('Loan Inputs'!$B$14=12,DATE(YEAR('Loan Inputs'!$B$8),MONTH('Loan Inputs'!$B$8)+A1037,DAY('Loan Inputs'!$B$8)),'Loan Inputs'!$B$8+A1037*IF('Loan Inputs'!$B$14=26,14,7)))</f>
        <v/>
      </c>
      <c r="C1037" s="2" t="str">
        <f t="shared" si="50"/>
        <v/>
      </c>
      <c r="D1037" s="2" t="str">
        <f>IF(A1037="","",MIN('Loan Inputs'!$B$17,C1037+E1037)+H1037)</f>
        <v/>
      </c>
      <c r="E1037" s="2" t="str">
        <f>IF(A1037="","",C1037*'Loan Inputs'!$B$15)</f>
        <v/>
      </c>
      <c r="F1037" s="2" t="str">
        <f t="shared" si="48"/>
        <v/>
      </c>
      <c r="G1037" s="2" t="str">
        <f t="shared" si="49"/>
        <v/>
      </c>
      <c r="H1037" s="2" t="str">
        <f>IF(A1037="","",MIN(0,MAX(0,C1037+E1037-'Loan Inputs'!$B$17)))</f>
        <v/>
      </c>
    </row>
    <row r="1038" spans="1:8" ht="22" customHeight="1">
      <c r="A1038" s="1" t="str">
        <f>IF(AND('Loan Inputs'!$B$12,1032&lt;=IF('Loan Inputs'!$B$12,'Loan Inputs'!$B$7,0)*'Loan Inputs'!$B$14+0,ISNUMBER(G1037),G1037&gt;0),1032,"")</f>
        <v/>
      </c>
      <c r="B1038" s="4" t="str">
        <f>IF(A1038="","",IF('Loan Inputs'!$B$14=12,DATE(YEAR('Loan Inputs'!$B$8),MONTH('Loan Inputs'!$B$8)+A1038,DAY('Loan Inputs'!$B$8)),'Loan Inputs'!$B$8+A1038*IF('Loan Inputs'!$B$14=26,14,7)))</f>
        <v/>
      </c>
      <c r="C1038" s="2" t="str">
        <f t="shared" si="50"/>
        <v/>
      </c>
      <c r="D1038" s="2" t="str">
        <f>IF(A1038="","",MIN('Loan Inputs'!$B$17,C1038+E1038)+H1038)</f>
        <v/>
      </c>
      <c r="E1038" s="2" t="str">
        <f>IF(A1038="","",C1038*'Loan Inputs'!$B$15)</f>
        <v/>
      </c>
      <c r="F1038" s="2" t="str">
        <f t="shared" si="48"/>
        <v/>
      </c>
      <c r="G1038" s="2" t="str">
        <f t="shared" si="49"/>
        <v/>
      </c>
      <c r="H1038" s="2" t="str">
        <f>IF(A1038="","",MIN(0,MAX(0,C1038+E1038-'Loan Inputs'!$B$17)))</f>
        <v/>
      </c>
    </row>
    <row r="1039" spans="1:8" ht="22" customHeight="1">
      <c r="A1039" s="1" t="str">
        <f>IF(AND('Loan Inputs'!$B$12,1033&lt;=IF('Loan Inputs'!$B$12,'Loan Inputs'!$B$7,0)*'Loan Inputs'!$B$14+0,ISNUMBER(G1038),G1038&gt;0),1033,"")</f>
        <v/>
      </c>
      <c r="B1039" s="4" t="str">
        <f>IF(A1039="","",IF('Loan Inputs'!$B$14=12,DATE(YEAR('Loan Inputs'!$B$8),MONTH('Loan Inputs'!$B$8)+A1039,DAY('Loan Inputs'!$B$8)),'Loan Inputs'!$B$8+A1039*IF('Loan Inputs'!$B$14=26,14,7)))</f>
        <v/>
      </c>
      <c r="C1039" s="2" t="str">
        <f t="shared" si="50"/>
        <v/>
      </c>
      <c r="D1039" s="2" t="str">
        <f>IF(A1039="","",MIN('Loan Inputs'!$B$17,C1039+E1039)+H1039)</f>
        <v/>
      </c>
      <c r="E1039" s="2" t="str">
        <f>IF(A1039="","",C1039*'Loan Inputs'!$B$15)</f>
        <v/>
      </c>
      <c r="F1039" s="2" t="str">
        <f t="shared" si="48"/>
        <v/>
      </c>
      <c r="G1039" s="2" t="str">
        <f t="shared" si="49"/>
        <v/>
      </c>
      <c r="H1039" s="2" t="str">
        <f>IF(A1039="","",MIN(0,MAX(0,C1039+E1039-'Loan Inputs'!$B$17)))</f>
        <v/>
      </c>
    </row>
    <row r="1040" spans="1:8" ht="22" customHeight="1">
      <c r="A1040" s="1" t="str">
        <f>IF(AND('Loan Inputs'!$B$12,1034&lt;=IF('Loan Inputs'!$B$12,'Loan Inputs'!$B$7,0)*'Loan Inputs'!$B$14+0,ISNUMBER(G1039),G1039&gt;0),1034,"")</f>
        <v/>
      </c>
      <c r="B1040" s="4" t="str">
        <f>IF(A1040="","",IF('Loan Inputs'!$B$14=12,DATE(YEAR('Loan Inputs'!$B$8),MONTH('Loan Inputs'!$B$8)+A1040,DAY('Loan Inputs'!$B$8)),'Loan Inputs'!$B$8+A1040*IF('Loan Inputs'!$B$14=26,14,7)))</f>
        <v/>
      </c>
      <c r="C1040" s="2" t="str">
        <f t="shared" si="50"/>
        <v/>
      </c>
      <c r="D1040" s="2" t="str">
        <f>IF(A1040="","",MIN('Loan Inputs'!$B$17,C1040+E1040)+H1040)</f>
        <v/>
      </c>
      <c r="E1040" s="2" t="str">
        <f>IF(A1040="","",C1040*'Loan Inputs'!$B$15)</f>
        <v/>
      </c>
      <c r="F1040" s="2" t="str">
        <f t="shared" si="48"/>
        <v/>
      </c>
      <c r="G1040" s="2" t="str">
        <f t="shared" si="49"/>
        <v/>
      </c>
      <c r="H1040" s="2" t="str">
        <f>IF(A1040="","",MIN(0,MAX(0,C1040+E1040-'Loan Inputs'!$B$17)))</f>
        <v/>
      </c>
    </row>
    <row r="1041" spans="1:8" ht="22" customHeight="1">
      <c r="A1041" s="1" t="str">
        <f>IF(AND('Loan Inputs'!$B$12,1035&lt;=IF('Loan Inputs'!$B$12,'Loan Inputs'!$B$7,0)*'Loan Inputs'!$B$14+0,ISNUMBER(G1040),G1040&gt;0),1035,"")</f>
        <v/>
      </c>
      <c r="B1041" s="4" t="str">
        <f>IF(A1041="","",IF('Loan Inputs'!$B$14=12,DATE(YEAR('Loan Inputs'!$B$8),MONTH('Loan Inputs'!$B$8)+A1041,DAY('Loan Inputs'!$B$8)),'Loan Inputs'!$B$8+A1041*IF('Loan Inputs'!$B$14=26,14,7)))</f>
        <v/>
      </c>
      <c r="C1041" s="2" t="str">
        <f t="shared" si="50"/>
        <v/>
      </c>
      <c r="D1041" s="2" t="str">
        <f>IF(A1041="","",MIN('Loan Inputs'!$B$17,C1041+E1041)+H1041)</f>
        <v/>
      </c>
      <c r="E1041" s="2" t="str">
        <f>IF(A1041="","",C1041*'Loan Inputs'!$B$15)</f>
        <v/>
      </c>
      <c r="F1041" s="2" t="str">
        <f t="shared" si="48"/>
        <v/>
      </c>
      <c r="G1041" s="2" t="str">
        <f t="shared" si="49"/>
        <v/>
      </c>
      <c r="H1041" s="2" t="str">
        <f>IF(A1041="","",MIN(0,MAX(0,C1041+E1041-'Loan Inputs'!$B$17)))</f>
        <v/>
      </c>
    </row>
    <row r="1042" spans="1:8" ht="22" customHeight="1">
      <c r="A1042" s="1" t="str">
        <f>IF(AND('Loan Inputs'!$B$12,1036&lt;=IF('Loan Inputs'!$B$12,'Loan Inputs'!$B$7,0)*'Loan Inputs'!$B$14+0,ISNUMBER(G1041),G1041&gt;0),1036,"")</f>
        <v/>
      </c>
      <c r="B1042" s="4" t="str">
        <f>IF(A1042="","",IF('Loan Inputs'!$B$14=12,DATE(YEAR('Loan Inputs'!$B$8),MONTH('Loan Inputs'!$B$8)+A1042,DAY('Loan Inputs'!$B$8)),'Loan Inputs'!$B$8+A1042*IF('Loan Inputs'!$B$14=26,14,7)))</f>
        <v/>
      </c>
      <c r="C1042" s="2" t="str">
        <f t="shared" si="50"/>
        <v/>
      </c>
      <c r="D1042" s="2" t="str">
        <f>IF(A1042="","",MIN('Loan Inputs'!$B$17,C1042+E1042)+H1042)</f>
        <v/>
      </c>
      <c r="E1042" s="2" t="str">
        <f>IF(A1042="","",C1042*'Loan Inputs'!$B$15)</f>
        <v/>
      </c>
      <c r="F1042" s="2" t="str">
        <f t="shared" si="48"/>
        <v/>
      </c>
      <c r="G1042" s="2" t="str">
        <f t="shared" si="49"/>
        <v/>
      </c>
      <c r="H1042" s="2" t="str">
        <f>IF(A1042="","",MIN(0,MAX(0,C1042+E1042-'Loan Inputs'!$B$17)))</f>
        <v/>
      </c>
    </row>
    <row r="1043" spans="1:8" ht="22" customHeight="1">
      <c r="A1043" s="1" t="str">
        <f>IF(AND('Loan Inputs'!$B$12,1037&lt;=IF('Loan Inputs'!$B$12,'Loan Inputs'!$B$7,0)*'Loan Inputs'!$B$14+0,ISNUMBER(G1042),G1042&gt;0),1037,"")</f>
        <v/>
      </c>
      <c r="B1043" s="4" t="str">
        <f>IF(A1043="","",IF('Loan Inputs'!$B$14=12,DATE(YEAR('Loan Inputs'!$B$8),MONTH('Loan Inputs'!$B$8)+A1043,DAY('Loan Inputs'!$B$8)),'Loan Inputs'!$B$8+A1043*IF('Loan Inputs'!$B$14=26,14,7)))</f>
        <v/>
      </c>
      <c r="C1043" s="2" t="str">
        <f t="shared" si="50"/>
        <v/>
      </c>
      <c r="D1043" s="2" t="str">
        <f>IF(A1043="","",MIN('Loan Inputs'!$B$17,C1043+E1043)+H1043)</f>
        <v/>
      </c>
      <c r="E1043" s="2" t="str">
        <f>IF(A1043="","",C1043*'Loan Inputs'!$B$15)</f>
        <v/>
      </c>
      <c r="F1043" s="2" t="str">
        <f t="shared" si="48"/>
        <v/>
      </c>
      <c r="G1043" s="2" t="str">
        <f t="shared" si="49"/>
        <v/>
      </c>
      <c r="H1043" s="2" t="str">
        <f>IF(A1043="","",MIN(0,MAX(0,C1043+E1043-'Loan Inputs'!$B$17)))</f>
        <v/>
      </c>
    </row>
    <row r="1044" spans="1:8" ht="22" customHeight="1">
      <c r="A1044" s="1" t="str">
        <f>IF(AND('Loan Inputs'!$B$12,1038&lt;=IF('Loan Inputs'!$B$12,'Loan Inputs'!$B$7,0)*'Loan Inputs'!$B$14+0,ISNUMBER(G1043),G1043&gt;0),1038,"")</f>
        <v/>
      </c>
      <c r="B1044" s="4" t="str">
        <f>IF(A1044="","",IF('Loan Inputs'!$B$14=12,DATE(YEAR('Loan Inputs'!$B$8),MONTH('Loan Inputs'!$B$8)+A1044,DAY('Loan Inputs'!$B$8)),'Loan Inputs'!$B$8+A1044*IF('Loan Inputs'!$B$14=26,14,7)))</f>
        <v/>
      </c>
      <c r="C1044" s="2" t="str">
        <f t="shared" si="50"/>
        <v/>
      </c>
      <c r="D1044" s="2" t="str">
        <f>IF(A1044="","",MIN('Loan Inputs'!$B$17,C1044+E1044)+H1044)</f>
        <v/>
      </c>
      <c r="E1044" s="2" t="str">
        <f>IF(A1044="","",C1044*'Loan Inputs'!$B$15)</f>
        <v/>
      </c>
      <c r="F1044" s="2" t="str">
        <f t="shared" si="48"/>
        <v/>
      </c>
      <c r="G1044" s="2" t="str">
        <f t="shared" si="49"/>
        <v/>
      </c>
      <c r="H1044" s="2" t="str">
        <f>IF(A1044="","",MIN(0,MAX(0,C1044+E1044-'Loan Inputs'!$B$17)))</f>
        <v/>
      </c>
    </row>
    <row r="1045" spans="1:8" ht="22" customHeight="1">
      <c r="A1045" s="1" t="str">
        <f>IF(AND('Loan Inputs'!$B$12,1039&lt;=IF('Loan Inputs'!$B$12,'Loan Inputs'!$B$7,0)*'Loan Inputs'!$B$14+0,ISNUMBER(G1044),G1044&gt;0),1039,"")</f>
        <v/>
      </c>
      <c r="B1045" s="4" t="str">
        <f>IF(A1045="","",IF('Loan Inputs'!$B$14=12,DATE(YEAR('Loan Inputs'!$B$8),MONTH('Loan Inputs'!$B$8)+A1045,DAY('Loan Inputs'!$B$8)),'Loan Inputs'!$B$8+A1045*IF('Loan Inputs'!$B$14=26,14,7)))</f>
        <v/>
      </c>
      <c r="C1045" s="2" t="str">
        <f t="shared" si="50"/>
        <v/>
      </c>
      <c r="D1045" s="2" t="str">
        <f>IF(A1045="","",MIN('Loan Inputs'!$B$17,C1045+E1045)+H1045)</f>
        <v/>
      </c>
      <c r="E1045" s="2" t="str">
        <f>IF(A1045="","",C1045*'Loan Inputs'!$B$15)</f>
        <v/>
      </c>
      <c r="F1045" s="2" t="str">
        <f t="shared" si="48"/>
        <v/>
      </c>
      <c r="G1045" s="2" t="str">
        <f t="shared" si="49"/>
        <v/>
      </c>
      <c r="H1045" s="2" t="str">
        <f>IF(A1045="","",MIN(0,MAX(0,C1045+E1045-'Loan Inputs'!$B$17)))</f>
        <v/>
      </c>
    </row>
    <row r="1046" spans="1:8" ht="22" customHeight="1">
      <c r="A1046" s="1" t="str">
        <f>IF(AND('Loan Inputs'!$B$12,1040&lt;=IF('Loan Inputs'!$B$12,'Loan Inputs'!$B$7,0)*'Loan Inputs'!$B$14+0,ISNUMBER(G1045),G1045&gt;0),1040,"")</f>
        <v/>
      </c>
      <c r="B1046" s="4" t="str">
        <f>IF(A1046="","",IF('Loan Inputs'!$B$14=12,DATE(YEAR('Loan Inputs'!$B$8),MONTH('Loan Inputs'!$B$8)+A1046,DAY('Loan Inputs'!$B$8)),'Loan Inputs'!$B$8+A1046*IF('Loan Inputs'!$B$14=26,14,7)))</f>
        <v/>
      </c>
      <c r="C1046" s="2" t="str">
        <f t="shared" si="50"/>
        <v/>
      </c>
      <c r="D1046" s="2" t="str">
        <f>IF(A1046="","",MIN('Loan Inputs'!$B$17,C1046+E1046)+H1046)</f>
        <v/>
      </c>
      <c r="E1046" s="2" t="str">
        <f>IF(A1046="","",C1046*'Loan Inputs'!$B$15)</f>
        <v/>
      </c>
      <c r="F1046" s="2" t="str">
        <f t="shared" si="48"/>
        <v/>
      </c>
      <c r="G1046" s="2" t="str">
        <f t="shared" si="49"/>
        <v/>
      </c>
      <c r="H1046" s="2" t="str">
        <f>IF(A1046="","",MIN(0,MAX(0,C1046+E1046-'Loan Inputs'!$B$17)))</f>
        <v/>
      </c>
    </row>
    <row r="1047" spans="1:8" ht="22" customHeight="1">
      <c r="A1047" s="1" t="str">
        <f>IF(AND('Loan Inputs'!$B$12,1041&lt;=IF('Loan Inputs'!$B$12,'Loan Inputs'!$B$7,0)*'Loan Inputs'!$B$14+0,ISNUMBER(G1046),G1046&gt;0),1041,"")</f>
        <v/>
      </c>
      <c r="B1047" s="4" t="str">
        <f>IF(A1047="","",IF('Loan Inputs'!$B$14=12,DATE(YEAR('Loan Inputs'!$B$8),MONTH('Loan Inputs'!$B$8)+A1047,DAY('Loan Inputs'!$B$8)),'Loan Inputs'!$B$8+A1047*IF('Loan Inputs'!$B$14=26,14,7)))</f>
        <v/>
      </c>
      <c r="C1047" s="2" t="str">
        <f t="shared" si="50"/>
        <v/>
      </c>
      <c r="D1047" s="2" t="str">
        <f>IF(A1047="","",MIN('Loan Inputs'!$B$17,C1047+E1047)+H1047)</f>
        <v/>
      </c>
      <c r="E1047" s="2" t="str">
        <f>IF(A1047="","",C1047*'Loan Inputs'!$B$15)</f>
        <v/>
      </c>
      <c r="F1047" s="2" t="str">
        <f t="shared" si="48"/>
        <v/>
      </c>
      <c r="G1047" s="2" t="str">
        <f t="shared" si="49"/>
        <v/>
      </c>
      <c r="H1047" s="2" t="str">
        <f>IF(A1047="","",MIN(0,MAX(0,C1047+E1047-'Loan Inputs'!$B$17)))</f>
        <v/>
      </c>
    </row>
    <row r="1048" spans="1:8" ht="22" customHeight="1">
      <c r="A1048" s="1" t="str">
        <f>IF(AND('Loan Inputs'!$B$12,1042&lt;=IF('Loan Inputs'!$B$12,'Loan Inputs'!$B$7,0)*'Loan Inputs'!$B$14+0,ISNUMBER(G1047),G1047&gt;0),1042,"")</f>
        <v/>
      </c>
      <c r="B1048" s="4" t="str">
        <f>IF(A1048="","",IF('Loan Inputs'!$B$14=12,DATE(YEAR('Loan Inputs'!$B$8),MONTH('Loan Inputs'!$B$8)+A1048,DAY('Loan Inputs'!$B$8)),'Loan Inputs'!$B$8+A1048*IF('Loan Inputs'!$B$14=26,14,7)))</f>
        <v/>
      </c>
      <c r="C1048" s="2" t="str">
        <f t="shared" si="50"/>
        <v/>
      </c>
      <c r="D1048" s="2" t="str">
        <f>IF(A1048="","",MIN('Loan Inputs'!$B$17,C1048+E1048)+H1048)</f>
        <v/>
      </c>
      <c r="E1048" s="2" t="str">
        <f>IF(A1048="","",C1048*'Loan Inputs'!$B$15)</f>
        <v/>
      </c>
      <c r="F1048" s="2" t="str">
        <f t="shared" si="48"/>
        <v/>
      </c>
      <c r="G1048" s="2" t="str">
        <f t="shared" si="49"/>
        <v/>
      </c>
      <c r="H1048" s="2" t="str">
        <f>IF(A1048="","",MIN(0,MAX(0,C1048+E1048-'Loan Inputs'!$B$17)))</f>
        <v/>
      </c>
    </row>
    <row r="1049" spans="1:8" ht="22" customHeight="1">
      <c r="A1049" s="1" t="str">
        <f>IF(AND('Loan Inputs'!$B$12,1043&lt;=IF('Loan Inputs'!$B$12,'Loan Inputs'!$B$7,0)*'Loan Inputs'!$B$14+0,ISNUMBER(G1048),G1048&gt;0),1043,"")</f>
        <v/>
      </c>
      <c r="B1049" s="4" t="str">
        <f>IF(A1049="","",IF('Loan Inputs'!$B$14=12,DATE(YEAR('Loan Inputs'!$B$8),MONTH('Loan Inputs'!$B$8)+A1049,DAY('Loan Inputs'!$B$8)),'Loan Inputs'!$B$8+A1049*IF('Loan Inputs'!$B$14=26,14,7)))</f>
        <v/>
      </c>
      <c r="C1049" s="2" t="str">
        <f t="shared" si="50"/>
        <v/>
      </c>
      <c r="D1049" s="2" t="str">
        <f>IF(A1049="","",MIN('Loan Inputs'!$B$17,C1049+E1049)+H1049)</f>
        <v/>
      </c>
      <c r="E1049" s="2" t="str">
        <f>IF(A1049="","",C1049*'Loan Inputs'!$B$15)</f>
        <v/>
      </c>
      <c r="F1049" s="2" t="str">
        <f t="shared" si="48"/>
        <v/>
      </c>
      <c r="G1049" s="2" t="str">
        <f t="shared" si="49"/>
        <v/>
      </c>
      <c r="H1049" s="2" t="str">
        <f>IF(A1049="","",MIN(0,MAX(0,C1049+E1049-'Loan Inputs'!$B$17)))</f>
        <v/>
      </c>
    </row>
    <row r="1050" spans="1:8" ht="22" customHeight="1">
      <c r="A1050" s="1" t="str">
        <f>IF(AND('Loan Inputs'!$B$12,1044&lt;=IF('Loan Inputs'!$B$12,'Loan Inputs'!$B$7,0)*'Loan Inputs'!$B$14+0,ISNUMBER(G1049),G1049&gt;0),1044,"")</f>
        <v/>
      </c>
      <c r="B1050" s="4" t="str">
        <f>IF(A1050="","",IF('Loan Inputs'!$B$14=12,DATE(YEAR('Loan Inputs'!$B$8),MONTH('Loan Inputs'!$B$8)+A1050,DAY('Loan Inputs'!$B$8)),'Loan Inputs'!$B$8+A1050*IF('Loan Inputs'!$B$14=26,14,7)))</f>
        <v/>
      </c>
      <c r="C1050" s="2" t="str">
        <f t="shared" si="50"/>
        <v/>
      </c>
      <c r="D1050" s="2" t="str">
        <f>IF(A1050="","",MIN('Loan Inputs'!$B$17,C1050+E1050)+H1050)</f>
        <v/>
      </c>
      <c r="E1050" s="2" t="str">
        <f>IF(A1050="","",C1050*'Loan Inputs'!$B$15)</f>
        <v/>
      </c>
      <c r="F1050" s="2" t="str">
        <f t="shared" si="48"/>
        <v/>
      </c>
      <c r="G1050" s="2" t="str">
        <f t="shared" si="49"/>
        <v/>
      </c>
      <c r="H1050" s="2" t="str">
        <f>IF(A1050="","",MIN(0,MAX(0,C1050+E1050-'Loan Inputs'!$B$17)))</f>
        <v/>
      </c>
    </row>
    <row r="1051" spans="1:8" ht="22" customHeight="1">
      <c r="A1051" s="1" t="str">
        <f>IF(AND('Loan Inputs'!$B$12,1045&lt;=IF('Loan Inputs'!$B$12,'Loan Inputs'!$B$7,0)*'Loan Inputs'!$B$14+0,ISNUMBER(G1050),G1050&gt;0),1045,"")</f>
        <v/>
      </c>
      <c r="B1051" s="4" t="str">
        <f>IF(A1051="","",IF('Loan Inputs'!$B$14=12,DATE(YEAR('Loan Inputs'!$B$8),MONTH('Loan Inputs'!$B$8)+A1051,DAY('Loan Inputs'!$B$8)),'Loan Inputs'!$B$8+A1051*IF('Loan Inputs'!$B$14=26,14,7)))</f>
        <v/>
      </c>
      <c r="C1051" s="2" t="str">
        <f t="shared" si="50"/>
        <v/>
      </c>
      <c r="D1051" s="2" t="str">
        <f>IF(A1051="","",MIN('Loan Inputs'!$B$17,C1051+E1051)+H1051)</f>
        <v/>
      </c>
      <c r="E1051" s="2" t="str">
        <f>IF(A1051="","",C1051*'Loan Inputs'!$B$15)</f>
        <v/>
      </c>
      <c r="F1051" s="2" t="str">
        <f t="shared" si="48"/>
        <v/>
      </c>
      <c r="G1051" s="2" t="str">
        <f t="shared" si="49"/>
        <v/>
      </c>
      <c r="H1051" s="2" t="str">
        <f>IF(A1051="","",MIN(0,MAX(0,C1051+E1051-'Loan Inputs'!$B$17)))</f>
        <v/>
      </c>
    </row>
    <row r="1052" spans="1:8" ht="22" customHeight="1">
      <c r="A1052" s="1" t="str">
        <f>IF(AND('Loan Inputs'!$B$12,1046&lt;=IF('Loan Inputs'!$B$12,'Loan Inputs'!$B$7,0)*'Loan Inputs'!$B$14+0,ISNUMBER(G1051),G1051&gt;0),1046,"")</f>
        <v/>
      </c>
      <c r="B1052" s="4" t="str">
        <f>IF(A1052="","",IF('Loan Inputs'!$B$14=12,DATE(YEAR('Loan Inputs'!$B$8),MONTH('Loan Inputs'!$B$8)+A1052,DAY('Loan Inputs'!$B$8)),'Loan Inputs'!$B$8+A1052*IF('Loan Inputs'!$B$14=26,14,7)))</f>
        <v/>
      </c>
      <c r="C1052" s="2" t="str">
        <f t="shared" si="50"/>
        <v/>
      </c>
      <c r="D1052" s="2" t="str">
        <f>IF(A1052="","",MIN('Loan Inputs'!$B$17,C1052+E1052)+H1052)</f>
        <v/>
      </c>
      <c r="E1052" s="2" t="str">
        <f>IF(A1052="","",C1052*'Loan Inputs'!$B$15)</f>
        <v/>
      </c>
      <c r="F1052" s="2" t="str">
        <f t="shared" si="48"/>
        <v/>
      </c>
      <c r="G1052" s="2" t="str">
        <f t="shared" si="49"/>
        <v/>
      </c>
      <c r="H1052" s="2" t="str">
        <f>IF(A1052="","",MIN(0,MAX(0,C1052+E1052-'Loan Inputs'!$B$17)))</f>
        <v/>
      </c>
    </row>
    <row r="1053" spans="1:8" ht="22" customHeight="1">
      <c r="A1053" s="1" t="str">
        <f>IF(AND('Loan Inputs'!$B$12,1047&lt;=IF('Loan Inputs'!$B$12,'Loan Inputs'!$B$7,0)*'Loan Inputs'!$B$14+0,ISNUMBER(G1052),G1052&gt;0),1047,"")</f>
        <v/>
      </c>
      <c r="B1053" s="4" t="str">
        <f>IF(A1053="","",IF('Loan Inputs'!$B$14=12,DATE(YEAR('Loan Inputs'!$B$8),MONTH('Loan Inputs'!$B$8)+A1053,DAY('Loan Inputs'!$B$8)),'Loan Inputs'!$B$8+A1053*IF('Loan Inputs'!$B$14=26,14,7)))</f>
        <v/>
      </c>
      <c r="C1053" s="2" t="str">
        <f t="shared" si="50"/>
        <v/>
      </c>
      <c r="D1053" s="2" t="str">
        <f>IF(A1053="","",MIN('Loan Inputs'!$B$17,C1053+E1053)+H1053)</f>
        <v/>
      </c>
      <c r="E1053" s="2" t="str">
        <f>IF(A1053="","",C1053*'Loan Inputs'!$B$15)</f>
        <v/>
      </c>
      <c r="F1053" s="2" t="str">
        <f t="shared" si="48"/>
        <v/>
      </c>
      <c r="G1053" s="2" t="str">
        <f t="shared" si="49"/>
        <v/>
      </c>
      <c r="H1053" s="2" t="str">
        <f>IF(A1053="","",MIN(0,MAX(0,C1053+E1053-'Loan Inputs'!$B$17)))</f>
        <v/>
      </c>
    </row>
    <row r="1054" spans="1:8" ht="22" customHeight="1">
      <c r="A1054" s="1" t="str">
        <f>IF(AND('Loan Inputs'!$B$12,1048&lt;=IF('Loan Inputs'!$B$12,'Loan Inputs'!$B$7,0)*'Loan Inputs'!$B$14+0,ISNUMBER(G1053),G1053&gt;0),1048,"")</f>
        <v/>
      </c>
      <c r="B1054" s="4" t="str">
        <f>IF(A1054="","",IF('Loan Inputs'!$B$14=12,DATE(YEAR('Loan Inputs'!$B$8),MONTH('Loan Inputs'!$B$8)+A1054,DAY('Loan Inputs'!$B$8)),'Loan Inputs'!$B$8+A1054*IF('Loan Inputs'!$B$14=26,14,7)))</f>
        <v/>
      </c>
      <c r="C1054" s="2" t="str">
        <f t="shared" si="50"/>
        <v/>
      </c>
      <c r="D1054" s="2" t="str">
        <f>IF(A1054="","",MIN('Loan Inputs'!$B$17,C1054+E1054)+H1054)</f>
        <v/>
      </c>
      <c r="E1054" s="2" t="str">
        <f>IF(A1054="","",C1054*'Loan Inputs'!$B$15)</f>
        <v/>
      </c>
      <c r="F1054" s="2" t="str">
        <f t="shared" si="48"/>
        <v/>
      </c>
      <c r="G1054" s="2" t="str">
        <f t="shared" si="49"/>
        <v/>
      </c>
      <c r="H1054" s="2" t="str">
        <f>IF(A1054="","",MIN(0,MAX(0,C1054+E1054-'Loan Inputs'!$B$17)))</f>
        <v/>
      </c>
    </row>
    <row r="1055" spans="1:8" ht="22" customHeight="1">
      <c r="A1055" s="1" t="str">
        <f>IF(AND('Loan Inputs'!$B$12,1049&lt;=IF('Loan Inputs'!$B$12,'Loan Inputs'!$B$7,0)*'Loan Inputs'!$B$14+0,ISNUMBER(G1054),G1054&gt;0),1049,"")</f>
        <v/>
      </c>
      <c r="B1055" s="4" t="str">
        <f>IF(A1055="","",IF('Loan Inputs'!$B$14=12,DATE(YEAR('Loan Inputs'!$B$8),MONTH('Loan Inputs'!$B$8)+A1055,DAY('Loan Inputs'!$B$8)),'Loan Inputs'!$B$8+A1055*IF('Loan Inputs'!$B$14=26,14,7)))</f>
        <v/>
      </c>
      <c r="C1055" s="2" t="str">
        <f t="shared" si="50"/>
        <v/>
      </c>
      <c r="D1055" s="2" t="str">
        <f>IF(A1055="","",MIN('Loan Inputs'!$B$17,C1055+E1055)+H1055)</f>
        <v/>
      </c>
      <c r="E1055" s="2" t="str">
        <f>IF(A1055="","",C1055*'Loan Inputs'!$B$15)</f>
        <v/>
      </c>
      <c r="F1055" s="2" t="str">
        <f t="shared" si="48"/>
        <v/>
      </c>
      <c r="G1055" s="2" t="str">
        <f t="shared" si="49"/>
        <v/>
      </c>
      <c r="H1055" s="2" t="str">
        <f>IF(A1055="","",MIN(0,MAX(0,C1055+E1055-'Loan Inputs'!$B$17)))</f>
        <v/>
      </c>
    </row>
    <row r="1056" spans="1:8" ht="22" customHeight="1">
      <c r="A1056" s="1" t="str">
        <f>IF(AND('Loan Inputs'!$B$12,1050&lt;=IF('Loan Inputs'!$B$12,'Loan Inputs'!$B$7,0)*'Loan Inputs'!$B$14+0,ISNUMBER(G1055),G1055&gt;0),1050,"")</f>
        <v/>
      </c>
      <c r="B1056" s="4" t="str">
        <f>IF(A1056="","",IF('Loan Inputs'!$B$14=12,DATE(YEAR('Loan Inputs'!$B$8),MONTH('Loan Inputs'!$B$8)+A1056,DAY('Loan Inputs'!$B$8)),'Loan Inputs'!$B$8+A1056*IF('Loan Inputs'!$B$14=26,14,7)))</f>
        <v/>
      </c>
      <c r="C1056" s="2" t="str">
        <f t="shared" si="50"/>
        <v/>
      </c>
      <c r="D1056" s="2" t="str">
        <f>IF(A1056="","",MIN('Loan Inputs'!$B$17,C1056+E1056)+H1056)</f>
        <v/>
      </c>
      <c r="E1056" s="2" t="str">
        <f>IF(A1056="","",C1056*'Loan Inputs'!$B$15)</f>
        <v/>
      </c>
      <c r="F1056" s="2" t="str">
        <f t="shared" si="48"/>
        <v/>
      </c>
      <c r="G1056" s="2" t="str">
        <f t="shared" si="49"/>
        <v/>
      </c>
      <c r="H1056" s="2" t="str">
        <f>IF(A1056="","",MIN(0,MAX(0,C1056+E1056-'Loan Inputs'!$B$17)))</f>
        <v/>
      </c>
    </row>
    <row r="1057" spans="1:8" ht="22" customHeight="1">
      <c r="A1057" s="1" t="str">
        <f>IF(AND('Loan Inputs'!$B$12,1051&lt;=IF('Loan Inputs'!$B$12,'Loan Inputs'!$B$7,0)*'Loan Inputs'!$B$14+0,ISNUMBER(G1056),G1056&gt;0),1051,"")</f>
        <v/>
      </c>
      <c r="B1057" s="4" t="str">
        <f>IF(A1057="","",IF('Loan Inputs'!$B$14=12,DATE(YEAR('Loan Inputs'!$B$8),MONTH('Loan Inputs'!$B$8)+A1057,DAY('Loan Inputs'!$B$8)),'Loan Inputs'!$B$8+A1057*IF('Loan Inputs'!$B$14=26,14,7)))</f>
        <v/>
      </c>
      <c r="C1057" s="2" t="str">
        <f t="shared" si="50"/>
        <v/>
      </c>
      <c r="D1057" s="2" t="str">
        <f>IF(A1057="","",MIN('Loan Inputs'!$B$17,C1057+E1057)+H1057)</f>
        <v/>
      </c>
      <c r="E1057" s="2" t="str">
        <f>IF(A1057="","",C1057*'Loan Inputs'!$B$15)</f>
        <v/>
      </c>
      <c r="F1057" s="2" t="str">
        <f t="shared" si="48"/>
        <v/>
      </c>
      <c r="G1057" s="2" t="str">
        <f t="shared" si="49"/>
        <v/>
      </c>
      <c r="H1057" s="2" t="str">
        <f>IF(A1057="","",MIN(0,MAX(0,C1057+E1057-'Loan Inputs'!$B$17)))</f>
        <v/>
      </c>
    </row>
    <row r="1058" spans="1:8" ht="22" customHeight="1">
      <c r="A1058" s="1" t="str">
        <f>IF(AND('Loan Inputs'!$B$12,1052&lt;=IF('Loan Inputs'!$B$12,'Loan Inputs'!$B$7,0)*'Loan Inputs'!$B$14+0,ISNUMBER(G1057),G1057&gt;0),1052,"")</f>
        <v/>
      </c>
      <c r="B1058" s="4" t="str">
        <f>IF(A1058="","",IF('Loan Inputs'!$B$14=12,DATE(YEAR('Loan Inputs'!$B$8),MONTH('Loan Inputs'!$B$8)+A1058,DAY('Loan Inputs'!$B$8)),'Loan Inputs'!$B$8+A1058*IF('Loan Inputs'!$B$14=26,14,7)))</f>
        <v/>
      </c>
      <c r="C1058" s="2" t="str">
        <f t="shared" si="50"/>
        <v/>
      </c>
      <c r="D1058" s="2" t="str">
        <f>IF(A1058="","",MIN('Loan Inputs'!$B$17,C1058+E1058)+H1058)</f>
        <v/>
      </c>
      <c r="E1058" s="2" t="str">
        <f>IF(A1058="","",C1058*'Loan Inputs'!$B$15)</f>
        <v/>
      </c>
      <c r="F1058" s="2" t="str">
        <f t="shared" si="48"/>
        <v/>
      </c>
      <c r="G1058" s="2" t="str">
        <f t="shared" si="49"/>
        <v/>
      </c>
      <c r="H1058" s="2" t="str">
        <f>IF(A1058="","",MIN(0,MAX(0,C1058+E1058-'Loan Inputs'!$B$17)))</f>
        <v/>
      </c>
    </row>
    <row r="1059" spans="1:8" ht="22" customHeight="1">
      <c r="A1059" s="1" t="str">
        <f>IF(AND('Loan Inputs'!$B$12,1053&lt;=IF('Loan Inputs'!$B$12,'Loan Inputs'!$B$7,0)*'Loan Inputs'!$B$14+0,ISNUMBER(G1058),G1058&gt;0),1053,"")</f>
        <v/>
      </c>
      <c r="B1059" s="4" t="str">
        <f>IF(A1059="","",IF('Loan Inputs'!$B$14=12,DATE(YEAR('Loan Inputs'!$B$8),MONTH('Loan Inputs'!$B$8)+A1059,DAY('Loan Inputs'!$B$8)),'Loan Inputs'!$B$8+A1059*IF('Loan Inputs'!$B$14=26,14,7)))</f>
        <v/>
      </c>
      <c r="C1059" s="2" t="str">
        <f t="shared" si="50"/>
        <v/>
      </c>
      <c r="D1059" s="2" t="str">
        <f>IF(A1059="","",MIN('Loan Inputs'!$B$17,C1059+E1059)+H1059)</f>
        <v/>
      </c>
      <c r="E1059" s="2" t="str">
        <f>IF(A1059="","",C1059*'Loan Inputs'!$B$15)</f>
        <v/>
      </c>
      <c r="F1059" s="2" t="str">
        <f t="shared" si="48"/>
        <v/>
      </c>
      <c r="G1059" s="2" t="str">
        <f t="shared" si="49"/>
        <v/>
      </c>
      <c r="H1059" s="2" t="str">
        <f>IF(A1059="","",MIN(0,MAX(0,C1059+E1059-'Loan Inputs'!$B$17)))</f>
        <v/>
      </c>
    </row>
    <row r="1060" spans="1:8" ht="22" customHeight="1">
      <c r="A1060" s="1" t="str">
        <f>IF(AND('Loan Inputs'!$B$12,1054&lt;=IF('Loan Inputs'!$B$12,'Loan Inputs'!$B$7,0)*'Loan Inputs'!$B$14+0,ISNUMBER(G1059),G1059&gt;0),1054,"")</f>
        <v/>
      </c>
      <c r="B1060" s="4" t="str">
        <f>IF(A1060="","",IF('Loan Inputs'!$B$14=12,DATE(YEAR('Loan Inputs'!$B$8),MONTH('Loan Inputs'!$B$8)+A1060,DAY('Loan Inputs'!$B$8)),'Loan Inputs'!$B$8+A1060*IF('Loan Inputs'!$B$14=26,14,7)))</f>
        <v/>
      </c>
      <c r="C1060" s="2" t="str">
        <f t="shared" si="50"/>
        <v/>
      </c>
      <c r="D1060" s="2" t="str">
        <f>IF(A1060="","",MIN('Loan Inputs'!$B$17,C1060+E1060)+H1060)</f>
        <v/>
      </c>
      <c r="E1060" s="2" t="str">
        <f>IF(A1060="","",C1060*'Loan Inputs'!$B$15)</f>
        <v/>
      </c>
      <c r="F1060" s="2" t="str">
        <f t="shared" si="48"/>
        <v/>
      </c>
      <c r="G1060" s="2" t="str">
        <f t="shared" si="49"/>
        <v/>
      </c>
      <c r="H1060" s="2" t="str">
        <f>IF(A1060="","",MIN(0,MAX(0,C1060+E1060-'Loan Inputs'!$B$17)))</f>
        <v/>
      </c>
    </row>
    <row r="1061" spans="1:8" ht="22" customHeight="1">
      <c r="A1061" s="1" t="str">
        <f>IF(AND('Loan Inputs'!$B$12,1055&lt;=IF('Loan Inputs'!$B$12,'Loan Inputs'!$B$7,0)*'Loan Inputs'!$B$14+0,ISNUMBER(G1060),G1060&gt;0),1055,"")</f>
        <v/>
      </c>
      <c r="B1061" s="4" t="str">
        <f>IF(A1061="","",IF('Loan Inputs'!$B$14=12,DATE(YEAR('Loan Inputs'!$B$8),MONTH('Loan Inputs'!$B$8)+A1061,DAY('Loan Inputs'!$B$8)),'Loan Inputs'!$B$8+A1061*IF('Loan Inputs'!$B$14=26,14,7)))</f>
        <v/>
      </c>
      <c r="C1061" s="2" t="str">
        <f t="shared" si="50"/>
        <v/>
      </c>
      <c r="D1061" s="2" t="str">
        <f>IF(A1061="","",MIN('Loan Inputs'!$B$17,C1061+E1061)+H1061)</f>
        <v/>
      </c>
      <c r="E1061" s="2" t="str">
        <f>IF(A1061="","",C1061*'Loan Inputs'!$B$15)</f>
        <v/>
      </c>
      <c r="F1061" s="2" t="str">
        <f t="shared" si="48"/>
        <v/>
      </c>
      <c r="G1061" s="2" t="str">
        <f t="shared" si="49"/>
        <v/>
      </c>
      <c r="H1061" s="2" t="str">
        <f>IF(A1061="","",MIN(0,MAX(0,C1061+E1061-'Loan Inputs'!$B$17)))</f>
        <v/>
      </c>
    </row>
    <row r="1062" spans="1:8" ht="22" customHeight="1">
      <c r="A1062" s="1" t="str">
        <f>IF(AND('Loan Inputs'!$B$12,1056&lt;=IF('Loan Inputs'!$B$12,'Loan Inputs'!$B$7,0)*'Loan Inputs'!$B$14+0,ISNUMBER(G1061),G1061&gt;0),1056,"")</f>
        <v/>
      </c>
      <c r="B1062" s="4" t="str">
        <f>IF(A1062="","",IF('Loan Inputs'!$B$14=12,DATE(YEAR('Loan Inputs'!$B$8),MONTH('Loan Inputs'!$B$8)+A1062,DAY('Loan Inputs'!$B$8)),'Loan Inputs'!$B$8+A1062*IF('Loan Inputs'!$B$14=26,14,7)))</f>
        <v/>
      </c>
      <c r="C1062" s="2" t="str">
        <f t="shared" si="50"/>
        <v/>
      </c>
      <c r="D1062" s="2" t="str">
        <f>IF(A1062="","",MIN('Loan Inputs'!$B$17,C1062+E1062)+H1062)</f>
        <v/>
      </c>
      <c r="E1062" s="2" t="str">
        <f>IF(A1062="","",C1062*'Loan Inputs'!$B$15)</f>
        <v/>
      </c>
      <c r="F1062" s="2" t="str">
        <f t="shared" si="48"/>
        <v/>
      </c>
      <c r="G1062" s="2" t="str">
        <f t="shared" si="49"/>
        <v/>
      </c>
      <c r="H1062" s="2" t="str">
        <f>IF(A1062="","",MIN(0,MAX(0,C1062+E1062-'Loan Inputs'!$B$17)))</f>
        <v/>
      </c>
    </row>
    <row r="1063" spans="1:8" ht="22" customHeight="1">
      <c r="A1063" s="1" t="str">
        <f>IF(AND('Loan Inputs'!$B$12,1057&lt;=IF('Loan Inputs'!$B$12,'Loan Inputs'!$B$7,0)*'Loan Inputs'!$B$14+0,ISNUMBER(G1062),G1062&gt;0),1057,"")</f>
        <v/>
      </c>
      <c r="B1063" s="4" t="str">
        <f>IF(A1063="","",IF('Loan Inputs'!$B$14=12,DATE(YEAR('Loan Inputs'!$B$8),MONTH('Loan Inputs'!$B$8)+A1063,DAY('Loan Inputs'!$B$8)),'Loan Inputs'!$B$8+A1063*IF('Loan Inputs'!$B$14=26,14,7)))</f>
        <v/>
      </c>
      <c r="C1063" s="2" t="str">
        <f t="shared" si="50"/>
        <v/>
      </c>
      <c r="D1063" s="2" t="str">
        <f>IF(A1063="","",MIN('Loan Inputs'!$B$17,C1063+E1063)+H1063)</f>
        <v/>
      </c>
      <c r="E1063" s="2" t="str">
        <f>IF(A1063="","",C1063*'Loan Inputs'!$B$15)</f>
        <v/>
      </c>
      <c r="F1063" s="2" t="str">
        <f t="shared" si="48"/>
        <v/>
      </c>
      <c r="G1063" s="2" t="str">
        <f t="shared" si="49"/>
        <v/>
      </c>
      <c r="H1063" s="2" t="str">
        <f>IF(A1063="","",MIN(0,MAX(0,C1063+E1063-'Loan Inputs'!$B$17)))</f>
        <v/>
      </c>
    </row>
    <row r="1064" spans="1:8" ht="22" customHeight="1">
      <c r="A1064" s="1" t="str">
        <f>IF(AND('Loan Inputs'!$B$12,1058&lt;=IF('Loan Inputs'!$B$12,'Loan Inputs'!$B$7,0)*'Loan Inputs'!$B$14+0,ISNUMBER(G1063),G1063&gt;0),1058,"")</f>
        <v/>
      </c>
      <c r="B1064" s="4" t="str">
        <f>IF(A1064="","",IF('Loan Inputs'!$B$14=12,DATE(YEAR('Loan Inputs'!$B$8),MONTH('Loan Inputs'!$B$8)+A1064,DAY('Loan Inputs'!$B$8)),'Loan Inputs'!$B$8+A1064*IF('Loan Inputs'!$B$14=26,14,7)))</f>
        <v/>
      </c>
      <c r="C1064" s="2" t="str">
        <f t="shared" si="50"/>
        <v/>
      </c>
      <c r="D1064" s="2" t="str">
        <f>IF(A1064="","",MIN('Loan Inputs'!$B$17,C1064+E1064)+H1064)</f>
        <v/>
      </c>
      <c r="E1064" s="2" t="str">
        <f>IF(A1064="","",C1064*'Loan Inputs'!$B$15)</f>
        <v/>
      </c>
      <c r="F1064" s="2" t="str">
        <f t="shared" si="48"/>
        <v/>
      </c>
      <c r="G1064" s="2" t="str">
        <f t="shared" si="49"/>
        <v/>
      </c>
      <c r="H1064" s="2" t="str">
        <f>IF(A1064="","",MIN(0,MAX(0,C1064+E1064-'Loan Inputs'!$B$17)))</f>
        <v/>
      </c>
    </row>
    <row r="1065" spans="1:8" ht="22" customHeight="1">
      <c r="A1065" s="1" t="str">
        <f>IF(AND('Loan Inputs'!$B$12,1059&lt;=IF('Loan Inputs'!$B$12,'Loan Inputs'!$B$7,0)*'Loan Inputs'!$B$14+0,ISNUMBER(G1064),G1064&gt;0),1059,"")</f>
        <v/>
      </c>
      <c r="B1065" s="4" t="str">
        <f>IF(A1065="","",IF('Loan Inputs'!$B$14=12,DATE(YEAR('Loan Inputs'!$B$8),MONTH('Loan Inputs'!$B$8)+A1065,DAY('Loan Inputs'!$B$8)),'Loan Inputs'!$B$8+A1065*IF('Loan Inputs'!$B$14=26,14,7)))</f>
        <v/>
      </c>
      <c r="C1065" s="2" t="str">
        <f t="shared" si="50"/>
        <v/>
      </c>
      <c r="D1065" s="2" t="str">
        <f>IF(A1065="","",MIN('Loan Inputs'!$B$17,C1065+E1065)+H1065)</f>
        <v/>
      </c>
      <c r="E1065" s="2" t="str">
        <f>IF(A1065="","",C1065*'Loan Inputs'!$B$15)</f>
        <v/>
      </c>
      <c r="F1065" s="2" t="str">
        <f t="shared" si="48"/>
        <v/>
      </c>
      <c r="G1065" s="2" t="str">
        <f t="shared" si="49"/>
        <v/>
      </c>
      <c r="H1065" s="2" t="str">
        <f>IF(A1065="","",MIN(0,MAX(0,C1065+E1065-'Loan Inputs'!$B$17)))</f>
        <v/>
      </c>
    </row>
    <row r="1066" spans="1:8" ht="22" customHeight="1">
      <c r="A1066" s="1" t="str">
        <f>IF(AND('Loan Inputs'!$B$12,1060&lt;=IF('Loan Inputs'!$B$12,'Loan Inputs'!$B$7,0)*'Loan Inputs'!$B$14+0,ISNUMBER(G1065),G1065&gt;0),1060,"")</f>
        <v/>
      </c>
      <c r="B1066" s="4" t="str">
        <f>IF(A1066="","",IF('Loan Inputs'!$B$14=12,DATE(YEAR('Loan Inputs'!$B$8),MONTH('Loan Inputs'!$B$8)+A1066,DAY('Loan Inputs'!$B$8)),'Loan Inputs'!$B$8+A1066*IF('Loan Inputs'!$B$14=26,14,7)))</f>
        <v/>
      </c>
      <c r="C1066" s="2" t="str">
        <f t="shared" si="50"/>
        <v/>
      </c>
      <c r="D1066" s="2" t="str">
        <f>IF(A1066="","",MIN('Loan Inputs'!$B$17,C1066+E1066)+H1066)</f>
        <v/>
      </c>
      <c r="E1066" s="2" t="str">
        <f>IF(A1066="","",C1066*'Loan Inputs'!$B$15)</f>
        <v/>
      </c>
      <c r="F1066" s="2" t="str">
        <f t="shared" si="48"/>
        <v/>
      </c>
      <c r="G1066" s="2" t="str">
        <f t="shared" si="49"/>
        <v/>
      </c>
      <c r="H1066" s="2" t="str">
        <f>IF(A1066="","",MIN(0,MAX(0,C1066+E1066-'Loan Inputs'!$B$17)))</f>
        <v/>
      </c>
    </row>
    <row r="1067" spans="1:8" ht="22" customHeight="1">
      <c r="A1067" s="1" t="str">
        <f>IF(AND('Loan Inputs'!$B$12,1061&lt;=IF('Loan Inputs'!$B$12,'Loan Inputs'!$B$7,0)*'Loan Inputs'!$B$14+0,ISNUMBER(G1066),G1066&gt;0),1061,"")</f>
        <v/>
      </c>
      <c r="B1067" s="4" t="str">
        <f>IF(A1067="","",IF('Loan Inputs'!$B$14=12,DATE(YEAR('Loan Inputs'!$B$8),MONTH('Loan Inputs'!$B$8)+A1067,DAY('Loan Inputs'!$B$8)),'Loan Inputs'!$B$8+A1067*IF('Loan Inputs'!$B$14=26,14,7)))</f>
        <v/>
      </c>
      <c r="C1067" s="2" t="str">
        <f t="shared" si="50"/>
        <v/>
      </c>
      <c r="D1067" s="2" t="str">
        <f>IF(A1067="","",MIN('Loan Inputs'!$B$17,C1067+E1067)+H1067)</f>
        <v/>
      </c>
      <c r="E1067" s="2" t="str">
        <f>IF(A1067="","",C1067*'Loan Inputs'!$B$15)</f>
        <v/>
      </c>
      <c r="F1067" s="2" t="str">
        <f t="shared" si="48"/>
        <v/>
      </c>
      <c r="G1067" s="2" t="str">
        <f t="shared" si="49"/>
        <v/>
      </c>
      <c r="H1067" s="2" t="str">
        <f>IF(A1067="","",MIN(0,MAX(0,C1067+E1067-'Loan Inputs'!$B$17)))</f>
        <v/>
      </c>
    </row>
    <row r="1068" spans="1:8" ht="22" customHeight="1">
      <c r="A1068" s="1" t="str">
        <f>IF(AND('Loan Inputs'!$B$12,1062&lt;=IF('Loan Inputs'!$B$12,'Loan Inputs'!$B$7,0)*'Loan Inputs'!$B$14+0,ISNUMBER(G1067),G1067&gt;0),1062,"")</f>
        <v/>
      </c>
      <c r="B1068" s="4" t="str">
        <f>IF(A1068="","",IF('Loan Inputs'!$B$14=12,DATE(YEAR('Loan Inputs'!$B$8),MONTH('Loan Inputs'!$B$8)+A1068,DAY('Loan Inputs'!$B$8)),'Loan Inputs'!$B$8+A1068*IF('Loan Inputs'!$B$14=26,14,7)))</f>
        <v/>
      </c>
      <c r="C1068" s="2" t="str">
        <f t="shared" si="50"/>
        <v/>
      </c>
      <c r="D1068" s="2" t="str">
        <f>IF(A1068="","",MIN('Loan Inputs'!$B$17,C1068+E1068)+H1068)</f>
        <v/>
      </c>
      <c r="E1068" s="2" t="str">
        <f>IF(A1068="","",C1068*'Loan Inputs'!$B$15)</f>
        <v/>
      </c>
      <c r="F1068" s="2" t="str">
        <f t="shared" si="48"/>
        <v/>
      </c>
      <c r="G1068" s="2" t="str">
        <f t="shared" si="49"/>
        <v/>
      </c>
      <c r="H1068" s="2" t="str">
        <f>IF(A1068="","",MIN(0,MAX(0,C1068+E1068-'Loan Inputs'!$B$17)))</f>
        <v/>
      </c>
    </row>
    <row r="1069" spans="1:8" ht="22" customHeight="1">
      <c r="A1069" s="1" t="str">
        <f>IF(AND('Loan Inputs'!$B$12,1063&lt;=IF('Loan Inputs'!$B$12,'Loan Inputs'!$B$7,0)*'Loan Inputs'!$B$14+0,ISNUMBER(G1068),G1068&gt;0),1063,"")</f>
        <v/>
      </c>
      <c r="B1069" s="4" t="str">
        <f>IF(A1069="","",IF('Loan Inputs'!$B$14=12,DATE(YEAR('Loan Inputs'!$B$8),MONTH('Loan Inputs'!$B$8)+A1069,DAY('Loan Inputs'!$B$8)),'Loan Inputs'!$B$8+A1069*IF('Loan Inputs'!$B$14=26,14,7)))</f>
        <v/>
      </c>
      <c r="C1069" s="2" t="str">
        <f t="shared" si="50"/>
        <v/>
      </c>
      <c r="D1069" s="2" t="str">
        <f>IF(A1069="","",MIN('Loan Inputs'!$B$17,C1069+E1069)+H1069)</f>
        <v/>
      </c>
      <c r="E1069" s="2" t="str">
        <f>IF(A1069="","",C1069*'Loan Inputs'!$B$15)</f>
        <v/>
      </c>
      <c r="F1069" s="2" t="str">
        <f t="shared" si="48"/>
        <v/>
      </c>
      <c r="G1069" s="2" t="str">
        <f t="shared" si="49"/>
        <v/>
      </c>
      <c r="H1069" s="2" t="str">
        <f>IF(A1069="","",MIN(0,MAX(0,C1069+E1069-'Loan Inputs'!$B$17)))</f>
        <v/>
      </c>
    </row>
    <row r="1070" spans="1:8" ht="22" customHeight="1">
      <c r="A1070" s="1" t="str">
        <f>IF(AND('Loan Inputs'!$B$12,1064&lt;=IF('Loan Inputs'!$B$12,'Loan Inputs'!$B$7,0)*'Loan Inputs'!$B$14+0,ISNUMBER(G1069),G1069&gt;0),1064,"")</f>
        <v/>
      </c>
      <c r="B1070" s="4" t="str">
        <f>IF(A1070="","",IF('Loan Inputs'!$B$14=12,DATE(YEAR('Loan Inputs'!$B$8),MONTH('Loan Inputs'!$B$8)+A1070,DAY('Loan Inputs'!$B$8)),'Loan Inputs'!$B$8+A1070*IF('Loan Inputs'!$B$14=26,14,7)))</f>
        <v/>
      </c>
      <c r="C1070" s="2" t="str">
        <f t="shared" si="50"/>
        <v/>
      </c>
      <c r="D1070" s="2" t="str">
        <f>IF(A1070="","",MIN('Loan Inputs'!$B$17,C1070+E1070)+H1070)</f>
        <v/>
      </c>
      <c r="E1070" s="2" t="str">
        <f>IF(A1070="","",C1070*'Loan Inputs'!$B$15)</f>
        <v/>
      </c>
      <c r="F1070" s="2" t="str">
        <f t="shared" si="48"/>
        <v/>
      </c>
      <c r="G1070" s="2" t="str">
        <f t="shared" si="49"/>
        <v/>
      </c>
      <c r="H1070" s="2" t="str">
        <f>IF(A1070="","",MIN(0,MAX(0,C1070+E1070-'Loan Inputs'!$B$17)))</f>
        <v/>
      </c>
    </row>
    <row r="1071" spans="1:8" ht="22" customHeight="1">
      <c r="A1071" s="1" t="str">
        <f>IF(AND('Loan Inputs'!$B$12,1065&lt;=IF('Loan Inputs'!$B$12,'Loan Inputs'!$B$7,0)*'Loan Inputs'!$B$14+0,ISNUMBER(G1070),G1070&gt;0),1065,"")</f>
        <v/>
      </c>
      <c r="B1071" s="4" t="str">
        <f>IF(A1071="","",IF('Loan Inputs'!$B$14=12,DATE(YEAR('Loan Inputs'!$B$8),MONTH('Loan Inputs'!$B$8)+A1071,DAY('Loan Inputs'!$B$8)),'Loan Inputs'!$B$8+A1071*IF('Loan Inputs'!$B$14=26,14,7)))</f>
        <v/>
      </c>
      <c r="C1071" s="2" t="str">
        <f t="shared" si="50"/>
        <v/>
      </c>
      <c r="D1071" s="2" t="str">
        <f>IF(A1071="","",MIN('Loan Inputs'!$B$17,C1071+E1071)+H1071)</f>
        <v/>
      </c>
      <c r="E1071" s="2" t="str">
        <f>IF(A1071="","",C1071*'Loan Inputs'!$B$15)</f>
        <v/>
      </c>
      <c r="F1071" s="2" t="str">
        <f t="shared" si="48"/>
        <v/>
      </c>
      <c r="G1071" s="2" t="str">
        <f t="shared" si="49"/>
        <v/>
      </c>
      <c r="H1071" s="2" t="str">
        <f>IF(A1071="","",MIN(0,MAX(0,C1071+E1071-'Loan Inputs'!$B$17)))</f>
        <v/>
      </c>
    </row>
    <row r="1072" spans="1:8" ht="22" customHeight="1">
      <c r="A1072" s="1" t="str">
        <f>IF(AND('Loan Inputs'!$B$12,1066&lt;=IF('Loan Inputs'!$B$12,'Loan Inputs'!$B$7,0)*'Loan Inputs'!$B$14+0,ISNUMBER(G1071),G1071&gt;0),1066,"")</f>
        <v/>
      </c>
      <c r="B1072" s="4" t="str">
        <f>IF(A1072="","",IF('Loan Inputs'!$B$14=12,DATE(YEAR('Loan Inputs'!$B$8),MONTH('Loan Inputs'!$B$8)+A1072,DAY('Loan Inputs'!$B$8)),'Loan Inputs'!$B$8+A1072*IF('Loan Inputs'!$B$14=26,14,7)))</f>
        <v/>
      </c>
      <c r="C1072" s="2" t="str">
        <f t="shared" si="50"/>
        <v/>
      </c>
      <c r="D1072" s="2" t="str">
        <f>IF(A1072="","",MIN('Loan Inputs'!$B$17,C1072+E1072)+H1072)</f>
        <v/>
      </c>
      <c r="E1072" s="2" t="str">
        <f>IF(A1072="","",C1072*'Loan Inputs'!$B$15)</f>
        <v/>
      </c>
      <c r="F1072" s="2" t="str">
        <f t="shared" si="48"/>
        <v/>
      </c>
      <c r="G1072" s="2" t="str">
        <f t="shared" si="49"/>
        <v/>
      </c>
      <c r="H1072" s="2" t="str">
        <f>IF(A1072="","",MIN(0,MAX(0,C1072+E1072-'Loan Inputs'!$B$17)))</f>
        <v/>
      </c>
    </row>
    <row r="1073" spans="1:8" ht="22" customHeight="1">
      <c r="A1073" s="1" t="str">
        <f>IF(AND('Loan Inputs'!$B$12,1067&lt;=IF('Loan Inputs'!$B$12,'Loan Inputs'!$B$7,0)*'Loan Inputs'!$B$14+0,ISNUMBER(G1072),G1072&gt;0),1067,"")</f>
        <v/>
      </c>
      <c r="B1073" s="4" t="str">
        <f>IF(A1073="","",IF('Loan Inputs'!$B$14=12,DATE(YEAR('Loan Inputs'!$B$8),MONTH('Loan Inputs'!$B$8)+A1073,DAY('Loan Inputs'!$B$8)),'Loan Inputs'!$B$8+A1073*IF('Loan Inputs'!$B$14=26,14,7)))</f>
        <v/>
      </c>
      <c r="C1073" s="2" t="str">
        <f t="shared" si="50"/>
        <v/>
      </c>
      <c r="D1073" s="2" t="str">
        <f>IF(A1073="","",MIN('Loan Inputs'!$B$17,C1073+E1073)+H1073)</f>
        <v/>
      </c>
      <c r="E1073" s="2" t="str">
        <f>IF(A1073="","",C1073*'Loan Inputs'!$B$15)</f>
        <v/>
      </c>
      <c r="F1073" s="2" t="str">
        <f t="shared" si="48"/>
        <v/>
      </c>
      <c r="G1073" s="2" t="str">
        <f t="shared" si="49"/>
        <v/>
      </c>
      <c r="H1073" s="2" t="str">
        <f>IF(A1073="","",MIN(0,MAX(0,C1073+E1073-'Loan Inputs'!$B$17)))</f>
        <v/>
      </c>
    </row>
    <row r="1074" spans="1:8" ht="22" customHeight="1">
      <c r="A1074" s="1" t="str">
        <f>IF(AND('Loan Inputs'!$B$12,1068&lt;=IF('Loan Inputs'!$B$12,'Loan Inputs'!$B$7,0)*'Loan Inputs'!$B$14+0,ISNUMBER(G1073),G1073&gt;0),1068,"")</f>
        <v/>
      </c>
      <c r="B1074" s="4" t="str">
        <f>IF(A1074="","",IF('Loan Inputs'!$B$14=12,DATE(YEAR('Loan Inputs'!$B$8),MONTH('Loan Inputs'!$B$8)+A1074,DAY('Loan Inputs'!$B$8)),'Loan Inputs'!$B$8+A1074*IF('Loan Inputs'!$B$14=26,14,7)))</f>
        <v/>
      </c>
      <c r="C1074" s="2" t="str">
        <f t="shared" si="50"/>
        <v/>
      </c>
      <c r="D1074" s="2" t="str">
        <f>IF(A1074="","",MIN('Loan Inputs'!$B$17,C1074+E1074)+H1074)</f>
        <v/>
      </c>
      <c r="E1074" s="2" t="str">
        <f>IF(A1074="","",C1074*'Loan Inputs'!$B$15)</f>
        <v/>
      </c>
      <c r="F1074" s="2" t="str">
        <f t="shared" si="48"/>
        <v/>
      </c>
      <c r="G1074" s="2" t="str">
        <f t="shared" si="49"/>
        <v/>
      </c>
      <c r="H1074" s="2" t="str">
        <f>IF(A1074="","",MIN(0,MAX(0,C1074+E1074-'Loan Inputs'!$B$17)))</f>
        <v/>
      </c>
    </row>
    <row r="1075" spans="1:8" ht="22" customHeight="1">
      <c r="A1075" s="1" t="str">
        <f>IF(AND('Loan Inputs'!$B$12,1069&lt;=IF('Loan Inputs'!$B$12,'Loan Inputs'!$B$7,0)*'Loan Inputs'!$B$14+0,ISNUMBER(G1074),G1074&gt;0),1069,"")</f>
        <v/>
      </c>
      <c r="B1075" s="4" t="str">
        <f>IF(A1075="","",IF('Loan Inputs'!$B$14=12,DATE(YEAR('Loan Inputs'!$B$8),MONTH('Loan Inputs'!$B$8)+A1075,DAY('Loan Inputs'!$B$8)),'Loan Inputs'!$B$8+A1075*IF('Loan Inputs'!$B$14=26,14,7)))</f>
        <v/>
      </c>
      <c r="C1075" s="2" t="str">
        <f t="shared" si="50"/>
        <v/>
      </c>
      <c r="D1075" s="2" t="str">
        <f>IF(A1075="","",MIN('Loan Inputs'!$B$17,C1075+E1075)+H1075)</f>
        <v/>
      </c>
      <c r="E1075" s="2" t="str">
        <f>IF(A1075="","",C1075*'Loan Inputs'!$B$15)</f>
        <v/>
      </c>
      <c r="F1075" s="2" t="str">
        <f t="shared" si="48"/>
        <v/>
      </c>
      <c r="G1075" s="2" t="str">
        <f t="shared" si="49"/>
        <v/>
      </c>
      <c r="H1075" s="2" t="str">
        <f>IF(A1075="","",MIN(0,MAX(0,C1075+E1075-'Loan Inputs'!$B$17)))</f>
        <v/>
      </c>
    </row>
    <row r="1076" spans="1:8" ht="22" customHeight="1">
      <c r="A1076" s="1" t="str">
        <f>IF(AND('Loan Inputs'!$B$12,1070&lt;=IF('Loan Inputs'!$B$12,'Loan Inputs'!$B$7,0)*'Loan Inputs'!$B$14+0,ISNUMBER(G1075),G1075&gt;0),1070,"")</f>
        <v/>
      </c>
      <c r="B1076" s="4" t="str">
        <f>IF(A1076="","",IF('Loan Inputs'!$B$14=12,DATE(YEAR('Loan Inputs'!$B$8),MONTH('Loan Inputs'!$B$8)+A1076,DAY('Loan Inputs'!$B$8)),'Loan Inputs'!$B$8+A1076*IF('Loan Inputs'!$B$14=26,14,7)))</f>
        <v/>
      </c>
      <c r="C1076" s="2" t="str">
        <f t="shared" si="50"/>
        <v/>
      </c>
      <c r="D1076" s="2" t="str">
        <f>IF(A1076="","",MIN('Loan Inputs'!$B$17,C1076+E1076)+H1076)</f>
        <v/>
      </c>
      <c r="E1076" s="2" t="str">
        <f>IF(A1076="","",C1076*'Loan Inputs'!$B$15)</f>
        <v/>
      </c>
      <c r="F1076" s="2" t="str">
        <f t="shared" si="48"/>
        <v/>
      </c>
      <c r="G1076" s="2" t="str">
        <f t="shared" si="49"/>
        <v/>
      </c>
      <c r="H1076" s="2" t="str">
        <f>IF(A1076="","",MIN(0,MAX(0,C1076+E1076-'Loan Inputs'!$B$17)))</f>
        <v/>
      </c>
    </row>
    <row r="1077" spans="1:8" ht="22" customHeight="1">
      <c r="A1077" s="1" t="str">
        <f>IF(AND('Loan Inputs'!$B$12,1071&lt;=IF('Loan Inputs'!$B$12,'Loan Inputs'!$B$7,0)*'Loan Inputs'!$B$14+0,ISNUMBER(G1076),G1076&gt;0),1071,"")</f>
        <v/>
      </c>
      <c r="B1077" s="4" t="str">
        <f>IF(A1077="","",IF('Loan Inputs'!$B$14=12,DATE(YEAR('Loan Inputs'!$B$8),MONTH('Loan Inputs'!$B$8)+A1077,DAY('Loan Inputs'!$B$8)),'Loan Inputs'!$B$8+A1077*IF('Loan Inputs'!$B$14=26,14,7)))</f>
        <v/>
      </c>
      <c r="C1077" s="2" t="str">
        <f t="shared" si="50"/>
        <v/>
      </c>
      <c r="D1077" s="2" t="str">
        <f>IF(A1077="","",MIN('Loan Inputs'!$B$17,C1077+E1077)+H1077)</f>
        <v/>
      </c>
      <c r="E1077" s="2" t="str">
        <f>IF(A1077="","",C1077*'Loan Inputs'!$B$15)</f>
        <v/>
      </c>
      <c r="F1077" s="2" t="str">
        <f t="shared" si="48"/>
        <v/>
      </c>
      <c r="G1077" s="2" t="str">
        <f t="shared" si="49"/>
        <v/>
      </c>
      <c r="H1077" s="2" t="str">
        <f>IF(A1077="","",MIN(0,MAX(0,C1077+E1077-'Loan Inputs'!$B$17)))</f>
        <v/>
      </c>
    </row>
    <row r="1078" spans="1:8" ht="22" customHeight="1">
      <c r="A1078" s="1" t="str">
        <f>IF(AND('Loan Inputs'!$B$12,1072&lt;=IF('Loan Inputs'!$B$12,'Loan Inputs'!$B$7,0)*'Loan Inputs'!$B$14+0,ISNUMBER(G1077),G1077&gt;0),1072,"")</f>
        <v/>
      </c>
      <c r="B1078" s="4" t="str">
        <f>IF(A1078="","",IF('Loan Inputs'!$B$14=12,DATE(YEAR('Loan Inputs'!$B$8),MONTH('Loan Inputs'!$B$8)+A1078,DAY('Loan Inputs'!$B$8)),'Loan Inputs'!$B$8+A1078*IF('Loan Inputs'!$B$14=26,14,7)))</f>
        <v/>
      </c>
      <c r="C1078" s="2" t="str">
        <f t="shared" si="50"/>
        <v/>
      </c>
      <c r="D1078" s="2" t="str">
        <f>IF(A1078="","",MIN('Loan Inputs'!$B$17,C1078+E1078)+H1078)</f>
        <v/>
      </c>
      <c r="E1078" s="2" t="str">
        <f>IF(A1078="","",C1078*'Loan Inputs'!$B$15)</f>
        <v/>
      </c>
      <c r="F1078" s="2" t="str">
        <f t="shared" si="48"/>
        <v/>
      </c>
      <c r="G1078" s="2" t="str">
        <f t="shared" si="49"/>
        <v/>
      </c>
      <c r="H1078" s="2" t="str">
        <f>IF(A1078="","",MIN(0,MAX(0,C1078+E1078-'Loan Inputs'!$B$17)))</f>
        <v/>
      </c>
    </row>
    <row r="1079" spans="1:8" ht="22" customHeight="1">
      <c r="A1079" s="1" t="str">
        <f>IF(AND('Loan Inputs'!$B$12,1073&lt;=IF('Loan Inputs'!$B$12,'Loan Inputs'!$B$7,0)*'Loan Inputs'!$B$14+0,ISNUMBER(G1078),G1078&gt;0),1073,"")</f>
        <v/>
      </c>
      <c r="B1079" s="4" t="str">
        <f>IF(A1079="","",IF('Loan Inputs'!$B$14=12,DATE(YEAR('Loan Inputs'!$B$8),MONTH('Loan Inputs'!$B$8)+A1079,DAY('Loan Inputs'!$B$8)),'Loan Inputs'!$B$8+A1079*IF('Loan Inputs'!$B$14=26,14,7)))</f>
        <v/>
      </c>
      <c r="C1079" s="2" t="str">
        <f t="shared" si="50"/>
        <v/>
      </c>
      <c r="D1079" s="2" t="str">
        <f>IF(A1079="","",MIN('Loan Inputs'!$B$17,C1079+E1079)+H1079)</f>
        <v/>
      </c>
      <c r="E1079" s="2" t="str">
        <f>IF(A1079="","",C1079*'Loan Inputs'!$B$15)</f>
        <v/>
      </c>
      <c r="F1079" s="2" t="str">
        <f t="shared" si="48"/>
        <v/>
      </c>
      <c r="G1079" s="2" t="str">
        <f t="shared" si="49"/>
        <v/>
      </c>
      <c r="H1079" s="2" t="str">
        <f>IF(A1079="","",MIN(0,MAX(0,C1079+E1079-'Loan Inputs'!$B$17)))</f>
        <v/>
      </c>
    </row>
    <row r="1080" spans="1:8" ht="22" customHeight="1">
      <c r="A1080" s="1" t="str">
        <f>IF(AND('Loan Inputs'!$B$12,1074&lt;=IF('Loan Inputs'!$B$12,'Loan Inputs'!$B$7,0)*'Loan Inputs'!$B$14+0,ISNUMBER(G1079),G1079&gt;0),1074,"")</f>
        <v/>
      </c>
      <c r="B1080" s="4" t="str">
        <f>IF(A1080="","",IF('Loan Inputs'!$B$14=12,DATE(YEAR('Loan Inputs'!$B$8),MONTH('Loan Inputs'!$B$8)+A1080,DAY('Loan Inputs'!$B$8)),'Loan Inputs'!$B$8+A1080*IF('Loan Inputs'!$B$14=26,14,7)))</f>
        <v/>
      </c>
      <c r="C1080" s="2" t="str">
        <f t="shared" si="50"/>
        <v/>
      </c>
      <c r="D1080" s="2" t="str">
        <f>IF(A1080="","",MIN('Loan Inputs'!$B$17,C1080+E1080)+H1080)</f>
        <v/>
      </c>
      <c r="E1080" s="2" t="str">
        <f>IF(A1080="","",C1080*'Loan Inputs'!$B$15)</f>
        <v/>
      </c>
      <c r="F1080" s="2" t="str">
        <f t="shared" si="48"/>
        <v/>
      </c>
      <c r="G1080" s="2" t="str">
        <f t="shared" si="49"/>
        <v/>
      </c>
      <c r="H1080" s="2" t="str">
        <f>IF(A1080="","",MIN(0,MAX(0,C1080+E1080-'Loan Inputs'!$B$17)))</f>
        <v/>
      </c>
    </row>
    <row r="1081" spans="1:8" ht="22" customHeight="1">
      <c r="A1081" s="1" t="str">
        <f>IF(AND('Loan Inputs'!$B$12,1075&lt;=IF('Loan Inputs'!$B$12,'Loan Inputs'!$B$7,0)*'Loan Inputs'!$B$14+0,ISNUMBER(G1080),G1080&gt;0),1075,"")</f>
        <v/>
      </c>
      <c r="B1081" s="4" t="str">
        <f>IF(A1081="","",IF('Loan Inputs'!$B$14=12,DATE(YEAR('Loan Inputs'!$B$8),MONTH('Loan Inputs'!$B$8)+A1081,DAY('Loan Inputs'!$B$8)),'Loan Inputs'!$B$8+A1081*IF('Loan Inputs'!$B$14=26,14,7)))</f>
        <v/>
      </c>
      <c r="C1081" s="2" t="str">
        <f t="shared" si="50"/>
        <v/>
      </c>
      <c r="D1081" s="2" t="str">
        <f>IF(A1081="","",MIN('Loan Inputs'!$B$17,C1081+E1081)+H1081)</f>
        <v/>
      </c>
      <c r="E1081" s="2" t="str">
        <f>IF(A1081="","",C1081*'Loan Inputs'!$B$15)</f>
        <v/>
      </c>
      <c r="F1081" s="2" t="str">
        <f t="shared" si="48"/>
        <v/>
      </c>
      <c r="G1081" s="2" t="str">
        <f t="shared" si="49"/>
        <v/>
      </c>
      <c r="H1081" s="2" t="str">
        <f>IF(A1081="","",MIN(0,MAX(0,C1081+E1081-'Loan Inputs'!$B$17)))</f>
        <v/>
      </c>
    </row>
    <row r="1082" spans="1:8" ht="22" customHeight="1">
      <c r="A1082" s="1" t="str">
        <f>IF(AND('Loan Inputs'!$B$12,1076&lt;=IF('Loan Inputs'!$B$12,'Loan Inputs'!$B$7,0)*'Loan Inputs'!$B$14+0,ISNUMBER(G1081),G1081&gt;0),1076,"")</f>
        <v/>
      </c>
      <c r="B1082" s="4" t="str">
        <f>IF(A1082="","",IF('Loan Inputs'!$B$14=12,DATE(YEAR('Loan Inputs'!$B$8),MONTH('Loan Inputs'!$B$8)+A1082,DAY('Loan Inputs'!$B$8)),'Loan Inputs'!$B$8+A1082*IF('Loan Inputs'!$B$14=26,14,7)))</f>
        <v/>
      </c>
      <c r="C1082" s="2" t="str">
        <f t="shared" si="50"/>
        <v/>
      </c>
      <c r="D1082" s="2" t="str">
        <f>IF(A1082="","",MIN('Loan Inputs'!$B$17,C1082+E1082)+H1082)</f>
        <v/>
      </c>
      <c r="E1082" s="2" t="str">
        <f>IF(A1082="","",C1082*'Loan Inputs'!$B$15)</f>
        <v/>
      </c>
      <c r="F1082" s="2" t="str">
        <f t="shared" si="48"/>
        <v/>
      </c>
      <c r="G1082" s="2" t="str">
        <f t="shared" si="49"/>
        <v/>
      </c>
      <c r="H1082" s="2" t="str">
        <f>IF(A1082="","",MIN(0,MAX(0,C1082+E1082-'Loan Inputs'!$B$17)))</f>
        <v/>
      </c>
    </row>
    <row r="1083" spans="1:8" ht="22" customHeight="1">
      <c r="A1083" s="1" t="str">
        <f>IF(AND('Loan Inputs'!$B$12,1077&lt;=IF('Loan Inputs'!$B$12,'Loan Inputs'!$B$7,0)*'Loan Inputs'!$B$14+0,ISNUMBER(G1082),G1082&gt;0),1077,"")</f>
        <v/>
      </c>
      <c r="B1083" s="4" t="str">
        <f>IF(A1083="","",IF('Loan Inputs'!$B$14=12,DATE(YEAR('Loan Inputs'!$B$8),MONTH('Loan Inputs'!$B$8)+A1083,DAY('Loan Inputs'!$B$8)),'Loan Inputs'!$B$8+A1083*IF('Loan Inputs'!$B$14=26,14,7)))</f>
        <v/>
      </c>
      <c r="C1083" s="2" t="str">
        <f t="shared" si="50"/>
        <v/>
      </c>
      <c r="D1083" s="2" t="str">
        <f>IF(A1083="","",MIN('Loan Inputs'!$B$17,C1083+E1083)+H1083)</f>
        <v/>
      </c>
      <c r="E1083" s="2" t="str">
        <f>IF(A1083="","",C1083*'Loan Inputs'!$B$15)</f>
        <v/>
      </c>
      <c r="F1083" s="2" t="str">
        <f t="shared" si="48"/>
        <v/>
      </c>
      <c r="G1083" s="2" t="str">
        <f t="shared" si="49"/>
        <v/>
      </c>
      <c r="H1083" s="2" t="str">
        <f>IF(A1083="","",MIN(0,MAX(0,C1083+E1083-'Loan Inputs'!$B$17)))</f>
        <v/>
      </c>
    </row>
    <row r="1084" spans="1:8" ht="22" customHeight="1">
      <c r="A1084" s="1" t="str">
        <f>IF(AND('Loan Inputs'!$B$12,1078&lt;=IF('Loan Inputs'!$B$12,'Loan Inputs'!$B$7,0)*'Loan Inputs'!$B$14+0,ISNUMBER(G1083),G1083&gt;0),1078,"")</f>
        <v/>
      </c>
      <c r="B1084" s="4" t="str">
        <f>IF(A1084="","",IF('Loan Inputs'!$B$14=12,DATE(YEAR('Loan Inputs'!$B$8),MONTH('Loan Inputs'!$B$8)+A1084,DAY('Loan Inputs'!$B$8)),'Loan Inputs'!$B$8+A1084*IF('Loan Inputs'!$B$14=26,14,7)))</f>
        <v/>
      </c>
      <c r="C1084" s="2" t="str">
        <f t="shared" si="50"/>
        <v/>
      </c>
      <c r="D1084" s="2" t="str">
        <f>IF(A1084="","",MIN('Loan Inputs'!$B$17,C1084+E1084)+H1084)</f>
        <v/>
      </c>
      <c r="E1084" s="2" t="str">
        <f>IF(A1084="","",C1084*'Loan Inputs'!$B$15)</f>
        <v/>
      </c>
      <c r="F1084" s="2" t="str">
        <f t="shared" si="48"/>
        <v/>
      </c>
      <c r="G1084" s="2" t="str">
        <f t="shared" si="49"/>
        <v/>
      </c>
      <c r="H1084" s="2" t="str">
        <f>IF(A1084="","",MIN(0,MAX(0,C1084+E1084-'Loan Inputs'!$B$17)))</f>
        <v/>
      </c>
    </row>
    <row r="1085" spans="1:8" ht="22" customHeight="1">
      <c r="A1085" s="1" t="str">
        <f>IF(AND('Loan Inputs'!$B$12,1079&lt;=IF('Loan Inputs'!$B$12,'Loan Inputs'!$B$7,0)*'Loan Inputs'!$B$14+0,ISNUMBER(G1084),G1084&gt;0),1079,"")</f>
        <v/>
      </c>
      <c r="B1085" s="4" t="str">
        <f>IF(A1085="","",IF('Loan Inputs'!$B$14=12,DATE(YEAR('Loan Inputs'!$B$8),MONTH('Loan Inputs'!$B$8)+A1085,DAY('Loan Inputs'!$B$8)),'Loan Inputs'!$B$8+A1085*IF('Loan Inputs'!$B$14=26,14,7)))</f>
        <v/>
      </c>
      <c r="C1085" s="2" t="str">
        <f t="shared" si="50"/>
        <v/>
      </c>
      <c r="D1085" s="2" t="str">
        <f>IF(A1085="","",MIN('Loan Inputs'!$B$17,C1085+E1085)+H1085)</f>
        <v/>
      </c>
      <c r="E1085" s="2" t="str">
        <f>IF(A1085="","",C1085*'Loan Inputs'!$B$15)</f>
        <v/>
      </c>
      <c r="F1085" s="2" t="str">
        <f t="shared" si="48"/>
        <v/>
      </c>
      <c r="G1085" s="2" t="str">
        <f t="shared" si="49"/>
        <v/>
      </c>
      <c r="H1085" s="2" t="str">
        <f>IF(A1085="","",MIN(0,MAX(0,C1085+E1085-'Loan Inputs'!$B$17)))</f>
        <v/>
      </c>
    </row>
    <row r="1086" spans="1:8" ht="22" customHeight="1">
      <c r="A1086" s="1" t="str">
        <f>IF(AND('Loan Inputs'!$B$12,1080&lt;=IF('Loan Inputs'!$B$12,'Loan Inputs'!$B$7,0)*'Loan Inputs'!$B$14+0,ISNUMBER(G1085),G1085&gt;0),1080,"")</f>
        <v/>
      </c>
      <c r="B1086" s="4" t="str">
        <f>IF(A1086="","",IF('Loan Inputs'!$B$14=12,DATE(YEAR('Loan Inputs'!$B$8),MONTH('Loan Inputs'!$B$8)+A1086,DAY('Loan Inputs'!$B$8)),'Loan Inputs'!$B$8+A1086*IF('Loan Inputs'!$B$14=26,14,7)))</f>
        <v/>
      </c>
      <c r="C1086" s="2" t="str">
        <f t="shared" si="50"/>
        <v/>
      </c>
      <c r="D1086" s="2" t="str">
        <f>IF(A1086="","",MIN('Loan Inputs'!$B$17,C1086+E1086)+H1086)</f>
        <v/>
      </c>
      <c r="E1086" s="2" t="str">
        <f>IF(A1086="","",C1086*'Loan Inputs'!$B$15)</f>
        <v/>
      </c>
      <c r="F1086" s="2" t="str">
        <f t="shared" si="48"/>
        <v/>
      </c>
      <c r="G1086" s="2" t="str">
        <f t="shared" si="49"/>
        <v/>
      </c>
      <c r="H1086" s="2" t="str">
        <f>IF(A1086="","",MIN(0,MAX(0,C1086+E1086-'Loan Inputs'!$B$17)))</f>
        <v/>
      </c>
    </row>
    <row r="1087" spans="1:8" ht="22" customHeight="1">
      <c r="A1087" s="1" t="str">
        <f>IF(AND('Loan Inputs'!$B$12,1081&lt;=IF('Loan Inputs'!$B$12,'Loan Inputs'!$B$7,0)*'Loan Inputs'!$B$14+0,ISNUMBER(G1086),G1086&gt;0),1081,"")</f>
        <v/>
      </c>
      <c r="B1087" s="4" t="str">
        <f>IF(A1087="","",IF('Loan Inputs'!$B$14=12,DATE(YEAR('Loan Inputs'!$B$8),MONTH('Loan Inputs'!$B$8)+A1087,DAY('Loan Inputs'!$B$8)),'Loan Inputs'!$B$8+A1087*IF('Loan Inputs'!$B$14=26,14,7)))</f>
        <v/>
      </c>
      <c r="C1087" s="2" t="str">
        <f t="shared" si="50"/>
        <v/>
      </c>
      <c r="D1087" s="2" t="str">
        <f>IF(A1087="","",MIN('Loan Inputs'!$B$17,C1087+E1087)+H1087)</f>
        <v/>
      </c>
      <c r="E1087" s="2" t="str">
        <f>IF(A1087="","",C1087*'Loan Inputs'!$B$15)</f>
        <v/>
      </c>
      <c r="F1087" s="2" t="str">
        <f t="shared" si="48"/>
        <v/>
      </c>
      <c r="G1087" s="2" t="str">
        <f t="shared" si="49"/>
        <v/>
      </c>
      <c r="H1087" s="2" t="str">
        <f>IF(A1087="","",MIN(0,MAX(0,C1087+E1087-'Loan Inputs'!$B$17)))</f>
        <v/>
      </c>
    </row>
    <row r="1088" spans="1:8" ht="22" customHeight="1">
      <c r="A1088" s="1" t="str">
        <f>IF(AND('Loan Inputs'!$B$12,1082&lt;=IF('Loan Inputs'!$B$12,'Loan Inputs'!$B$7,0)*'Loan Inputs'!$B$14+0,ISNUMBER(G1087),G1087&gt;0),1082,"")</f>
        <v/>
      </c>
      <c r="B1088" s="4" t="str">
        <f>IF(A1088="","",IF('Loan Inputs'!$B$14=12,DATE(YEAR('Loan Inputs'!$B$8),MONTH('Loan Inputs'!$B$8)+A1088,DAY('Loan Inputs'!$B$8)),'Loan Inputs'!$B$8+A1088*IF('Loan Inputs'!$B$14=26,14,7)))</f>
        <v/>
      </c>
      <c r="C1088" s="2" t="str">
        <f t="shared" si="50"/>
        <v/>
      </c>
      <c r="D1088" s="2" t="str">
        <f>IF(A1088="","",MIN('Loan Inputs'!$B$17,C1088+E1088)+H1088)</f>
        <v/>
      </c>
      <c r="E1088" s="2" t="str">
        <f>IF(A1088="","",C1088*'Loan Inputs'!$B$15)</f>
        <v/>
      </c>
      <c r="F1088" s="2" t="str">
        <f t="shared" si="48"/>
        <v/>
      </c>
      <c r="G1088" s="2" t="str">
        <f t="shared" si="49"/>
        <v/>
      </c>
      <c r="H1088" s="2" t="str">
        <f>IF(A1088="","",MIN(0,MAX(0,C1088+E1088-'Loan Inputs'!$B$17)))</f>
        <v/>
      </c>
    </row>
    <row r="1089" spans="1:8" ht="22" customHeight="1">
      <c r="A1089" s="1" t="str">
        <f>IF(AND('Loan Inputs'!$B$12,1083&lt;=IF('Loan Inputs'!$B$12,'Loan Inputs'!$B$7,0)*'Loan Inputs'!$B$14+0,ISNUMBER(G1088),G1088&gt;0),1083,"")</f>
        <v/>
      </c>
      <c r="B1089" s="4" t="str">
        <f>IF(A1089="","",IF('Loan Inputs'!$B$14=12,DATE(YEAR('Loan Inputs'!$B$8),MONTH('Loan Inputs'!$B$8)+A1089,DAY('Loan Inputs'!$B$8)),'Loan Inputs'!$B$8+A1089*IF('Loan Inputs'!$B$14=26,14,7)))</f>
        <v/>
      </c>
      <c r="C1089" s="2" t="str">
        <f t="shared" si="50"/>
        <v/>
      </c>
      <c r="D1089" s="2" t="str">
        <f>IF(A1089="","",MIN('Loan Inputs'!$B$17,C1089+E1089)+H1089)</f>
        <v/>
      </c>
      <c r="E1089" s="2" t="str">
        <f>IF(A1089="","",C1089*'Loan Inputs'!$B$15)</f>
        <v/>
      </c>
      <c r="F1089" s="2" t="str">
        <f t="shared" si="48"/>
        <v/>
      </c>
      <c r="G1089" s="2" t="str">
        <f t="shared" si="49"/>
        <v/>
      </c>
      <c r="H1089" s="2" t="str">
        <f>IF(A1089="","",MIN(0,MAX(0,C1089+E1089-'Loan Inputs'!$B$17)))</f>
        <v/>
      </c>
    </row>
    <row r="1090" spans="1:8" ht="22" customHeight="1">
      <c r="A1090" s="1" t="str">
        <f>IF(AND('Loan Inputs'!$B$12,1084&lt;=IF('Loan Inputs'!$B$12,'Loan Inputs'!$B$7,0)*'Loan Inputs'!$B$14+0,ISNUMBER(G1089),G1089&gt;0),1084,"")</f>
        <v/>
      </c>
      <c r="B1090" s="4" t="str">
        <f>IF(A1090="","",IF('Loan Inputs'!$B$14=12,DATE(YEAR('Loan Inputs'!$B$8),MONTH('Loan Inputs'!$B$8)+A1090,DAY('Loan Inputs'!$B$8)),'Loan Inputs'!$B$8+A1090*IF('Loan Inputs'!$B$14=26,14,7)))</f>
        <v/>
      </c>
      <c r="C1090" s="2" t="str">
        <f t="shared" si="50"/>
        <v/>
      </c>
      <c r="D1090" s="2" t="str">
        <f>IF(A1090="","",MIN('Loan Inputs'!$B$17,C1090+E1090)+H1090)</f>
        <v/>
      </c>
      <c r="E1090" s="2" t="str">
        <f>IF(A1090="","",C1090*'Loan Inputs'!$B$15)</f>
        <v/>
      </c>
      <c r="F1090" s="2" t="str">
        <f t="shared" si="48"/>
        <v/>
      </c>
      <c r="G1090" s="2" t="str">
        <f t="shared" si="49"/>
        <v/>
      </c>
      <c r="H1090" s="2" t="str">
        <f>IF(A1090="","",MIN(0,MAX(0,C1090+E1090-'Loan Inputs'!$B$17)))</f>
        <v/>
      </c>
    </row>
    <row r="1091" spans="1:8" ht="22" customHeight="1">
      <c r="A1091" s="1" t="str">
        <f>IF(AND('Loan Inputs'!$B$12,1085&lt;=IF('Loan Inputs'!$B$12,'Loan Inputs'!$B$7,0)*'Loan Inputs'!$B$14+0,ISNUMBER(G1090),G1090&gt;0),1085,"")</f>
        <v/>
      </c>
      <c r="B1091" s="4" t="str">
        <f>IF(A1091="","",IF('Loan Inputs'!$B$14=12,DATE(YEAR('Loan Inputs'!$B$8),MONTH('Loan Inputs'!$B$8)+A1091,DAY('Loan Inputs'!$B$8)),'Loan Inputs'!$B$8+A1091*IF('Loan Inputs'!$B$14=26,14,7)))</f>
        <v/>
      </c>
      <c r="C1091" s="2" t="str">
        <f t="shared" si="50"/>
        <v/>
      </c>
      <c r="D1091" s="2" t="str">
        <f>IF(A1091="","",MIN('Loan Inputs'!$B$17,C1091+E1091)+H1091)</f>
        <v/>
      </c>
      <c r="E1091" s="2" t="str">
        <f>IF(A1091="","",C1091*'Loan Inputs'!$B$15)</f>
        <v/>
      </c>
      <c r="F1091" s="2" t="str">
        <f t="shared" si="48"/>
        <v/>
      </c>
      <c r="G1091" s="2" t="str">
        <f t="shared" si="49"/>
        <v/>
      </c>
      <c r="H1091" s="2" t="str">
        <f>IF(A1091="","",MIN(0,MAX(0,C1091+E1091-'Loan Inputs'!$B$17)))</f>
        <v/>
      </c>
    </row>
    <row r="1092" spans="1:8" ht="22" customHeight="1">
      <c r="A1092" s="1" t="str">
        <f>IF(AND('Loan Inputs'!$B$12,1086&lt;=IF('Loan Inputs'!$B$12,'Loan Inputs'!$B$7,0)*'Loan Inputs'!$B$14+0,ISNUMBER(G1091),G1091&gt;0),1086,"")</f>
        <v/>
      </c>
      <c r="B1092" s="4" t="str">
        <f>IF(A1092="","",IF('Loan Inputs'!$B$14=12,DATE(YEAR('Loan Inputs'!$B$8),MONTH('Loan Inputs'!$B$8)+A1092,DAY('Loan Inputs'!$B$8)),'Loan Inputs'!$B$8+A1092*IF('Loan Inputs'!$B$14=26,14,7)))</f>
        <v/>
      </c>
      <c r="C1092" s="2" t="str">
        <f t="shared" si="50"/>
        <v/>
      </c>
      <c r="D1092" s="2" t="str">
        <f>IF(A1092="","",MIN('Loan Inputs'!$B$17,C1092+E1092)+H1092)</f>
        <v/>
      </c>
      <c r="E1092" s="2" t="str">
        <f>IF(A1092="","",C1092*'Loan Inputs'!$B$15)</f>
        <v/>
      </c>
      <c r="F1092" s="2" t="str">
        <f t="shared" si="48"/>
        <v/>
      </c>
      <c r="G1092" s="2" t="str">
        <f t="shared" si="49"/>
        <v/>
      </c>
      <c r="H1092" s="2" t="str">
        <f>IF(A1092="","",MIN(0,MAX(0,C1092+E1092-'Loan Inputs'!$B$17)))</f>
        <v/>
      </c>
    </row>
    <row r="1093" spans="1:8" ht="22" customHeight="1">
      <c r="A1093" s="1" t="str">
        <f>IF(AND('Loan Inputs'!$B$12,1087&lt;=IF('Loan Inputs'!$B$12,'Loan Inputs'!$B$7,0)*'Loan Inputs'!$B$14+0,ISNUMBER(G1092),G1092&gt;0),1087,"")</f>
        <v/>
      </c>
      <c r="B1093" s="4" t="str">
        <f>IF(A1093="","",IF('Loan Inputs'!$B$14=12,DATE(YEAR('Loan Inputs'!$B$8),MONTH('Loan Inputs'!$B$8)+A1093,DAY('Loan Inputs'!$B$8)),'Loan Inputs'!$B$8+A1093*IF('Loan Inputs'!$B$14=26,14,7)))</f>
        <v/>
      </c>
      <c r="C1093" s="2" t="str">
        <f t="shared" si="50"/>
        <v/>
      </c>
      <c r="D1093" s="2" t="str">
        <f>IF(A1093="","",MIN('Loan Inputs'!$B$17,C1093+E1093)+H1093)</f>
        <v/>
      </c>
      <c r="E1093" s="2" t="str">
        <f>IF(A1093="","",C1093*'Loan Inputs'!$B$15)</f>
        <v/>
      </c>
      <c r="F1093" s="2" t="str">
        <f t="shared" si="48"/>
        <v/>
      </c>
      <c r="G1093" s="2" t="str">
        <f t="shared" si="49"/>
        <v/>
      </c>
      <c r="H1093" s="2" t="str">
        <f>IF(A1093="","",MIN(0,MAX(0,C1093+E1093-'Loan Inputs'!$B$17)))</f>
        <v/>
      </c>
    </row>
    <row r="1094" spans="1:8" ht="22" customHeight="1">
      <c r="A1094" s="1" t="str">
        <f>IF(AND('Loan Inputs'!$B$12,1088&lt;=IF('Loan Inputs'!$B$12,'Loan Inputs'!$B$7,0)*'Loan Inputs'!$B$14+0,ISNUMBER(G1093),G1093&gt;0),1088,"")</f>
        <v/>
      </c>
      <c r="B1094" s="4" t="str">
        <f>IF(A1094="","",IF('Loan Inputs'!$B$14=12,DATE(YEAR('Loan Inputs'!$B$8),MONTH('Loan Inputs'!$B$8)+A1094,DAY('Loan Inputs'!$B$8)),'Loan Inputs'!$B$8+A1094*IF('Loan Inputs'!$B$14=26,14,7)))</f>
        <v/>
      </c>
      <c r="C1094" s="2" t="str">
        <f t="shared" si="50"/>
        <v/>
      </c>
      <c r="D1094" s="2" t="str">
        <f>IF(A1094="","",MIN('Loan Inputs'!$B$17,C1094+E1094)+H1094)</f>
        <v/>
      </c>
      <c r="E1094" s="2" t="str">
        <f>IF(A1094="","",C1094*'Loan Inputs'!$B$15)</f>
        <v/>
      </c>
      <c r="F1094" s="2" t="str">
        <f t="shared" si="48"/>
        <v/>
      </c>
      <c r="G1094" s="2" t="str">
        <f t="shared" si="49"/>
        <v/>
      </c>
      <c r="H1094" s="2" t="str">
        <f>IF(A1094="","",MIN(0,MAX(0,C1094+E1094-'Loan Inputs'!$B$17)))</f>
        <v/>
      </c>
    </row>
    <row r="1095" spans="1:8" ht="22" customHeight="1">
      <c r="A1095" s="1" t="str">
        <f>IF(AND('Loan Inputs'!$B$12,1089&lt;=IF('Loan Inputs'!$B$12,'Loan Inputs'!$B$7,0)*'Loan Inputs'!$B$14+0,ISNUMBER(G1094),G1094&gt;0),1089,"")</f>
        <v/>
      </c>
      <c r="B1095" s="4" t="str">
        <f>IF(A1095="","",IF('Loan Inputs'!$B$14=12,DATE(YEAR('Loan Inputs'!$B$8),MONTH('Loan Inputs'!$B$8)+A1095,DAY('Loan Inputs'!$B$8)),'Loan Inputs'!$B$8+A1095*IF('Loan Inputs'!$B$14=26,14,7)))</f>
        <v/>
      </c>
      <c r="C1095" s="2" t="str">
        <f t="shared" si="50"/>
        <v/>
      </c>
      <c r="D1095" s="2" t="str">
        <f>IF(A1095="","",MIN('Loan Inputs'!$B$17,C1095+E1095)+H1095)</f>
        <v/>
      </c>
      <c r="E1095" s="2" t="str">
        <f>IF(A1095="","",C1095*'Loan Inputs'!$B$15)</f>
        <v/>
      </c>
      <c r="F1095" s="2" t="str">
        <f t="shared" ref="F1095:F1158" si="51">IF(A1095="","",MIN(C1095,D1095-E1095))</f>
        <v/>
      </c>
      <c r="G1095" s="2" t="str">
        <f t="shared" ref="G1095:G1158" si="52">IF(A1095="","",IF(C1095-F1095&lt;0.01,0,MAX(0,C1095-F1095)))</f>
        <v/>
      </c>
      <c r="H1095" s="2" t="str">
        <f>IF(A1095="","",MIN(0,MAX(0,C1095+E1095-'Loan Inputs'!$B$17)))</f>
        <v/>
      </c>
    </row>
    <row r="1096" spans="1:8" ht="22" customHeight="1">
      <c r="A1096" s="1" t="str">
        <f>IF(AND('Loan Inputs'!$B$12,1090&lt;=IF('Loan Inputs'!$B$12,'Loan Inputs'!$B$7,0)*'Loan Inputs'!$B$14+0,ISNUMBER(G1095),G1095&gt;0),1090,"")</f>
        <v/>
      </c>
      <c r="B1096" s="4" t="str">
        <f>IF(A1096="","",IF('Loan Inputs'!$B$14=12,DATE(YEAR('Loan Inputs'!$B$8),MONTH('Loan Inputs'!$B$8)+A1096,DAY('Loan Inputs'!$B$8)),'Loan Inputs'!$B$8+A1096*IF('Loan Inputs'!$B$14=26,14,7)))</f>
        <v/>
      </c>
      <c r="C1096" s="2" t="str">
        <f t="shared" ref="C1096:C1159" si="53">IF(A1096="","",G1095)</f>
        <v/>
      </c>
      <c r="D1096" s="2" t="str">
        <f>IF(A1096="","",MIN('Loan Inputs'!$B$17,C1096+E1096)+H1096)</f>
        <v/>
      </c>
      <c r="E1096" s="2" t="str">
        <f>IF(A1096="","",C1096*'Loan Inputs'!$B$15)</f>
        <v/>
      </c>
      <c r="F1096" s="2" t="str">
        <f t="shared" si="51"/>
        <v/>
      </c>
      <c r="G1096" s="2" t="str">
        <f t="shared" si="52"/>
        <v/>
      </c>
      <c r="H1096" s="2" t="str">
        <f>IF(A1096="","",MIN(0,MAX(0,C1096+E1096-'Loan Inputs'!$B$17)))</f>
        <v/>
      </c>
    </row>
    <row r="1097" spans="1:8" ht="22" customHeight="1">
      <c r="A1097" s="1" t="str">
        <f>IF(AND('Loan Inputs'!$B$12,1091&lt;=IF('Loan Inputs'!$B$12,'Loan Inputs'!$B$7,0)*'Loan Inputs'!$B$14+0,ISNUMBER(G1096),G1096&gt;0),1091,"")</f>
        <v/>
      </c>
      <c r="B1097" s="4" t="str">
        <f>IF(A1097="","",IF('Loan Inputs'!$B$14=12,DATE(YEAR('Loan Inputs'!$B$8),MONTH('Loan Inputs'!$B$8)+A1097,DAY('Loan Inputs'!$B$8)),'Loan Inputs'!$B$8+A1097*IF('Loan Inputs'!$B$14=26,14,7)))</f>
        <v/>
      </c>
      <c r="C1097" s="2" t="str">
        <f t="shared" si="53"/>
        <v/>
      </c>
      <c r="D1097" s="2" t="str">
        <f>IF(A1097="","",MIN('Loan Inputs'!$B$17,C1097+E1097)+H1097)</f>
        <v/>
      </c>
      <c r="E1097" s="2" t="str">
        <f>IF(A1097="","",C1097*'Loan Inputs'!$B$15)</f>
        <v/>
      </c>
      <c r="F1097" s="2" t="str">
        <f t="shared" si="51"/>
        <v/>
      </c>
      <c r="G1097" s="2" t="str">
        <f t="shared" si="52"/>
        <v/>
      </c>
      <c r="H1097" s="2" t="str">
        <f>IF(A1097="","",MIN(0,MAX(0,C1097+E1097-'Loan Inputs'!$B$17)))</f>
        <v/>
      </c>
    </row>
    <row r="1098" spans="1:8" ht="22" customHeight="1">
      <c r="A1098" s="1" t="str">
        <f>IF(AND('Loan Inputs'!$B$12,1092&lt;=IF('Loan Inputs'!$B$12,'Loan Inputs'!$B$7,0)*'Loan Inputs'!$B$14+0,ISNUMBER(G1097),G1097&gt;0),1092,"")</f>
        <v/>
      </c>
      <c r="B1098" s="4" t="str">
        <f>IF(A1098="","",IF('Loan Inputs'!$B$14=12,DATE(YEAR('Loan Inputs'!$B$8),MONTH('Loan Inputs'!$B$8)+A1098,DAY('Loan Inputs'!$B$8)),'Loan Inputs'!$B$8+A1098*IF('Loan Inputs'!$B$14=26,14,7)))</f>
        <v/>
      </c>
      <c r="C1098" s="2" t="str">
        <f t="shared" si="53"/>
        <v/>
      </c>
      <c r="D1098" s="2" t="str">
        <f>IF(A1098="","",MIN('Loan Inputs'!$B$17,C1098+E1098)+H1098)</f>
        <v/>
      </c>
      <c r="E1098" s="2" t="str">
        <f>IF(A1098="","",C1098*'Loan Inputs'!$B$15)</f>
        <v/>
      </c>
      <c r="F1098" s="2" t="str">
        <f t="shared" si="51"/>
        <v/>
      </c>
      <c r="G1098" s="2" t="str">
        <f t="shared" si="52"/>
        <v/>
      </c>
      <c r="H1098" s="2" t="str">
        <f>IF(A1098="","",MIN(0,MAX(0,C1098+E1098-'Loan Inputs'!$B$17)))</f>
        <v/>
      </c>
    </row>
    <row r="1099" spans="1:8" ht="22" customHeight="1">
      <c r="A1099" s="1" t="str">
        <f>IF(AND('Loan Inputs'!$B$12,1093&lt;=IF('Loan Inputs'!$B$12,'Loan Inputs'!$B$7,0)*'Loan Inputs'!$B$14+0,ISNUMBER(G1098),G1098&gt;0),1093,"")</f>
        <v/>
      </c>
      <c r="B1099" s="4" t="str">
        <f>IF(A1099="","",IF('Loan Inputs'!$B$14=12,DATE(YEAR('Loan Inputs'!$B$8),MONTH('Loan Inputs'!$B$8)+A1099,DAY('Loan Inputs'!$B$8)),'Loan Inputs'!$B$8+A1099*IF('Loan Inputs'!$B$14=26,14,7)))</f>
        <v/>
      </c>
      <c r="C1099" s="2" t="str">
        <f t="shared" si="53"/>
        <v/>
      </c>
      <c r="D1099" s="2" t="str">
        <f>IF(A1099="","",MIN('Loan Inputs'!$B$17,C1099+E1099)+H1099)</f>
        <v/>
      </c>
      <c r="E1099" s="2" t="str">
        <f>IF(A1099="","",C1099*'Loan Inputs'!$B$15)</f>
        <v/>
      </c>
      <c r="F1099" s="2" t="str">
        <f t="shared" si="51"/>
        <v/>
      </c>
      <c r="G1099" s="2" t="str">
        <f t="shared" si="52"/>
        <v/>
      </c>
      <c r="H1099" s="2" t="str">
        <f>IF(A1099="","",MIN(0,MAX(0,C1099+E1099-'Loan Inputs'!$B$17)))</f>
        <v/>
      </c>
    </row>
    <row r="1100" spans="1:8" ht="22" customHeight="1">
      <c r="A1100" s="1" t="str">
        <f>IF(AND('Loan Inputs'!$B$12,1094&lt;=IF('Loan Inputs'!$B$12,'Loan Inputs'!$B$7,0)*'Loan Inputs'!$B$14+0,ISNUMBER(G1099),G1099&gt;0),1094,"")</f>
        <v/>
      </c>
      <c r="B1100" s="4" t="str">
        <f>IF(A1100="","",IF('Loan Inputs'!$B$14=12,DATE(YEAR('Loan Inputs'!$B$8),MONTH('Loan Inputs'!$B$8)+A1100,DAY('Loan Inputs'!$B$8)),'Loan Inputs'!$B$8+A1100*IF('Loan Inputs'!$B$14=26,14,7)))</f>
        <v/>
      </c>
      <c r="C1100" s="2" t="str">
        <f t="shared" si="53"/>
        <v/>
      </c>
      <c r="D1100" s="2" t="str">
        <f>IF(A1100="","",MIN('Loan Inputs'!$B$17,C1100+E1100)+H1100)</f>
        <v/>
      </c>
      <c r="E1100" s="2" t="str">
        <f>IF(A1100="","",C1100*'Loan Inputs'!$B$15)</f>
        <v/>
      </c>
      <c r="F1100" s="2" t="str">
        <f t="shared" si="51"/>
        <v/>
      </c>
      <c r="G1100" s="2" t="str">
        <f t="shared" si="52"/>
        <v/>
      </c>
      <c r="H1100" s="2" t="str">
        <f>IF(A1100="","",MIN(0,MAX(0,C1100+E1100-'Loan Inputs'!$B$17)))</f>
        <v/>
      </c>
    </row>
    <row r="1101" spans="1:8" ht="22" customHeight="1">
      <c r="A1101" s="1" t="str">
        <f>IF(AND('Loan Inputs'!$B$12,1095&lt;=IF('Loan Inputs'!$B$12,'Loan Inputs'!$B$7,0)*'Loan Inputs'!$B$14+0,ISNUMBER(G1100),G1100&gt;0),1095,"")</f>
        <v/>
      </c>
      <c r="B1101" s="4" t="str">
        <f>IF(A1101="","",IF('Loan Inputs'!$B$14=12,DATE(YEAR('Loan Inputs'!$B$8),MONTH('Loan Inputs'!$B$8)+A1101,DAY('Loan Inputs'!$B$8)),'Loan Inputs'!$B$8+A1101*IF('Loan Inputs'!$B$14=26,14,7)))</f>
        <v/>
      </c>
      <c r="C1101" s="2" t="str">
        <f t="shared" si="53"/>
        <v/>
      </c>
      <c r="D1101" s="2" t="str">
        <f>IF(A1101="","",MIN('Loan Inputs'!$B$17,C1101+E1101)+H1101)</f>
        <v/>
      </c>
      <c r="E1101" s="2" t="str">
        <f>IF(A1101="","",C1101*'Loan Inputs'!$B$15)</f>
        <v/>
      </c>
      <c r="F1101" s="2" t="str">
        <f t="shared" si="51"/>
        <v/>
      </c>
      <c r="G1101" s="2" t="str">
        <f t="shared" si="52"/>
        <v/>
      </c>
      <c r="H1101" s="2" t="str">
        <f>IF(A1101="","",MIN(0,MAX(0,C1101+E1101-'Loan Inputs'!$B$17)))</f>
        <v/>
      </c>
    </row>
    <row r="1102" spans="1:8" ht="22" customHeight="1">
      <c r="A1102" s="1" t="str">
        <f>IF(AND('Loan Inputs'!$B$12,1096&lt;=IF('Loan Inputs'!$B$12,'Loan Inputs'!$B$7,0)*'Loan Inputs'!$B$14+0,ISNUMBER(G1101),G1101&gt;0),1096,"")</f>
        <v/>
      </c>
      <c r="B1102" s="4" t="str">
        <f>IF(A1102="","",IF('Loan Inputs'!$B$14=12,DATE(YEAR('Loan Inputs'!$B$8),MONTH('Loan Inputs'!$B$8)+A1102,DAY('Loan Inputs'!$B$8)),'Loan Inputs'!$B$8+A1102*IF('Loan Inputs'!$B$14=26,14,7)))</f>
        <v/>
      </c>
      <c r="C1102" s="2" t="str">
        <f t="shared" si="53"/>
        <v/>
      </c>
      <c r="D1102" s="2" t="str">
        <f>IF(A1102="","",MIN('Loan Inputs'!$B$17,C1102+E1102)+H1102)</f>
        <v/>
      </c>
      <c r="E1102" s="2" t="str">
        <f>IF(A1102="","",C1102*'Loan Inputs'!$B$15)</f>
        <v/>
      </c>
      <c r="F1102" s="2" t="str">
        <f t="shared" si="51"/>
        <v/>
      </c>
      <c r="G1102" s="2" t="str">
        <f t="shared" si="52"/>
        <v/>
      </c>
      <c r="H1102" s="2" t="str">
        <f>IF(A1102="","",MIN(0,MAX(0,C1102+E1102-'Loan Inputs'!$B$17)))</f>
        <v/>
      </c>
    </row>
    <row r="1103" spans="1:8" ht="22" customHeight="1">
      <c r="A1103" s="1" t="str">
        <f>IF(AND('Loan Inputs'!$B$12,1097&lt;=IF('Loan Inputs'!$B$12,'Loan Inputs'!$B$7,0)*'Loan Inputs'!$B$14+0,ISNUMBER(G1102),G1102&gt;0),1097,"")</f>
        <v/>
      </c>
      <c r="B1103" s="4" t="str">
        <f>IF(A1103="","",IF('Loan Inputs'!$B$14=12,DATE(YEAR('Loan Inputs'!$B$8),MONTH('Loan Inputs'!$B$8)+A1103,DAY('Loan Inputs'!$B$8)),'Loan Inputs'!$B$8+A1103*IF('Loan Inputs'!$B$14=26,14,7)))</f>
        <v/>
      </c>
      <c r="C1103" s="2" t="str">
        <f t="shared" si="53"/>
        <v/>
      </c>
      <c r="D1103" s="2" t="str">
        <f>IF(A1103="","",MIN('Loan Inputs'!$B$17,C1103+E1103)+H1103)</f>
        <v/>
      </c>
      <c r="E1103" s="2" t="str">
        <f>IF(A1103="","",C1103*'Loan Inputs'!$B$15)</f>
        <v/>
      </c>
      <c r="F1103" s="2" t="str">
        <f t="shared" si="51"/>
        <v/>
      </c>
      <c r="G1103" s="2" t="str">
        <f t="shared" si="52"/>
        <v/>
      </c>
      <c r="H1103" s="2" t="str">
        <f>IF(A1103="","",MIN(0,MAX(0,C1103+E1103-'Loan Inputs'!$B$17)))</f>
        <v/>
      </c>
    </row>
    <row r="1104" spans="1:8" ht="22" customHeight="1">
      <c r="A1104" s="1" t="str">
        <f>IF(AND('Loan Inputs'!$B$12,1098&lt;=IF('Loan Inputs'!$B$12,'Loan Inputs'!$B$7,0)*'Loan Inputs'!$B$14+0,ISNUMBER(G1103),G1103&gt;0),1098,"")</f>
        <v/>
      </c>
      <c r="B1104" s="4" t="str">
        <f>IF(A1104="","",IF('Loan Inputs'!$B$14=12,DATE(YEAR('Loan Inputs'!$B$8),MONTH('Loan Inputs'!$B$8)+A1104,DAY('Loan Inputs'!$B$8)),'Loan Inputs'!$B$8+A1104*IF('Loan Inputs'!$B$14=26,14,7)))</f>
        <v/>
      </c>
      <c r="C1104" s="2" t="str">
        <f t="shared" si="53"/>
        <v/>
      </c>
      <c r="D1104" s="2" t="str">
        <f>IF(A1104="","",MIN('Loan Inputs'!$B$17,C1104+E1104)+H1104)</f>
        <v/>
      </c>
      <c r="E1104" s="2" t="str">
        <f>IF(A1104="","",C1104*'Loan Inputs'!$B$15)</f>
        <v/>
      </c>
      <c r="F1104" s="2" t="str">
        <f t="shared" si="51"/>
        <v/>
      </c>
      <c r="G1104" s="2" t="str">
        <f t="shared" si="52"/>
        <v/>
      </c>
      <c r="H1104" s="2" t="str">
        <f>IF(A1104="","",MIN(0,MAX(0,C1104+E1104-'Loan Inputs'!$B$17)))</f>
        <v/>
      </c>
    </row>
    <row r="1105" spans="1:8" ht="22" customHeight="1">
      <c r="A1105" s="1" t="str">
        <f>IF(AND('Loan Inputs'!$B$12,1099&lt;=IF('Loan Inputs'!$B$12,'Loan Inputs'!$B$7,0)*'Loan Inputs'!$B$14+0,ISNUMBER(G1104),G1104&gt;0),1099,"")</f>
        <v/>
      </c>
      <c r="B1105" s="4" t="str">
        <f>IF(A1105="","",IF('Loan Inputs'!$B$14=12,DATE(YEAR('Loan Inputs'!$B$8),MONTH('Loan Inputs'!$B$8)+A1105,DAY('Loan Inputs'!$B$8)),'Loan Inputs'!$B$8+A1105*IF('Loan Inputs'!$B$14=26,14,7)))</f>
        <v/>
      </c>
      <c r="C1105" s="2" t="str">
        <f t="shared" si="53"/>
        <v/>
      </c>
      <c r="D1105" s="2" t="str">
        <f>IF(A1105="","",MIN('Loan Inputs'!$B$17,C1105+E1105)+H1105)</f>
        <v/>
      </c>
      <c r="E1105" s="2" t="str">
        <f>IF(A1105="","",C1105*'Loan Inputs'!$B$15)</f>
        <v/>
      </c>
      <c r="F1105" s="2" t="str">
        <f t="shared" si="51"/>
        <v/>
      </c>
      <c r="G1105" s="2" t="str">
        <f t="shared" si="52"/>
        <v/>
      </c>
      <c r="H1105" s="2" t="str">
        <f>IF(A1105="","",MIN(0,MAX(0,C1105+E1105-'Loan Inputs'!$B$17)))</f>
        <v/>
      </c>
    </row>
    <row r="1106" spans="1:8" ht="22" customHeight="1">
      <c r="A1106" s="1" t="str">
        <f>IF(AND('Loan Inputs'!$B$12,1100&lt;=IF('Loan Inputs'!$B$12,'Loan Inputs'!$B$7,0)*'Loan Inputs'!$B$14+0,ISNUMBER(G1105),G1105&gt;0),1100,"")</f>
        <v/>
      </c>
      <c r="B1106" s="4" t="str">
        <f>IF(A1106="","",IF('Loan Inputs'!$B$14=12,DATE(YEAR('Loan Inputs'!$B$8),MONTH('Loan Inputs'!$B$8)+A1106,DAY('Loan Inputs'!$B$8)),'Loan Inputs'!$B$8+A1106*IF('Loan Inputs'!$B$14=26,14,7)))</f>
        <v/>
      </c>
      <c r="C1106" s="2" t="str">
        <f t="shared" si="53"/>
        <v/>
      </c>
      <c r="D1106" s="2" t="str">
        <f>IF(A1106="","",MIN('Loan Inputs'!$B$17,C1106+E1106)+H1106)</f>
        <v/>
      </c>
      <c r="E1106" s="2" t="str">
        <f>IF(A1106="","",C1106*'Loan Inputs'!$B$15)</f>
        <v/>
      </c>
      <c r="F1106" s="2" t="str">
        <f t="shared" si="51"/>
        <v/>
      </c>
      <c r="G1106" s="2" t="str">
        <f t="shared" si="52"/>
        <v/>
      </c>
      <c r="H1106" s="2" t="str">
        <f>IF(A1106="","",MIN(0,MAX(0,C1106+E1106-'Loan Inputs'!$B$17)))</f>
        <v/>
      </c>
    </row>
    <row r="1107" spans="1:8" ht="22" customHeight="1">
      <c r="A1107" s="1" t="str">
        <f>IF(AND('Loan Inputs'!$B$12,1101&lt;=IF('Loan Inputs'!$B$12,'Loan Inputs'!$B$7,0)*'Loan Inputs'!$B$14+0,ISNUMBER(G1106),G1106&gt;0),1101,"")</f>
        <v/>
      </c>
      <c r="B1107" s="4" t="str">
        <f>IF(A1107="","",IF('Loan Inputs'!$B$14=12,DATE(YEAR('Loan Inputs'!$B$8),MONTH('Loan Inputs'!$B$8)+A1107,DAY('Loan Inputs'!$B$8)),'Loan Inputs'!$B$8+A1107*IF('Loan Inputs'!$B$14=26,14,7)))</f>
        <v/>
      </c>
      <c r="C1107" s="2" t="str">
        <f t="shared" si="53"/>
        <v/>
      </c>
      <c r="D1107" s="2" t="str">
        <f>IF(A1107="","",MIN('Loan Inputs'!$B$17,C1107+E1107)+H1107)</f>
        <v/>
      </c>
      <c r="E1107" s="2" t="str">
        <f>IF(A1107="","",C1107*'Loan Inputs'!$B$15)</f>
        <v/>
      </c>
      <c r="F1107" s="2" t="str">
        <f t="shared" si="51"/>
        <v/>
      </c>
      <c r="G1107" s="2" t="str">
        <f t="shared" si="52"/>
        <v/>
      </c>
      <c r="H1107" s="2" t="str">
        <f>IF(A1107="","",MIN(0,MAX(0,C1107+E1107-'Loan Inputs'!$B$17)))</f>
        <v/>
      </c>
    </row>
    <row r="1108" spans="1:8" ht="22" customHeight="1">
      <c r="A1108" s="1" t="str">
        <f>IF(AND('Loan Inputs'!$B$12,1102&lt;=IF('Loan Inputs'!$B$12,'Loan Inputs'!$B$7,0)*'Loan Inputs'!$B$14+0,ISNUMBER(G1107),G1107&gt;0),1102,"")</f>
        <v/>
      </c>
      <c r="B1108" s="4" t="str">
        <f>IF(A1108="","",IF('Loan Inputs'!$B$14=12,DATE(YEAR('Loan Inputs'!$B$8),MONTH('Loan Inputs'!$B$8)+A1108,DAY('Loan Inputs'!$B$8)),'Loan Inputs'!$B$8+A1108*IF('Loan Inputs'!$B$14=26,14,7)))</f>
        <v/>
      </c>
      <c r="C1108" s="2" t="str">
        <f t="shared" si="53"/>
        <v/>
      </c>
      <c r="D1108" s="2" t="str">
        <f>IF(A1108="","",MIN('Loan Inputs'!$B$17,C1108+E1108)+H1108)</f>
        <v/>
      </c>
      <c r="E1108" s="2" t="str">
        <f>IF(A1108="","",C1108*'Loan Inputs'!$B$15)</f>
        <v/>
      </c>
      <c r="F1108" s="2" t="str">
        <f t="shared" si="51"/>
        <v/>
      </c>
      <c r="G1108" s="2" t="str">
        <f t="shared" si="52"/>
        <v/>
      </c>
      <c r="H1108" s="2" t="str">
        <f>IF(A1108="","",MIN(0,MAX(0,C1108+E1108-'Loan Inputs'!$B$17)))</f>
        <v/>
      </c>
    </row>
    <row r="1109" spans="1:8" ht="22" customHeight="1">
      <c r="A1109" s="1" t="str">
        <f>IF(AND('Loan Inputs'!$B$12,1103&lt;=IF('Loan Inputs'!$B$12,'Loan Inputs'!$B$7,0)*'Loan Inputs'!$B$14+0,ISNUMBER(G1108),G1108&gt;0),1103,"")</f>
        <v/>
      </c>
      <c r="B1109" s="4" t="str">
        <f>IF(A1109="","",IF('Loan Inputs'!$B$14=12,DATE(YEAR('Loan Inputs'!$B$8),MONTH('Loan Inputs'!$B$8)+A1109,DAY('Loan Inputs'!$B$8)),'Loan Inputs'!$B$8+A1109*IF('Loan Inputs'!$B$14=26,14,7)))</f>
        <v/>
      </c>
      <c r="C1109" s="2" t="str">
        <f t="shared" si="53"/>
        <v/>
      </c>
      <c r="D1109" s="2" t="str">
        <f>IF(A1109="","",MIN('Loan Inputs'!$B$17,C1109+E1109)+H1109)</f>
        <v/>
      </c>
      <c r="E1109" s="2" t="str">
        <f>IF(A1109="","",C1109*'Loan Inputs'!$B$15)</f>
        <v/>
      </c>
      <c r="F1109" s="2" t="str">
        <f t="shared" si="51"/>
        <v/>
      </c>
      <c r="G1109" s="2" t="str">
        <f t="shared" si="52"/>
        <v/>
      </c>
      <c r="H1109" s="2" t="str">
        <f>IF(A1109="","",MIN(0,MAX(0,C1109+E1109-'Loan Inputs'!$B$17)))</f>
        <v/>
      </c>
    </row>
    <row r="1110" spans="1:8" ht="22" customHeight="1">
      <c r="A1110" s="1" t="str">
        <f>IF(AND('Loan Inputs'!$B$12,1104&lt;=IF('Loan Inputs'!$B$12,'Loan Inputs'!$B$7,0)*'Loan Inputs'!$B$14+0,ISNUMBER(G1109),G1109&gt;0),1104,"")</f>
        <v/>
      </c>
      <c r="B1110" s="4" t="str">
        <f>IF(A1110="","",IF('Loan Inputs'!$B$14=12,DATE(YEAR('Loan Inputs'!$B$8),MONTH('Loan Inputs'!$B$8)+A1110,DAY('Loan Inputs'!$B$8)),'Loan Inputs'!$B$8+A1110*IF('Loan Inputs'!$B$14=26,14,7)))</f>
        <v/>
      </c>
      <c r="C1110" s="2" t="str">
        <f t="shared" si="53"/>
        <v/>
      </c>
      <c r="D1110" s="2" t="str">
        <f>IF(A1110="","",MIN('Loan Inputs'!$B$17,C1110+E1110)+H1110)</f>
        <v/>
      </c>
      <c r="E1110" s="2" t="str">
        <f>IF(A1110="","",C1110*'Loan Inputs'!$B$15)</f>
        <v/>
      </c>
      <c r="F1110" s="2" t="str">
        <f t="shared" si="51"/>
        <v/>
      </c>
      <c r="G1110" s="2" t="str">
        <f t="shared" si="52"/>
        <v/>
      </c>
      <c r="H1110" s="2" t="str">
        <f>IF(A1110="","",MIN(0,MAX(0,C1110+E1110-'Loan Inputs'!$B$17)))</f>
        <v/>
      </c>
    </row>
    <row r="1111" spans="1:8" ht="22" customHeight="1">
      <c r="A1111" s="1" t="str">
        <f>IF(AND('Loan Inputs'!$B$12,1105&lt;=IF('Loan Inputs'!$B$12,'Loan Inputs'!$B$7,0)*'Loan Inputs'!$B$14+0,ISNUMBER(G1110),G1110&gt;0),1105,"")</f>
        <v/>
      </c>
      <c r="B1111" s="4" t="str">
        <f>IF(A1111="","",IF('Loan Inputs'!$B$14=12,DATE(YEAR('Loan Inputs'!$B$8),MONTH('Loan Inputs'!$B$8)+A1111,DAY('Loan Inputs'!$B$8)),'Loan Inputs'!$B$8+A1111*IF('Loan Inputs'!$B$14=26,14,7)))</f>
        <v/>
      </c>
      <c r="C1111" s="2" t="str">
        <f t="shared" si="53"/>
        <v/>
      </c>
      <c r="D1111" s="2" t="str">
        <f>IF(A1111="","",MIN('Loan Inputs'!$B$17,C1111+E1111)+H1111)</f>
        <v/>
      </c>
      <c r="E1111" s="2" t="str">
        <f>IF(A1111="","",C1111*'Loan Inputs'!$B$15)</f>
        <v/>
      </c>
      <c r="F1111" s="2" t="str">
        <f t="shared" si="51"/>
        <v/>
      </c>
      <c r="G1111" s="2" t="str">
        <f t="shared" si="52"/>
        <v/>
      </c>
      <c r="H1111" s="2" t="str">
        <f>IF(A1111="","",MIN(0,MAX(0,C1111+E1111-'Loan Inputs'!$B$17)))</f>
        <v/>
      </c>
    </row>
    <row r="1112" spans="1:8" ht="22" customHeight="1">
      <c r="A1112" s="1" t="str">
        <f>IF(AND('Loan Inputs'!$B$12,1106&lt;=IF('Loan Inputs'!$B$12,'Loan Inputs'!$B$7,0)*'Loan Inputs'!$B$14+0,ISNUMBER(G1111),G1111&gt;0),1106,"")</f>
        <v/>
      </c>
      <c r="B1112" s="4" t="str">
        <f>IF(A1112="","",IF('Loan Inputs'!$B$14=12,DATE(YEAR('Loan Inputs'!$B$8),MONTH('Loan Inputs'!$B$8)+A1112,DAY('Loan Inputs'!$B$8)),'Loan Inputs'!$B$8+A1112*IF('Loan Inputs'!$B$14=26,14,7)))</f>
        <v/>
      </c>
      <c r="C1112" s="2" t="str">
        <f t="shared" si="53"/>
        <v/>
      </c>
      <c r="D1112" s="2" t="str">
        <f>IF(A1112="","",MIN('Loan Inputs'!$B$17,C1112+E1112)+H1112)</f>
        <v/>
      </c>
      <c r="E1112" s="2" t="str">
        <f>IF(A1112="","",C1112*'Loan Inputs'!$B$15)</f>
        <v/>
      </c>
      <c r="F1112" s="2" t="str">
        <f t="shared" si="51"/>
        <v/>
      </c>
      <c r="G1112" s="2" t="str">
        <f t="shared" si="52"/>
        <v/>
      </c>
      <c r="H1112" s="2" t="str">
        <f>IF(A1112="","",MIN(0,MAX(0,C1112+E1112-'Loan Inputs'!$B$17)))</f>
        <v/>
      </c>
    </row>
    <row r="1113" spans="1:8" ht="22" customHeight="1">
      <c r="A1113" s="1" t="str">
        <f>IF(AND('Loan Inputs'!$B$12,1107&lt;=IF('Loan Inputs'!$B$12,'Loan Inputs'!$B$7,0)*'Loan Inputs'!$B$14+0,ISNUMBER(G1112),G1112&gt;0),1107,"")</f>
        <v/>
      </c>
      <c r="B1113" s="4" t="str">
        <f>IF(A1113="","",IF('Loan Inputs'!$B$14=12,DATE(YEAR('Loan Inputs'!$B$8),MONTH('Loan Inputs'!$B$8)+A1113,DAY('Loan Inputs'!$B$8)),'Loan Inputs'!$B$8+A1113*IF('Loan Inputs'!$B$14=26,14,7)))</f>
        <v/>
      </c>
      <c r="C1113" s="2" t="str">
        <f t="shared" si="53"/>
        <v/>
      </c>
      <c r="D1113" s="2" t="str">
        <f>IF(A1113="","",MIN('Loan Inputs'!$B$17,C1113+E1113)+H1113)</f>
        <v/>
      </c>
      <c r="E1113" s="2" t="str">
        <f>IF(A1113="","",C1113*'Loan Inputs'!$B$15)</f>
        <v/>
      </c>
      <c r="F1113" s="2" t="str">
        <f t="shared" si="51"/>
        <v/>
      </c>
      <c r="G1113" s="2" t="str">
        <f t="shared" si="52"/>
        <v/>
      </c>
      <c r="H1113" s="2" t="str">
        <f>IF(A1113="","",MIN(0,MAX(0,C1113+E1113-'Loan Inputs'!$B$17)))</f>
        <v/>
      </c>
    </row>
    <row r="1114" spans="1:8" ht="22" customHeight="1">
      <c r="A1114" s="1" t="str">
        <f>IF(AND('Loan Inputs'!$B$12,1108&lt;=IF('Loan Inputs'!$B$12,'Loan Inputs'!$B$7,0)*'Loan Inputs'!$B$14+0,ISNUMBER(G1113),G1113&gt;0),1108,"")</f>
        <v/>
      </c>
      <c r="B1114" s="4" t="str">
        <f>IF(A1114="","",IF('Loan Inputs'!$B$14=12,DATE(YEAR('Loan Inputs'!$B$8),MONTH('Loan Inputs'!$B$8)+A1114,DAY('Loan Inputs'!$B$8)),'Loan Inputs'!$B$8+A1114*IF('Loan Inputs'!$B$14=26,14,7)))</f>
        <v/>
      </c>
      <c r="C1114" s="2" t="str">
        <f t="shared" si="53"/>
        <v/>
      </c>
      <c r="D1114" s="2" t="str">
        <f>IF(A1114="","",MIN('Loan Inputs'!$B$17,C1114+E1114)+H1114)</f>
        <v/>
      </c>
      <c r="E1114" s="2" t="str">
        <f>IF(A1114="","",C1114*'Loan Inputs'!$B$15)</f>
        <v/>
      </c>
      <c r="F1114" s="2" t="str">
        <f t="shared" si="51"/>
        <v/>
      </c>
      <c r="G1114" s="2" t="str">
        <f t="shared" si="52"/>
        <v/>
      </c>
      <c r="H1114" s="2" t="str">
        <f>IF(A1114="","",MIN(0,MAX(0,C1114+E1114-'Loan Inputs'!$B$17)))</f>
        <v/>
      </c>
    </row>
    <row r="1115" spans="1:8" ht="22" customHeight="1">
      <c r="A1115" s="1" t="str">
        <f>IF(AND('Loan Inputs'!$B$12,1109&lt;=IF('Loan Inputs'!$B$12,'Loan Inputs'!$B$7,0)*'Loan Inputs'!$B$14+0,ISNUMBER(G1114),G1114&gt;0),1109,"")</f>
        <v/>
      </c>
      <c r="B1115" s="4" t="str">
        <f>IF(A1115="","",IF('Loan Inputs'!$B$14=12,DATE(YEAR('Loan Inputs'!$B$8),MONTH('Loan Inputs'!$B$8)+A1115,DAY('Loan Inputs'!$B$8)),'Loan Inputs'!$B$8+A1115*IF('Loan Inputs'!$B$14=26,14,7)))</f>
        <v/>
      </c>
      <c r="C1115" s="2" t="str">
        <f t="shared" si="53"/>
        <v/>
      </c>
      <c r="D1115" s="2" t="str">
        <f>IF(A1115="","",MIN('Loan Inputs'!$B$17,C1115+E1115)+H1115)</f>
        <v/>
      </c>
      <c r="E1115" s="2" t="str">
        <f>IF(A1115="","",C1115*'Loan Inputs'!$B$15)</f>
        <v/>
      </c>
      <c r="F1115" s="2" t="str">
        <f t="shared" si="51"/>
        <v/>
      </c>
      <c r="G1115" s="2" t="str">
        <f t="shared" si="52"/>
        <v/>
      </c>
      <c r="H1115" s="2" t="str">
        <f>IF(A1115="","",MIN(0,MAX(0,C1115+E1115-'Loan Inputs'!$B$17)))</f>
        <v/>
      </c>
    </row>
    <row r="1116" spans="1:8" ht="22" customHeight="1">
      <c r="A1116" s="1" t="str">
        <f>IF(AND('Loan Inputs'!$B$12,1110&lt;=IF('Loan Inputs'!$B$12,'Loan Inputs'!$B$7,0)*'Loan Inputs'!$B$14+0,ISNUMBER(G1115),G1115&gt;0),1110,"")</f>
        <v/>
      </c>
      <c r="B1116" s="4" t="str">
        <f>IF(A1116="","",IF('Loan Inputs'!$B$14=12,DATE(YEAR('Loan Inputs'!$B$8),MONTH('Loan Inputs'!$B$8)+A1116,DAY('Loan Inputs'!$B$8)),'Loan Inputs'!$B$8+A1116*IF('Loan Inputs'!$B$14=26,14,7)))</f>
        <v/>
      </c>
      <c r="C1116" s="2" t="str">
        <f t="shared" si="53"/>
        <v/>
      </c>
      <c r="D1116" s="2" t="str">
        <f>IF(A1116="","",MIN('Loan Inputs'!$B$17,C1116+E1116)+H1116)</f>
        <v/>
      </c>
      <c r="E1116" s="2" t="str">
        <f>IF(A1116="","",C1116*'Loan Inputs'!$B$15)</f>
        <v/>
      </c>
      <c r="F1116" s="2" t="str">
        <f t="shared" si="51"/>
        <v/>
      </c>
      <c r="G1116" s="2" t="str">
        <f t="shared" si="52"/>
        <v/>
      </c>
      <c r="H1116" s="2" t="str">
        <f>IF(A1116="","",MIN(0,MAX(0,C1116+E1116-'Loan Inputs'!$B$17)))</f>
        <v/>
      </c>
    </row>
    <row r="1117" spans="1:8" ht="22" customHeight="1">
      <c r="A1117" s="1" t="str">
        <f>IF(AND('Loan Inputs'!$B$12,1111&lt;=IF('Loan Inputs'!$B$12,'Loan Inputs'!$B$7,0)*'Loan Inputs'!$B$14+0,ISNUMBER(G1116),G1116&gt;0),1111,"")</f>
        <v/>
      </c>
      <c r="B1117" s="4" t="str">
        <f>IF(A1117="","",IF('Loan Inputs'!$B$14=12,DATE(YEAR('Loan Inputs'!$B$8),MONTH('Loan Inputs'!$B$8)+A1117,DAY('Loan Inputs'!$B$8)),'Loan Inputs'!$B$8+A1117*IF('Loan Inputs'!$B$14=26,14,7)))</f>
        <v/>
      </c>
      <c r="C1117" s="2" t="str">
        <f t="shared" si="53"/>
        <v/>
      </c>
      <c r="D1117" s="2" t="str">
        <f>IF(A1117="","",MIN('Loan Inputs'!$B$17,C1117+E1117)+H1117)</f>
        <v/>
      </c>
      <c r="E1117" s="2" t="str">
        <f>IF(A1117="","",C1117*'Loan Inputs'!$B$15)</f>
        <v/>
      </c>
      <c r="F1117" s="2" t="str">
        <f t="shared" si="51"/>
        <v/>
      </c>
      <c r="G1117" s="2" t="str">
        <f t="shared" si="52"/>
        <v/>
      </c>
      <c r="H1117" s="2" t="str">
        <f>IF(A1117="","",MIN(0,MAX(0,C1117+E1117-'Loan Inputs'!$B$17)))</f>
        <v/>
      </c>
    </row>
    <row r="1118" spans="1:8" ht="22" customHeight="1">
      <c r="A1118" s="1" t="str">
        <f>IF(AND('Loan Inputs'!$B$12,1112&lt;=IF('Loan Inputs'!$B$12,'Loan Inputs'!$B$7,0)*'Loan Inputs'!$B$14+0,ISNUMBER(G1117),G1117&gt;0),1112,"")</f>
        <v/>
      </c>
      <c r="B1118" s="4" t="str">
        <f>IF(A1118="","",IF('Loan Inputs'!$B$14=12,DATE(YEAR('Loan Inputs'!$B$8),MONTH('Loan Inputs'!$B$8)+A1118,DAY('Loan Inputs'!$B$8)),'Loan Inputs'!$B$8+A1118*IF('Loan Inputs'!$B$14=26,14,7)))</f>
        <v/>
      </c>
      <c r="C1118" s="2" t="str">
        <f t="shared" si="53"/>
        <v/>
      </c>
      <c r="D1118" s="2" t="str">
        <f>IF(A1118="","",MIN('Loan Inputs'!$B$17,C1118+E1118)+H1118)</f>
        <v/>
      </c>
      <c r="E1118" s="2" t="str">
        <f>IF(A1118="","",C1118*'Loan Inputs'!$B$15)</f>
        <v/>
      </c>
      <c r="F1118" s="2" t="str">
        <f t="shared" si="51"/>
        <v/>
      </c>
      <c r="G1118" s="2" t="str">
        <f t="shared" si="52"/>
        <v/>
      </c>
      <c r="H1118" s="2" t="str">
        <f>IF(A1118="","",MIN(0,MAX(0,C1118+E1118-'Loan Inputs'!$B$17)))</f>
        <v/>
      </c>
    </row>
    <row r="1119" spans="1:8" ht="22" customHeight="1">
      <c r="A1119" s="1" t="str">
        <f>IF(AND('Loan Inputs'!$B$12,1113&lt;=IF('Loan Inputs'!$B$12,'Loan Inputs'!$B$7,0)*'Loan Inputs'!$B$14+0,ISNUMBER(G1118),G1118&gt;0),1113,"")</f>
        <v/>
      </c>
      <c r="B1119" s="4" t="str">
        <f>IF(A1119="","",IF('Loan Inputs'!$B$14=12,DATE(YEAR('Loan Inputs'!$B$8),MONTH('Loan Inputs'!$B$8)+A1119,DAY('Loan Inputs'!$B$8)),'Loan Inputs'!$B$8+A1119*IF('Loan Inputs'!$B$14=26,14,7)))</f>
        <v/>
      </c>
      <c r="C1119" s="2" t="str">
        <f t="shared" si="53"/>
        <v/>
      </c>
      <c r="D1119" s="2" t="str">
        <f>IF(A1119="","",MIN('Loan Inputs'!$B$17,C1119+E1119)+H1119)</f>
        <v/>
      </c>
      <c r="E1119" s="2" t="str">
        <f>IF(A1119="","",C1119*'Loan Inputs'!$B$15)</f>
        <v/>
      </c>
      <c r="F1119" s="2" t="str">
        <f t="shared" si="51"/>
        <v/>
      </c>
      <c r="G1119" s="2" t="str">
        <f t="shared" si="52"/>
        <v/>
      </c>
      <c r="H1119" s="2" t="str">
        <f>IF(A1119="","",MIN(0,MAX(0,C1119+E1119-'Loan Inputs'!$B$17)))</f>
        <v/>
      </c>
    </row>
    <row r="1120" spans="1:8" ht="22" customHeight="1">
      <c r="A1120" s="1" t="str">
        <f>IF(AND('Loan Inputs'!$B$12,1114&lt;=IF('Loan Inputs'!$B$12,'Loan Inputs'!$B$7,0)*'Loan Inputs'!$B$14+0,ISNUMBER(G1119),G1119&gt;0),1114,"")</f>
        <v/>
      </c>
      <c r="B1120" s="4" t="str">
        <f>IF(A1120="","",IF('Loan Inputs'!$B$14=12,DATE(YEAR('Loan Inputs'!$B$8),MONTH('Loan Inputs'!$B$8)+A1120,DAY('Loan Inputs'!$B$8)),'Loan Inputs'!$B$8+A1120*IF('Loan Inputs'!$B$14=26,14,7)))</f>
        <v/>
      </c>
      <c r="C1120" s="2" t="str">
        <f t="shared" si="53"/>
        <v/>
      </c>
      <c r="D1120" s="2" t="str">
        <f>IF(A1120="","",MIN('Loan Inputs'!$B$17,C1120+E1120)+H1120)</f>
        <v/>
      </c>
      <c r="E1120" s="2" t="str">
        <f>IF(A1120="","",C1120*'Loan Inputs'!$B$15)</f>
        <v/>
      </c>
      <c r="F1120" s="2" t="str">
        <f t="shared" si="51"/>
        <v/>
      </c>
      <c r="G1120" s="2" t="str">
        <f t="shared" si="52"/>
        <v/>
      </c>
      <c r="H1120" s="2" t="str">
        <f>IF(A1120="","",MIN(0,MAX(0,C1120+E1120-'Loan Inputs'!$B$17)))</f>
        <v/>
      </c>
    </row>
    <row r="1121" spans="1:8" ht="22" customHeight="1">
      <c r="A1121" s="1" t="str">
        <f>IF(AND('Loan Inputs'!$B$12,1115&lt;=IF('Loan Inputs'!$B$12,'Loan Inputs'!$B$7,0)*'Loan Inputs'!$B$14+0,ISNUMBER(G1120),G1120&gt;0),1115,"")</f>
        <v/>
      </c>
      <c r="B1121" s="4" t="str">
        <f>IF(A1121="","",IF('Loan Inputs'!$B$14=12,DATE(YEAR('Loan Inputs'!$B$8),MONTH('Loan Inputs'!$B$8)+A1121,DAY('Loan Inputs'!$B$8)),'Loan Inputs'!$B$8+A1121*IF('Loan Inputs'!$B$14=26,14,7)))</f>
        <v/>
      </c>
      <c r="C1121" s="2" t="str">
        <f t="shared" si="53"/>
        <v/>
      </c>
      <c r="D1121" s="2" t="str">
        <f>IF(A1121="","",MIN('Loan Inputs'!$B$17,C1121+E1121)+H1121)</f>
        <v/>
      </c>
      <c r="E1121" s="2" t="str">
        <f>IF(A1121="","",C1121*'Loan Inputs'!$B$15)</f>
        <v/>
      </c>
      <c r="F1121" s="2" t="str">
        <f t="shared" si="51"/>
        <v/>
      </c>
      <c r="G1121" s="2" t="str">
        <f t="shared" si="52"/>
        <v/>
      </c>
      <c r="H1121" s="2" t="str">
        <f>IF(A1121="","",MIN(0,MAX(0,C1121+E1121-'Loan Inputs'!$B$17)))</f>
        <v/>
      </c>
    </row>
    <row r="1122" spans="1:8" ht="22" customHeight="1">
      <c r="A1122" s="1" t="str">
        <f>IF(AND('Loan Inputs'!$B$12,1116&lt;=IF('Loan Inputs'!$B$12,'Loan Inputs'!$B$7,0)*'Loan Inputs'!$B$14+0,ISNUMBER(G1121),G1121&gt;0),1116,"")</f>
        <v/>
      </c>
      <c r="B1122" s="4" t="str">
        <f>IF(A1122="","",IF('Loan Inputs'!$B$14=12,DATE(YEAR('Loan Inputs'!$B$8),MONTH('Loan Inputs'!$B$8)+A1122,DAY('Loan Inputs'!$B$8)),'Loan Inputs'!$B$8+A1122*IF('Loan Inputs'!$B$14=26,14,7)))</f>
        <v/>
      </c>
      <c r="C1122" s="2" t="str">
        <f t="shared" si="53"/>
        <v/>
      </c>
      <c r="D1122" s="2" t="str">
        <f>IF(A1122="","",MIN('Loan Inputs'!$B$17,C1122+E1122)+H1122)</f>
        <v/>
      </c>
      <c r="E1122" s="2" t="str">
        <f>IF(A1122="","",C1122*'Loan Inputs'!$B$15)</f>
        <v/>
      </c>
      <c r="F1122" s="2" t="str">
        <f t="shared" si="51"/>
        <v/>
      </c>
      <c r="G1122" s="2" t="str">
        <f t="shared" si="52"/>
        <v/>
      </c>
      <c r="H1122" s="2" t="str">
        <f>IF(A1122="","",MIN(0,MAX(0,C1122+E1122-'Loan Inputs'!$B$17)))</f>
        <v/>
      </c>
    </row>
    <row r="1123" spans="1:8" ht="22" customHeight="1">
      <c r="A1123" s="1" t="str">
        <f>IF(AND('Loan Inputs'!$B$12,1117&lt;=IF('Loan Inputs'!$B$12,'Loan Inputs'!$B$7,0)*'Loan Inputs'!$B$14+0,ISNUMBER(G1122),G1122&gt;0),1117,"")</f>
        <v/>
      </c>
      <c r="B1123" s="4" t="str">
        <f>IF(A1123="","",IF('Loan Inputs'!$B$14=12,DATE(YEAR('Loan Inputs'!$B$8),MONTH('Loan Inputs'!$B$8)+A1123,DAY('Loan Inputs'!$B$8)),'Loan Inputs'!$B$8+A1123*IF('Loan Inputs'!$B$14=26,14,7)))</f>
        <v/>
      </c>
      <c r="C1123" s="2" t="str">
        <f t="shared" si="53"/>
        <v/>
      </c>
      <c r="D1123" s="2" t="str">
        <f>IF(A1123="","",MIN('Loan Inputs'!$B$17,C1123+E1123)+H1123)</f>
        <v/>
      </c>
      <c r="E1123" s="2" t="str">
        <f>IF(A1123="","",C1123*'Loan Inputs'!$B$15)</f>
        <v/>
      </c>
      <c r="F1123" s="2" t="str">
        <f t="shared" si="51"/>
        <v/>
      </c>
      <c r="G1123" s="2" t="str">
        <f t="shared" si="52"/>
        <v/>
      </c>
      <c r="H1123" s="2" t="str">
        <f>IF(A1123="","",MIN(0,MAX(0,C1123+E1123-'Loan Inputs'!$B$17)))</f>
        <v/>
      </c>
    </row>
    <row r="1124" spans="1:8" ht="22" customHeight="1">
      <c r="A1124" s="1" t="str">
        <f>IF(AND('Loan Inputs'!$B$12,1118&lt;=IF('Loan Inputs'!$B$12,'Loan Inputs'!$B$7,0)*'Loan Inputs'!$B$14+0,ISNUMBER(G1123),G1123&gt;0),1118,"")</f>
        <v/>
      </c>
      <c r="B1124" s="4" t="str">
        <f>IF(A1124="","",IF('Loan Inputs'!$B$14=12,DATE(YEAR('Loan Inputs'!$B$8),MONTH('Loan Inputs'!$B$8)+A1124,DAY('Loan Inputs'!$B$8)),'Loan Inputs'!$B$8+A1124*IF('Loan Inputs'!$B$14=26,14,7)))</f>
        <v/>
      </c>
      <c r="C1124" s="2" t="str">
        <f t="shared" si="53"/>
        <v/>
      </c>
      <c r="D1124" s="2" t="str">
        <f>IF(A1124="","",MIN('Loan Inputs'!$B$17,C1124+E1124)+H1124)</f>
        <v/>
      </c>
      <c r="E1124" s="2" t="str">
        <f>IF(A1124="","",C1124*'Loan Inputs'!$B$15)</f>
        <v/>
      </c>
      <c r="F1124" s="2" t="str">
        <f t="shared" si="51"/>
        <v/>
      </c>
      <c r="G1124" s="2" t="str">
        <f t="shared" si="52"/>
        <v/>
      </c>
      <c r="H1124" s="2" t="str">
        <f>IF(A1124="","",MIN(0,MAX(0,C1124+E1124-'Loan Inputs'!$B$17)))</f>
        <v/>
      </c>
    </row>
    <row r="1125" spans="1:8" ht="22" customHeight="1">
      <c r="A1125" s="1" t="str">
        <f>IF(AND('Loan Inputs'!$B$12,1119&lt;=IF('Loan Inputs'!$B$12,'Loan Inputs'!$B$7,0)*'Loan Inputs'!$B$14+0,ISNUMBER(G1124),G1124&gt;0),1119,"")</f>
        <v/>
      </c>
      <c r="B1125" s="4" t="str">
        <f>IF(A1125="","",IF('Loan Inputs'!$B$14=12,DATE(YEAR('Loan Inputs'!$B$8),MONTH('Loan Inputs'!$B$8)+A1125,DAY('Loan Inputs'!$B$8)),'Loan Inputs'!$B$8+A1125*IF('Loan Inputs'!$B$14=26,14,7)))</f>
        <v/>
      </c>
      <c r="C1125" s="2" t="str">
        <f t="shared" si="53"/>
        <v/>
      </c>
      <c r="D1125" s="2" t="str">
        <f>IF(A1125="","",MIN('Loan Inputs'!$B$17,C1125+E1125)+H1125)</f>
        <v/>
      </c>
      <c r="E1125" s="2" t="str">
        <f>IF(A1125="","",C1125*'Loan Inputs'!$B$15)</f>
        <v/>
      </c>
      <c r="F1125" s="2" t="str">
        <f t="shared" si="51"/>
        <v/>
      </c>
      <c r="G1125" s="2" t="str">
        <f t="shared" si="52"/>
        <v/>
      </c>
      <c r="H1125" s="2" t="str">
        <f>IF(A1125="","",MIN(0,MAX(0,C1125+E1125-'Loan Inputs'!$B$17)))</f>
        <v/>
      </c>
    </row>
    <row r="1126" spans="1:8" ht="22" customHeight="1">
      <c r="A1126" s="1" t="str">
        <f>IF(AND('Loan Inputs'!$B$12,1120&lt;=IF('Loan Inputs'!$B$12,'Loan Inputs'!$B$7,0)*'Loan Inputs'!$B$14+0,ISNUMBER(G1125),G1125&gt;0),1120,"")</f>
        <v/>
      </c>
      <c r="B1126" s="4" t="str">
        <f>IF(A1126="","",IF('Loan Inputs'!$B$14=12,DATE(YEAR('Loan Inputs'!$B$8),MONTH('Loan Inputs'!$B$8)+A1126,DAY('Loan Inputs'!$B$8)),'Loan Inputs'!$B$8+A1126*IF('Loan Inputs'!$B$14=26,14,7)))</f>
        <v/>
      </c>
      <c r="C1126" s="2" t="str">
        <f t="shared" si="53"/>
        <v/>
      </c>
      <c r="D1126" s="2" t="str">
        <f>IF(A1126="","",MIN('Loan Inputs'!$B$17,C1126+E1126)+H1126)</f>
        <v/>
      </c>
      <c r="E1126" s="2" t="str">
        <f>IF(A1126="","",C1126*'Loan Inputs'!$B$15)</f>
        <v/>
      </c>
      <c r="F1126" s="2" t="str">
        <f t="shared" si="51"/>
        <v/>
      </c>
      <c r="G1126" s="2" t="str">
        <f t="shared" si="52"/>
        <v/>
      </c>
      <c r="H1126" s="2" t="str">
        <f>IF(A1126="","",MIN(0,MAX(0,C1126+E1126-'Loan Inputs'!$B$17)))</f>
        <v/>
      </c>
    </row>
    <row r="1127" spans="1:8" ht="22" customHeight="1">
      <c r="A1127" s="1" t="str">
        <f>IF(AND('Loan Inputs'!$B$12,1121&lt;=IF('Loan Inputs'!$B$12,'Loan Inputs'!$B$7,0)*'Loan Inputs'!$B$14+0,ISNUMBER(G1126),G1126&gt;0),1121,"")</f>
        <v/>
      </c>
      <c r="B1127" s="4" t="str">
        <f>IF(A1127="","",IF('Loan Inputs'!$B$14=12,DATE(YEAR('Loan Inputs'!$B$8),MONTH('Loan Inputs'!$B$8)+A1127,DAY('Loan Inputs'!$B$8)),'Loan Inputs'!$B$8+A1127*IF('Loan Inputs'!$B$14=26,14,7)))</f>
        <v/>
      </c>
      <c r="C1127" s="2" t="str">
        <f t="shared" si="53"/>
        <v/>
      </c>
      <c r="D1127" s="2" t="str">
        <f>IF(A1127="","",MIN('Loan Inputs'!$B$17,C1127+E1127)+H1127)</f>
        <v/>
      </c>
      <c r="E1127" s="2" t="str">
        <f>IF(A1127="","",C1127*'Loan Inputs'!$B$15)</f>
        <v/>
      </c>
      <c r="F1127" s="2" t="str">
        <f t="shared" si="51"/>
        <v/>
      </c>
      <c r="G1127" s="2" t="str">
        <f t="shared" si="52"/>
        <v/>
      </c>
      <c r="H1127" s="2" t="str">
        <f>IF(A1127="","",MIN(0,MAX(0,C1127+E1127-'Loan Inputs'!$B$17)))</f>
        <v/>
      </c>
    </row>
    <row r="1128" spans="1:8" ht="22" customHeight="1">
      <c r="A1128" s="1" t="str">
        <f>IF(AND('Loan Inputs'!$B$12,1122&lt;=IF('Loan Inputs'!$B$12,'Loan Inputs'!$B$7,0)*'Loan Inputs'!$B$14+0,ISNUMBER(G1127),G1127&gt;0),1122,"")</f>
        <v/>
      </c>
      <c r="B1128" s="4" t="str">
        <f>IF(A1128="","",IF('Loan Inputs'!$B$14=12,DATE(YEAR('Loan Inputs'!$B$8),MONTH('Loan Inputs'!$B$8)+A1128,DAY('Loan Inputs'!$B$8)),'Loan Inputs'!$B$8+A1128*IF('Loan Inputs'!$B$14=26,14,7)))</f>
        <v/>
      </c>
      <c r="C1128" s="2" t="str">
        <f t="shared" si="53"/>
        <v/>
      </c>
      <c r="D1128" s="2" t="str">
        <f>IF(A1128="","",MIN('Loan Inputs'!$B$17,C1128+E1128)+H1128)</f>
        <v/>
      </c>
      <c r="E1128" s="2" t="str">
        <f>IF(A1128="","",C1128*'Loan Inputs'!$B$15)</f>
        <v/>
      </c>
      <c r="F1128" s="2" t="str">
        <f t="shared" si="51"/>
        <v/>
      </c>
      <c r="G1128" s="2" t="str">
        <f t="shared" si="52"/>
        <v/>
      </c>
      <c r="H1128" s="2" t="str">
        <f>IF(A1128="","",MIN(0,MAX(0,C1128+E1128-'Loan Inputs'!$B$17)))</f>
        <v/>
      </c>
    </row>
    <row r="1129" spans="1:8" ht="22" customHeight="1">
      <c r="A1129" s="1" t="str">
        <f>IF(AND('Loan Inputs'!$B$12,1123&lt;=IF('Loan Inputs'!$B$12,'Loan Inputs'!$B$7,0)*'Loan Inputs'!$B$14+0,ISNUMBER(G1128),G1128&gt;0),1123,"")</f>
        <v/>
      </c>
      <c r="B1129" s="4" t="str">
        <f>IF(A1129="","",IF('Loan Inputs'!$B$14=12,DATE(YEAR('Loan Inputs'!$B$8),MONTH('Loan Inputs'!$B$8)+A1129,DAY('Loan Inputs'!$B$8)),'Loan Inputs'!$B$8+A1129*IF('Loan Inputs'!$B$14=26,14,7)))</f>
        <v/>
      </c>
      <c r="C1129" s="2" t="str">
        <f t="shared" si="53"/>
        <v/>
      </c>
      <c r="D1129" s="2" t="str">
        <f>IF(A1129="","",MIN('Loan Inputs'!$B$17,C1129+E1129)+H1129)</f>
        <v/>
      </c>
      <c r="E1129" s="2" t="str">
        <f>IF(A1129="","",C1129*'Loan Inputs'!$B$15)</f>
        <v/>
      </c>
      <c r="F1129" s="2" t="str">
        <f t="shared" si="51"/>
        <v/>
      </c>
      <c r="G1129" s="2" t="str">
        <f t="shared" si="52"/>
        <v/>
      </c>
      <c r="H1129" s="2" t="str">
        <f>IF(A1129="","",MIN(0,MAX(0,C1129+E1129-'Loan Inputs'!$B$17)))</f>
        <v/>
      </c>
    </row>
    <row r="1130" spans="1:8" ht="22" customHeight="1">
      <c r="A1130" s="1" t="str">
        <f>IF(AND('Loan Inputs'!$B$12,1124&lt;=IF('Loan Inputs'!$B$12,'Loan Inputs'!$B$7,0)*'Loan Inputs'!$B$14+0,ISNUMBER(G1129),G1129&gt;0),1124,"")</f>
        <v/>
      </c>
      <c r="B1130" s="4" t="str">
        <f>IF(A1130="","",IF('Loan Inputs'!$B$14=12,DATE(YEAR('Loan Inputs'!$B$8),MONTH('Loan Inputs'!$B$8)+A1130,DAY('Loan Inputs'!$B$8)),'Loan Inputs'!$B$8+A1130*IF('Loan Inputs'!$B$14=26,14,7)))</f>
        <v/>
      </c>
      <c r="C1130" s="2" t="str">
        <f t="shared" si="53"/>
        <v/>
      </c>
      <c r="D1130" s="2" t="str">
        <f>IF(A1130="","",MIN('Loan Inputs'!$B$17,C1130+E1130)+H1130)</f>
        <v/>
      </c>
      <c r="E1130" s="2" t="str">
        <f>IF(A1130="","",C1130*'Loan Inputs'!$B$15)</f>
        <v/>
      </c>
      <c r="F1130" s="2" t="str">
        <f t="shared" si="51"/>
        <v/>
      </c>
      <c r="G1130" s="2" t="str">
        <f t="shared" si="52"/>
        <v/>
      </c>
      <c r="H1130" s="2" t="str">
        <f>IF(A1130="","",MIN(0,MAX(0,C1130+E1130-'Loan Inputs'!$B$17)))</f>
        <v/>
      </c>
    </row>
    <row r="1131" spans="1:8" ht="22" customHeight="1">
      <c r="A1131" s="1" t="str">
        <f>IF(AND('Loan Inputs'!$B$12,1125&lt;=IF('Loan Inputs'!$B$12,'Loan Inputs'!$B$7,0)*'Loan Inputs'!$B$14+0,ISNUMBER(G1130),G1130&gt;0),1125,"")</f>
        <v/>
      </c>
      <c r="B1131" s="4" t="str">
        <f>IF(A1131="","",IF('Loan Inputs'!$B$14=12,DATE(YEAR('Loan Inputs'!$B$8),MONTH('Loan Inputs'!$B$8)+A1131,DAY('Loan Inputs'!$B$8)),'Loan Inputs'!$B$8+A1131*IF('Loan Inputs'!$B$14=26,14,7)))</f>
        <v/>
      </c>
      <c r="C1131" s="2" t="str">
        <f t="shared" si="53"/>
        <v/>
      </c>
      <c r="D1131" s="2" t="str">
        <f>IF(A1131="","",MIN('Loan Inputs'!$B$17,C1131+E1131)+H1131)</f>
        <v/>
      </c>
      <c r="E1131" s="2" t="str">
        <f>IF(A1131="","",C1131*'Loan Inputs'!$B$15)</f>
        <v/>
      </c>
      <c r="F1131" s="2" t="str">
        <f t="shared" si="51"/>
        <v/>
      </c>
      <c r="G1131" s="2" t="str">
        <f t="shared" si="52"/>
        <v/>
      </c>
      <c r="H1131" s="2" t="str">
        <f>IF(A1131="","",MIN(0,MAX(0,C1131+E1131-'Loan Inputs'!$B$17)))</f>
        <v/>
      </c>
    </row>
    <row r="1132" spans="1:8" ht="22" customHeight="1">
      <c r="A1132" s="1" t="str">
        <f>IF(AND('Loan Inputs'!$B$12,1126&lt;=IF('Loan Inputs'!$B$12,'Loan Inputs'!$B$7,0)*'Loan Inputs'!$B$14+0,ISNUMBER(G1131),G1131&gt;0),1126,"")</f>
        <v/>
      </c>
      <c r="B1132" s="4" t="str">
        <f>IF(A1132="","",IF('Loan Inputs'!$B$14=12,DATE(YEAR('Loan Inputs'!$B$8),MONTH('Loan Inputs'!$B$8)+A1132,DAY('Loan Inputs'!$B$8)),'Loan Inputs'!$B$8+A1132*IF('Loan Inputs'!$B$14=26,14,7)))</f>
        <v/>
      </c>
      <c r="C1132" s="2" t="str">
        <f t="shared" si="53"/>
        <v/>
      </c>
      <c r="D1132" s="2" t="str">
        <f>IF(A1132="","",MIN('Loan Inputs'!$B$17,C1132+E1132)+H1132)</f>
        <v/>
      </c>
      <c r="E1132" s="2" t="str">
        <f>IF(A1132="","",C1132*'Loan Inputs'!$B$15)</f>
        <v/>
      </c>
      <c r="F1132" s="2" t="str">
        <f t="shared" si="51"/>
        <v/>
      </c>
      <c r="G1132" s="2" t="str">
        <f t="shared" si="52"/>
        <v/>
      </c>
      <c r="H1132" s="2" t="str">
        <f>IF(A1132="","",MIN(0,MAX(0,C1132+E1132-'Loan Inputs'!$B$17)))</f>
        <v/>
      </c>
    </row>
    <row r="1133" spans="1:8" ht="22" customHeight="1">
      <c r="A1133" s="1" t="str">
        <f>IF(AND('Loan Inputs'!$B$12,1127&lt;=IF('Loan Inputs'!$B$12,'Loan Inputs'!$B$7,0)*'Loan Inputs'!$B$14+0,ISNUMBER(G1132),G1132&gt;0),1127,"")</f>
        <v/>
      </c>
      <c r="B1133" s="4" t="str">
        <f>IF(A1133="","",IF('Loan Inputs'!$B$14=12,DATE(YEAR('Loan Inputs'!$B$8),MONTH('Loan Inputs'!$B$8)+A1133,DAY('Loan Inputs'!$B$8)),'Loan Inputs'!$B$8+A1133*IF('Loan Inputs'!$B$14=26,14,7)))</f>
        <v/>
      </c>
      <c r="C1133" s="2" t="str">
        <f t="shared" si="53"/>
        <v/>
      </c>
      <c r="D1133" s="2" t="str">
        <f>IF(A1133="","",MIN('Loan Inputs'!$B$17,C1133+E1133)+H1133)</f>
        <v/>
      </c>
      <c r="E1133" s="2" t="str">
        <f>IF(A1133="","",C1133*'Loan Inputs'!$B$15)</f>
        <v/>
      </c>
      <c r="F1133" s="2" t="str">
        <f t="shared" si="51"/>
        <v/>
      </c>
      <c r="G1133" s="2" t="str">
        <f t="shared" si="52"/>
        <v/>
      </c>
      <c r="H1133" s="2" t="str">
        <f>IF(A1133="","",MIN(0,MAX(0,C1133+E1133-'Loan Inputs'!$B$17)))</f>
        <v/>
      </c>
    </row>
    <row r="1134" spans="1:8" ht="22" customHeight="1">
      <c r="A1134" s="1" t="str">
        <f>IF(AND('Loan Inputs'!$B$12,1128&lt;=IF('Loan Inputs'!$B$12,'Loan Inputs'!$B$7,0)*'Loan Inputs'!$B$14+0,ISNUMBER(G1133),G1133&gt;0),1128,"")</f>
        <v/>
      </c>
      <c r="B1134" s="4" t="str">
        <f>IF(A1134="","",IF('Loan Inputs'!$B$14=12,DATE(YEAR('Loan Inputs'!$B$8),MONTH('Loan Inputs'!$B$8)+A1134,DAY('Loan Inputs'!$B$8)),'Loan Inputs'!$B$8+A1134*IF('Loan Inputs'!$B$14=26,14,7)))</f>
        <v/>
      </c>
      <c r="C1134" s="2" t="str">
        <f t="shared" si="53"/>
        <v/>
      </c>
      <c r="D1134" s="2" t="str">
        <f>IF(A1134="","",MIN('Loan Inputs'!$B$17,C1134+E1134)+H1134)</f>
        <v/>
      </c>
      <c r="E1134" s="2" t="str">
        <f>IF(A1134="","",C1134*'Loan Inputs'!$B$15)</f>
        <v/>
      </c>
      <c r="F1134" s="2" t="str">
        <f t="shared" si="51"/>
        <v/>
      </c>
      <c r="G1134" s="2" t="str">
        <f t="shared" si="52"/>
        <v/>
      </c>
      <c r="H1134" s="2" t="str">
        <f>IF(A1134="","",MIN(0,MAX(0,C1134+E1134-'Loan Inputs'!$B$17)))</f>
        <v/>
      </c>
    </row>
    <row r="1135" spans="1:8" ht="22" customHeight="1">
      <c r="A1135" s="1" t="str">
        <f>IF(AND('Loan Inputs'!$B$12,1129&lt;=IF('Loan Inputs'!$B$12,'Loan Inputs'!$B$7,0)*'Loan Inputs'!$B$14+0,ISNUMBER(G1134),G1134&gt;0),1129,"")</f>
        <v/>
      </c>
      <c r="B1135" s="4" t="str">
        <f>IF(A1135="","",IF('Loan Inputs'!$B$14=12,DATE(YEAR('Loan Inputs'!$B$8),MONTH('Loan Inputs'!$B$8)+A1135,DAY('Loan Inputs'!$B$8)),'Loan Inputs'!$B$8+A1135*IF('Loan Inputs'!$B$14=26,14,7)))</f>
        <v/>
      </c>
      <c r="C1135" s="2" t="str">
        <f t="shared" si="53"/>
        <v/>
      </c>
      <c r="D1135" s="2" t="str">
        <f>IF(A1135="","",MIN('Loan Inputs'!$B$17,C1135+E1135)+H1135)</f>
        <v/>
      </c>
      <c r="E1135" s="2" t="str">
        <f>IF(A1135="","",C1135*'Loan Inputs'!$B$15)</f>
        <v/>
      </c>
      <c r="F1135" s="2" t="str">
        <f t="shared" si="51"/>
        <v/>
      </c>
      <c r="G1135" s="2" t="str">
        <f t="shared" si="52"/>
        <v/>
      </c>
      <c r="H1135" s="2" t="str">
        <f>IF(A1135="","",MIN(0,MAX(0,C1135+E1135-'Loan Inputs'!$B$17)))</f>
        <v/>
      </c>
    </row>
    <row r="1136" spans="1:8" ht="22" customHeight="1">
      <c r="A1136" s="1" t="str">
        <f>IF(AND('Loan Inputs'!$B$12,1130&lt;=IF('Loan Inputs'!$B$12,'Loan Inputs'!$B$7,0)*'Loan Inputs'!$B$14+0,ISNUMBER(G1135),G1135&gt;0),1130,"")</f>
        <v/>
      </c>
      <c r="B1136" s="4" t="str">
        <f>IF(A1136="","",IF('Loan Inputs'!$B$14=12,DATE(YEAR('Loan Inputs'!$B$8),MONTH('Loan Inputs'!$B$8)+A1136,DAY('Loan Inputs'!$B$8)),'Loan Inputs'!$B$8+A1136*IF('Loan Inputs'!$B$14=26,14,7)))</f>
        <v/>
      </c>
      <c r="C1136" s="2" t="str">
        <f t="shared" si="53"/>
        <v/>
      </c>
      <c r="D1136" s="2" t="str">
        <f>IF(A1136="","",MIN('Loan Inputs'!$B$17,C1136+E1136)+H1136)</f>
        <v/>
      </c>
      <c r="E1136" s="2" t="str">
        <f>IF(A1136="","",C1136*'Loan Inputs'!$B$15)</f>
        <v/>
      </c>
      <c r="F1136" s="2" t="str">
        <f t="shared" si="51"/>
        <v/>
      </c>
      <c r="G1136" s="2" t="str">
        <f t="shared" si="52"/>
        <v/>
      </c>
      <c r="H1136" s="2" t="str">
        <f>IF(A1136="","",MIN(0,MAX(0,C1136+E1136-'Loan Inputs'!$B$17)))</f>
        <v/>
      </c>
    </row>
    <row r="1137" spans="1:8" ht="22" customHeight="1">
      <c r="A1137" s="1" t="str">
        <f>IF(AND('Loan Inputs'!$B$12,1131&lt;=IF('Loan Inputs'!$B$12,'Loan Inputs'!$B$7,0)*'Loan Inputs'!$B$14+0,ISNUMBER(G1136),G1136&gt;0),1131,"")</f>
        <v/>
      </c>
      <c r="B1137" s="4" t="str">
        <f>IF(A1137="","",IF('Loan Inputs'!$B$14=12,DATE(YEAR('Loan Inputs'!$B$8),MONTH('Loan Inputs'!$B$8)+A1137,DAY('Loan Inputs'!$B$8)),'Loan Inputs'!$B$8+A1137*IF('Loan Inputs'!$B$14=26,14,7)))</f>
        <v/>
      </c>
      <c r="C1137" s="2" t="str">
        <f t="shared" si="53"/>
        <v/>
      </c>
      <c r="D1137" s="2" t="str">
        <f>IF(A1137="","",MIN('Loan Inputs'!$B$17,C1137+E1137)+H1137)</f>
        <v/>
      </c>
      <c r="E1137" s="2" t="str">
        <f>IF(A1137="","",C1137*'Loan Inputs'!$B$15)</f>
        <v/>
      </c>
      <c r="F1137" s="2" t="str">
        <f t="shared" si="51"/>
        <v/>
      </c>
      <c r="G1137" s="2" t="str">
        <f t="shared" si="52"/>
        <v/>
      </c>
      <c r="H1137" s="2" t="str">
        <f>IF(A1137="","",MIN(0,MAX(0,C1137+E1137-'Loan Inputs'!$B$17)))</f>
        <v/>
      </c>
    </row>
    <row r="1138" spans="1:8" ht="22" customHeight="1">
      <c r="A1138" s="1" t="str">
        <f>IF(AND('Loan Inputs'!$B$12,1132&lt;=IF('Loan Inputs'!$B$12,'Loan Inputs'!$B$7,0)*'Loan Inputs'!$B$14+0,ISNUMBER(G1137),G1137&gt;0),1132,"")</f>
        <v/>
      </c>
      <c r="B1138" s="4" t="str">
        <f>IF(A1138="","",IF('Loan Inputs'!$B$14=12,DATE(YEAR('Loan Inputs'!$B$8),MONTH('Loan Inputs'!$B$8)+A1138,DAY('Loan Inputs'!$B$8)),'Loan Inputs'!$B$8+A1138*IF('Loan Inputs'!$B$14=26,14,7)))</f>
        <v/>
      </c>
      <c r="C1138" s="2" t="str">
        <f t="shared" si="53"/>
        <v/>
      </c>
      <c r="D1138" s="2" t="str">
        <f>IF(A1138="","",MIN('Loan Inputs'!$B$17,C1138+E1138)+H1138)</f>
        <v/>
      </c>
      <c r="E1138" s="2" t="str">
        <f>IF(A1138="","",C1138*'Loan Inputs'!$B$15)</f>
        <v/>
      </c>
      <c r="F1138" s="2" t="str">
        <f t="shared" si="51"/>
        <v/>
      </c>
      <c r="G1138" s="2" t="str">
        <f t="shared" si="52"/>
        <v/>
      </c>
      <c r="H1138" s="2" t="str">
        <f>IF(A1138="","",MIN(0,MAX(0,C1138+E1138-'Loan Inputs'!$B$17)))</f>
        <v/>
      </c>
    </row>
    <row r="1139" spans="1:8" ht="22" customHeight="1">
      <c r="A1139" s="1" t="str">
        <f>IF(AND('Loan Inputs'!$B$12,1133&lt;=IF('Loan Inputs'!$B$12,'Loan Inputs'!$B$7,0)*'Loan Inputs'!$B$14+0,ISNUMBER(G1138),G1138&gt;0),1133,"")</f>
        <v/>
      </c>
      <c r="B1139" s="4" t="str">
        <f>IF(A1139="","",IF('Loan Inputs'!$B$14=12,DATE(YEAR('Loan Inputs'!$B$8),MONTH('Loan Inputs'!$B$8)+A1139,DAY('Loan Inputs'!$B$8)),'Loan Inputs'!$B$8+A1139*IF('Loan Inputs'!$B$14=26,14,7)))</f>
        <v/>
      </c>
      <c r="C1139" s="2" t="str">
        <f t="shared" si="53"/>
        <v/>
      </c>
      <c r="D1139" s="2" t="str">
        <f>IF(A1139="","",MIN('Loan Inputs'!$B$17,C1139+E1139)+H1139)</f>
        <v/>
      </c>
      <c r="E1139" s="2" t="str">
        <f>IF(A1139="","",C1139*'Loan Inputs'!$B$15)</f>
        <v/>
      </c>
      <c r="F1139" s="2" t="str">
        <f t="shared" si="51"/>
        <v/>
      </c>
      <c r="G1139" s="2" t="str">
        <f t="shared" si="52"/>
        <v/>
      </c>
      <c r="H1139" s="2" t="str">
        <f>IF(A1139="","",MIN(0,MAX(0,C1139+E1139-'Loan Inputs'!$B$17)))</f>
        <v/>
      </c>
    </row>
    <row r="1140" spans="1:8" ht="22" customHeight="1">
      <c r="A1140" s="1" t="str">
        <f>IF(AND('Loan Inputs'!$B$12,1134&lt;=IF('Loan Inputs'!$B$12,'Loan Inputs'!$B$7,0)*'Loan Inputs'!$B$14+0,ISNUMBER(G1139),G1139&gt;0),1134,"")</f>
        <v/>
      </c>
      <c r="B1140" s="4" t="str">
        <f>IF(A1140="","",IF('Loan Inputs'!$B$14=12,DATE(YEAR('Loan Inputs'!$B$8),MONTH('Loan Inputs'!$B$8)+A1140,DAY('Loan Inputs'!$B$8)),'Loan Inputs'!$B$8+A1140*IF('Loan Inputs'!$B$14=26,14,7)))</f>
        <v/>
      </c>
      <c r="C1140" s="2" t="str">
        <f t="shared" si="53"/>
        <v/>
      </c>
      <c r="D1140" s="2" t="str">
        <f>IF(A1140="","",MIN('Loan Inputs'!$B$17,C1140+E1140)+H1140)</f>
        <v/>
      </c>
      <c r="E1140" s="2" t="str">
        <f>IF(A1140="","",C1140*'Loan Inputs'!$B$15)</f>
        <v/>
      </c>
      <c r="F1140" s="2" t="str">
        <f t="shared" si="51"/>
        <v/>
      </c>
      <c r="G1140" s="2" t="str">
        <f t="shared" si="52"/>
        <v/>
      </c>
      <c r="H1140" s="2" t="str">
        <f>IF(A1140="","",MIN(0,MAX(0,C1140+E1140-'Loan Inputs'!$B$17)))</f>
        <v/>
      </c>
    </row>
    <row r="1141" spans="1:8" ht="22" customHeight="1">
      <c r="A1141" s="1" t="str">
        <f>IF(AND('Loan Inputs'!$B$12,1135&lt;=IF('Loan Inputs'!$B$12,'Loan Inputs'!$B$7,0)*'Loan Inputs'!$B$14+0,ISNUMBER(G1140),G1140&gt;0),1135,"")</f>
        <v/>
      </c>
      <c r="B1141" s="4" t="str">
        <f>IF(A1141="","",IF('Loan Inputs'!$B$14=12,DATE(YEAR('Loan Inputs'!$B$8),MONTH('Loan Inputs'!$B$8)+A1141,DAY('Loan Inputs'!$B$8)),'Loan Inputs'!$B$8+A1141*IF('Loan Inputs'!$B$14=26,14,7)))</f>
        <v/>
      </c>
      <c r="C1141" s="2" t="str">
        <f t="shared" si="53"/>
        <v/>
      </c>
      <c r="D1141" s="2" t="str">
        <f>IF(A1141="","",MIN('Loan Inputs'!$B$17,C1141+E1141)+H1141)</f>
        <v/>
      </c>
      <c r="E1141" s="2" t="str">
        <f>IF(A1141="","",C1141*'Loan Inputs'!$B$15)</f>
        <v/>
      </c>
      <c r="F1141" s="2" t="str">
        <f t="shared" si="51"/>
        <v/>
      </c>
      <c r="G1141" s="2" t="str">
        <f t="shared" si="52"/>
        <v/>
      </c>
      <c r="H1141" s="2" t="str">
        <f>IF(A1141="","",MIN(0,MAX(0,C1141+E1141-'Loan Inputs'!$B$17)))</f>
        <v/>
      </c>
    </row>
    <row r="1142" spans="1:8" ht="22" customHeight="1">
      <c r="A1142" s="1" t="str">
        <f>IF(AND('Loan Inputs'!$B$12,1136&lt;=IF('Loan Inputs'!$B$12,'Loan Inputs'!$B$7,0)*'Loan Inputs'!$B$14+0,ISNUMBER(G1141),G1141&gt;0),1136,"")</f>
        <v/>
      </c>
      <c r="B1142" s="4" t="str">
        <f>IF(A1142="","",IF('Loan Inputs'!$B$14=12,DATE(YEAR('Loan Inputs'!$B$8),MONTH('Loan Inputs'!$B$8)+A1142,DAY('Loan Inputs'!$B$8)),'Loan Inputs'!$B$8+A1142*IF('Loan Inputs'!$B$14=26,14,7)))</f>
        <v/>
      </c>
      <c r="C1142" s="2" t="str">
        <f t="shared" si="53"/>
        <v/>
      </c>
      <c r="D1142" s="2" t="str">
        <f>IF(A1142="","",MIN('Loan Inputs'!$B$17,C1142+E1142)+H1142)</f>
        <v/>
      </c>
      <c r="E1142" s="2" t="str">
        <f>IF(A1142="","",C1142*'Loan Inputs'!$B$15)</f>
        <v/>
      </c>
      <c r="F1142" s="2" t="str">
        <f t="shared" si="51"/>
        <v/>
      </c>
      <c r="G1142" s="2" t="str">
        <f t="shared" si="52"/>
        <v/>
      </c>
      <c r="H1142" s="2" t="str">
        <f>IF(A1142="","",MIN(0,MAX(0,C1142+E1142-'Loan Inputs'!$B$17)))</f>
        <v/>
      </c>
    </row>
    <row r="1143" spans="1:8" ht="22" customHeight="1">
      <c r="A1143" s="1" t="str">
        <f>IF(AND('Loan Inputs'!$B$12,1137&lt;=IF('Loan Inputs'!$B$12,'Loan Inputs'!$B$7,0)*'Loan Inputs'!$B$14+0,ISNUMBER(G1142),G1142&gt;0),1137,"")</f>
        <v/>
      </c>
      <c r="B1143" s="4" t="str">
        <f>IF(A1143="","",IF('Loan Inputs'!$B$14=12,DATE(YEAR('Loan Inputs'!$B$8),MONTH('Loan Inputs'!$B$8)+A1143,DAY('Loan Inputs'!$B$8)),'Loan Inputs'!$B$8+A1143*IF('Loan Inputs'!$B$14=26,14,7)))</f>
        <v/>
      </c>
      <c r="C1143" s="2" t="str">
        <f t="shared" si="53"/>
        <v/>
      </c>
      <c r="D1143" s="2" t="str">
        <f>IF(A1143="","",MIN('Loan Inputs'!$B$17,C1143+E1143)+H1143)</f>
        <v/>
      </c>
      <c r="E1143" s="2" t="str">
        <f>IF(A1143="","",C1143*'Loan Inputs'!$B$15)</f>
        <v/>
      </c>
      <c r="F1143" s="2" t="str">
        <f t="shared" si="51"/>
        <v/>
      </c>
      <c r="G1143" s="2" t="str">
        <f t="shared" si="52"/>
        <v/>
      </c>
      <c r="H1143" s="2" t="str">
        <f>IF(A1143="","",MIN(0,MAX(0,C1143+E1143-'Loan Inputs'!$B$17)))</f>
        <v/>
      </c>
    </row>
    <row r="1144" spans="1:8" ht="22" customHeight="1">
      <c r="A1144" s="1" t="str">
        <f>IF(AND('Loan Inputs'!$B$12,1138&lt;=IF('Loan Inputs'!$B$12,'Loan Inputs'!$B$7,0)*'Loan Inputs'!$B$14+0,ISNUMBER(G1143),G1143&gt;0),1138,"")</f>
        <v/>
      </c>
      <c r="B1144" s="4" t="str">
        <f>IF(A1144="","",IF('Loan Inputs'!$B$14=12,DATE(YEAR('Loan Inputs'!$B$8),MONTH('Loan Inputs'!$B$8)+A1144,DAY('Loan Inputs'!$B$8)),'Loan Inputs'!$B$8+A1144*IF('Loan Inputs'!$B$14=26,14,7)))</f>
        <v/>
      </c>
      <c r="C1144" s="2" t="str">
        <f t="shared" si="53"/>
        <v/>
      </c>
      <c r="D1144" s="2" t="str">
        <f>IF(A1144="","",MIN('Loan Inputs'!$B$17,C1144+E1144)+H1144)</f>
        <v/>
      </c>
      <c r="E1144" s="2" t="str">
        <f>IF(A1144="","",C1144*'Loan Inputs'!$B$15)</f>
        <v/>
      </c>
      <c r="F1144" s="2" t="str">
        <f t="shared" si="51"/>
        <v/>
      </c>
      <c r="G1144" s="2" t="str">
        <f t="shared" si="52"/>
        <v/>
      </c>
      <c r="H1144" s="2" t="str">
        <f>IF(A1144="","",MIN(0,MAX(0,C1144+E1144-'Loan Inputs'!$B$17)))</f>
        <v/>
      </c>
    </row>
    <row r="1145" spans="1:8" ht="22" customHeight="1">
      <c r="A1145" s="1" t="str">
        <f>IF(AND('Loan Inputs'!$B$12,1139&lt;=IF('Loan Inputs'!$B$12,'Loan Inputs'!$B$7,0)*'Loan Inputs'!$B$14+0,ISNUMBER(G1144),G1144&gt;0),1139,"")</f>
        <v/>
      </c>
      <c r="B1145" s="4" t="str">
        <f>IF(A1145="","",IF('Loan Inputs'!$B$14=12,DATE(YEAR('Loan Inputs'!$B$8),MONTH('Loan Inputs'!$B$8)+A1145,DAY('Loan Inputs'!$B$8)),'Loan Inputs'!$B$8+A1145*IF('Loan Inputs'!$B$14=26,14,7)))</f>
        <v/>
      </c>
      <c r="C1145" s="2" t="str">
        <f t="shared" si="53"/>
        <v/>
      </c>
      <c r="D1145" s="2" t="str">
        <f>IF(A1145="","",MIN('Loan Inputs'!$B$17,C1145+E1145)+H1145)</f>
        <v/>
      </c>
      <c r="E1145" s="2" t="str">
        <f>IF(A1145="","",C1145*'Loan Inputs'!$B$15)</f>
        <v/>
      </c>
      <c r="F1145" s="2" t="str">
        <f t="shared" si="51"/>
        <v/>
      </c>
      <c r="G1145" s="2" t="str">
        <f t="shared" si="52"/>
        <v/>
      </c>
      <c r="H1145" s="2" t="str">
        <f>IF(A1145="","",MIN(0,MAX(0,C1145+E1145-'Loan Inputs'!$B$17)))</f>
        <v/>
      </c>
    </row>
    <row r="1146" spans="1:8" ht="22" customHeight="1">
      <c r="A1146" s="1" t="str">
        <f>IF(AND('Loan Inputs'!$B$12,1140&lt;=IF('Loan Inputs'!$B$12,'Loan Inputs'!$B$7,0)*'Loan Inputs'!$B$14+0,ISNUMBER(G1145),G1145&gt;0),1140,"")</f>
        <v/>
      </c>
      <c r="B1146" s="4" t="str">
        <f>IF(A1146="","",IF('Loan Inputs'!$B$14=12,DATE(YEAR('Loan Inputs'!$B$8),MONTH('Loan Inputs'!$B$8)+A1146,DAY('Loan Inputs'!$B$8)),'Loan Inputs'!$B$8+A1146*IF('Loan Inputs'!$B$14=26,14,7)))</f>
        <v/>
      </c>
      <c r="C1146" s="2" t="str">
        <f t="shared" si="53"/>
        <v/>
      </c>
      <c r="D1146" s="2" t="str">
        <f>IF(A1146="","",MIN('Loan Inputs'!$B$17,C1146+E1146)+H1146)</f>
        <v/>
      </c>
      <c r="E1146" s="2" t="str">
        <f>IF(A1146="","",C1146*'Loan Inputs'!$B$15)</f>
        <v/>
      </c>
      <c r="F1146" s="2" t="str">
        <f t="shared" si="51"/>
        <v/>
      </c>
      <c r="G1146" s="2" t="str">
        <f t="shared" si="52"/>
        <v/>
      </c>
      <c r="H1146" s="2" t="str">
        <f>IF(A1146="","",MIN(0,MAX(0,C1146+E1146-'Loan Inputs'!$B$17)))</f>
        <v/>
      </c>
    </row>
    <row r="1147" spans="1:8" ht="22" customHeight="1">
      <c r="A1147" s="1" t="str">
        <f>IF(AND('Loan Inputs'!$B$12,1141&lt;=IF('Loan Inputs'!$B$12,'Loan Inputs'!$B$7,0)*'Loan Inputs'!$B$14+0,ISNUMBER(G1146),G1146&gt;0),1141,"")</f>
        <v/>
      </c>
      <c r="B1147" s="4" t="str">
        <f>IF(A1147="","",IF('Loan Inputs'!$B$14=12,DATE(YEAR('Loan Inputs'!$B$8),MONTH('Loan Inputs'!$B$8)+A1147,DAY('Loan Inputs'!$B$8)),'Loan Inputs'!$B$8+A1147*IF('Loan Inputs'!$B$14=26,14,7)))</f>
        <v/>
      </c>
      <c r="C1147" s="2" t="str">
        <f t="shared" si="53"/>
        <v/>
      </c>
      <c r="D1147" s="2" t="str">
        <f>IF(A1147="","",MIN('Loan Inputs'!$B$17,C1147+E1147)+H1147)</f>
        <v/>
      </c>
      <c r="E1147" s="2" t="str">
        <f>IF(A1147="","",C1147*'Loan Inputs'!$B$15)</f>
        <v/>
      </c>
      <c r="F1147" s="2" t="str">
        <f t="shared" si="51"/>
        <v/>
      </c>
      <c r="G1147" s="2" t="str">
        <f t="shared" si="52"/>
        <v/>
      </c>
      <c r="H1147" s="2" t="str">
        <f>IF(A1147="","",MIN(0,MAX(0,C1147+E1147-'Loan Inputs'!$B$17)))</f>
        <v/>
      </c>
    </row>
    <row r="1148" spans="1:8" ht="22" customHeight="1">
      <c r="A1148" s="1" t="str">
        <f>IF(AND('Loan Inputs'!$B$12,1142&lt;=IF('Loan Inputs'!$B$12,'Loan Inputs'!$B$7,0)*'Loan Inputs'!$B$14+0,ISNUMBER(G1147),G1147&gt;0),1142,"")</f>
        <v/>
      </c>
      <c r="B1148" s="4" t="str">
        <f>IF(A1148="","",IF('Loan Inputs'!$B$14=12,DATE(YEAR('Loan Inputs'!$B$8),MONTH('Loan Inputs'!$B$8)+A1148,DAY('Loan Inputs'!$B$8)),'Loan Inputs'!$B$8+A1148*IF('Loan Inputs'!$B$14=26,14,7)))</f>
        <v/>
      </c>
      <c r="C1148" s="2" t="str">
        <f t="shared" si="53"/>
        <v/>
      </c>
      <c r="D1148" s="2" t="str">
        <f>IF(A1148="","",MIN('Loan Inputs'!$B$17,C1148+E1148)+H1148)</f>
        <v/>
      </c>
      <c r="E1148" s="2" t="str">
        <f>IF(A1148="","",C1148*'Loan Inputs'!$B$15)</f>
        <v/>
      </c>
      <c r="F1148" s="2" t="str">
        <f t="shared" si="51"/>
        <v/>
      </c>
      <c r="G1148" s="2" t="str">
        <f t="shared" si="52"/>
        <v/>
      </c>
      <c r="H1148" s="2" t="str">
        <f>IF(A1148="","",MIN(0,MAX(0,C1148+E1148-'Loan Inputs'!$B$17)))</f>
        <v/>
      </c>
    </row>
    <row r="1149" spans="1:8" ht="22" customHeight="1">
      <c r="A1149" s="1" t="str">
        <f>IF(AND('Loan Inputs'!$B$12,1143&lt;=IF('Loan Inputs'!$B$12,'Loan Inputs'!$B$7,0)*'Loan Inputs'!$B$14+0,ISNUMBER(G1148),G1148&gt;0),1143,"")</f>
        <v/>
      </c>
      <c r="B1149" s="4" t="str">
        <f>IF(A1149="","",IF('Loan Inputs'!$B$14=12,DATE(YEAR('Loan Inputs'!$B$8),MONTH('Loan Inputs'!$B$8)+A1149,DAY('Loan Inputs'!$B$8)),'Loan Inputs'!$B$8+A1149*IF('Loan Inputs'!$B$14=26,14,7)))</f>
        <v/>
      </c>
      <c r="C1149" s="2" t="str">
        <f t="shared" si="53"/>
        <v/>
      </c>
      <c r="D1149" s="2" t="str">
        <f>IF(A1149="","",MIN('Loan Inputs'!$B$17,C1149+E1149)+H1149)</f>
        <v/>
      </c>
      <c r="E1149" s="2" t="str">
        <f>IF(A1149="","",C1149*'Loan Inputs'!$B$15)</f>
        <v/>
      </c>
      <c r="F1149" s="2" t="str">
        <f t="shared" si="51"/>
        <v/>
      </c>
      <c r="G1149" s="2" t="str">
        <f t="shared" si="52"/>
        <v/>
      </c>
      <c r="H1149" s="2" t="str">
        <f>IF(A1149="","",MIN(0,MAX(0,C1149+E1149-'Loan Inputs'!$B$17)))</f>
        <v/>
      </c>
    </row>
    <row r="1150" spans="1:8" ht="22" customHeight="1">
      <c r="A1150" s="1" t="str">
        <f>IF(AND('Loan Inputs'!$B$12,1144&lt;=IF('Loan Inputs'!$B$12,'Loan Inputs'!$B$7,0)*'Loan Inputs'!$B$14+0,ISNUMBER(G1149),G1149&gt;0),1144,"")</f>
        <v/>
      </c>
      <c r="B1150" s="4" t="str">
        <f>IF(A1150="","",IF('Loan Inputs'!$B$14=12,DATE(YEAR('Loan Inputs'!$B$8),MONTH('Loan Inputs'!$B$8)+A1150,DAY('Loan Inputs'!$B$8)),'Loan Inputs'!$B$8+A1150*IF('Loan Inputs'!$B$14=26,14,7)))</f>
        <v/>
      </c>
      <c r="C1150" s="2" t="str">
        <f t="shared" si="53"/>
        <v/>
      </c>
      <c r="D1150" s="2" t="str">
        <f>IF(A1150="","",MIN('Loan Inputs'!$B$17,C1150+E1150)+H1150)</f>
        <v/>
      </c>
      <c r="E1150" s="2" t="str">
        <f>IF(A1150="","",C1150*'Loan Inputs'!$B$15)</f>
        <v/>
      </c>
      <c r="F1150" s="2" t="str">
        <f t="shared" si="51"/>
        <v/>
      </c>
      <c r="G1150" s="2" t="str">
        <f t="shared" si="52"/>
        <v/>
      </c>
      <c r="H1150" s="2" t="str">
        <f>IF(A1150="","",MIN(0,MAX(0,C1150+E1150-'Loan Inputs'!$B$17)))</f>
        <v/>
      </c>
    </row>
    <row r="1151" spans="1:8" ht="22" customHeight="1">
      <c r="A1151" s="1" t="str">
        <f>IF(AND('Loan Inputs'!$B$12,1145&lt;=IF('Loan Inputs'!$B$12,'Loan Inputs'!$B$7,0)*'Loan Inputs'!$B$14+0,ISNUMBER(G1150),G1150&gt;0),1145,"")</f>
        <v/>
      </c>
      <c r="B1151" s="4" t="str">
        <f>IF(A1151="","",IF('Loan Inputs'!$B$14=12,DATE(YEAR('Loan Inputs'!$B$8),MONTH('Loan Inputs'!$B$8)+A1151,DAY('Loan Inputs'!$B$8)),'Loan Inputs'!$B$8+A1151*IF('Loan Inputs'!$B$14=26,14,7)))</f>
        <v/>
      </c>
      <c r="C1151" s="2" t="str">
        <f t="shared" si="53"/>
        <v/>
      </c>
      <c r="D1151" s="2" t="str">
        <f>IF(A1151="","",MIN('Loan Inputs'!$B$17,C1151+E1151)+H1151)</f>
        <v/>
      </c>
      <c r="E1151" s="2" t="str">
        <f>IF(A1151="","",C1151*'Loan Inputs'!$B$15)</f>
        <v/>
      </c>
      <c r="F1151" s="2" t="str">
        <f t="shared" si="51"/>
        <v/>
      </c>
      <c r="G1151" s="2" t="str">
        <f t="shared" si="52"/>
        <v/>
      </c>
      <c r="H1151" s="2" t="str">
        <f>IF(A1151="","",MIN(0,MAX(0,C1151+E1151-'Loan Inputs'!$B$17)))</f>
        <v/>
      </c>
    </row>
    <row r="1152" spans="1:8" ht="22" customHeight="1">
      <c r="A1152" s="1" t="str">
        <f>IF(AND('Loan Inputs'!$B$12,1146&lt;=IF('Loan Inputs'!$B$12,'Loan Inputs'!$B$7,0)*'Loan Inputs'!$B$14+0,ISNUMBER(G1151),G1151&gt;0),1146,"")</f>
        <v/>
      </c>
      <c r="B1152" s="4" t="str">
        <f>IF(A1152="","",IF('Loan Inputs'!$B$14=12,DATE(YEAR('Loan Inputs'!$B$8),MONTH('Loan Inputs'!$B$8)+A1152,DAY('Loan Inputs'!$B$8)),'Loan Inputs'!$B$8+A1152*IF('Loan Inputs'!$B$14=26,14,7)))</f>
        <v/>
      </c>
      <c r="C1152" s="2" t="str">
        <f t="shared" si="53"/>
        <v/>
      </c>
      <c r="D1152" s="2" t="str">
        <f>IF(A1152="","",MIN('Loan Inputs'!$B$17,C1152+E1152)+H1152)</f>
        <v/>
      </c>
      <c r="E1152" s="2" t="str">
        <f>IF(A1152="","",C1152*'Loan Inputs'!$B$15)</f>
        <v/>
      </c>
      <c r="F1152" s="2" t="str">
        <f t="shared" si="51"/>
        <v/>
      </c>
      <c r="G1152" s="2" t="str">
        <f t="shared" si="52"/>
        <v/>
      </c>
      <c r="H1152" s="2" t="str">
        <f>IF(A1152="","",MIN(0,MAX(0,C1152+E1152-'Loan Inputs'!$B$17)))</f>
        <v/>
      </c>
    </row>
    <row r="1153" spans="1:8" ht="22" customHeight="1">
      <c r="A1153" s="1" t="str">
        <f>IF(AND('Loan Inputs'!$B$12,1147&lt;=IF('Loan Inputs'!$B$12,'Loan Inputs'!$B$7,0)*'Loan Inputs'!$B$14+0,ISNUMBER(G1152),G1152&gt;0),1147,"")</f>
        <v/>
      </c>
      <c r="B1153" s="4" t="str">
        <f>IF(A1153="","",IF('Loan Inputs'!$B$14=12,DATE(YEAR('Loan Inputs'!$B$8),MONTH('Loan Inputs'!$B$8)+A1153,DAY('Loan Inputs'!$B$8)),'Loan Inputs'!$B$8+A1153*IF('Loan Inputs'!$B$14=26,14,7)))</f>
        <v/>
      </c>
      <c r="C1153" s="2" t="str">
        <f t="shared" si="53"/>
        <v/>
      </c>
      <c r="D1153" s="2" t="str">
        <f>IF(A1153="","",MIN('Loan Inputs'!$B$17,C1153+E1153)+H1153)</f>
        <v/>
      </c>
      <c r="E1153" s="2" t="str">
        <f>IF(A1153="","",C1153*'Loan Inputs'!$B$15)</f>
        <v/>
      </c>
      <c r="F1153" s="2" t="str">
        <f t="shared" si="51"/>
        <v/>
      </c>
      <c r="G1153" s="2" t="str">
        <f t="shared" si="52"/>
        <v/>
      </c>
      <c r="H1153" s="2" t="str">
        <f>IF(A1153="","",MIN(0,MAX(0,C1153+E1153-'Loan Inputs'!$B$17)))</f>
        <v/>
      </c>
    </row>
    <row r="1154" spans="1:8" ht="22" customHeight="1">
      <c r="A1154" s="1" t="str">
        <f>IF(AND('Loan Inputs'!$B$12,1148&lt;=IF('Loan Inputs'!$B$12,'Loan Inputs'!$B$7,0)*'Loan Inputs'!$B$14+0,ISNUMBER(G1153),G1153&gt;0),1148,"")</f>
        <v/>
      </c>
      <c r="B1154" s="4" t="str">
        <f>IF(A1154="","",IF('Loan Inputs'!$B$14=12,DATE(YEAR('Loan Inputs'!$B$8),MONTH('Loan Inputs'!$B$8)+A1154,DAY('Loan Inputs'!$B$8)),'Loan Inputs'!$B$8+A1154*IF('Loan Inputs'!$B$14=26,14,7)))</f>
        <v/>
      </c>
      <c r="C1154" s="2" t="str">
        <f t="shared" si="53"/>
        <v/>
      </c>
      <c r="D1154" s="2" t="str">
        <f>IF(A1154="","",MIN('Loan Inputs'!$B$17,C1154+E1154)+H1154)</f>
        <v/>
      </c>
      <c r="E1154" s="2" t="str">
        <f>IF(A1154="","",C1154*'Loan Inputs'!$B$15)</f>
        <v/>
      </c>
      <c r="F1154" s="2" t="str">
        <f t="shared" si="51"/>
        <v/>
      </c>
      <c r="G1154" s="2" t="str">
        <f t="shared" si="52"/>
        <v/>
      </c>
      <c r="H1154" s="2" t="str">
        <f>IF(A1154="","",MIN(0,MAX(0,C1154+E1154-'Loan Inputs'!$B$17)))</f>
        <v/>
      </c>
    </row>
    <row r="1155" spans="1:8" ht="22" customHeight="1">
      <c r="A1155" s="1" t="str">
        <f>IF(AND('Loan Inputs'!$B$12,1149&lt;=IF('Loan Inputs'!$B$12,'Loan Inputs'!$B$7,0)*'Loan Inputs'!$B$14+0,ISNUMBER(G1154),G1154&gt;0),1149,"")</f>
        <v/>
      </c>
      <c r="B1155" s="4" t="str">
        <f>IF(A1155="","",IF('Loan Inputs'!$B$14=12,DATE(YEAR('Loan Inputs'!$B$8),MONTH('Loan Inputs'!$B$8)+A1155,DAY('Loan Inputs'!$B$8)),'Loan Inputs'!$B$8+A1155*IF('Loan Inputs'!$B$14=26,14,7)))</f>
        <v/>
      </c>
      <c r="C1155" s="2" t="str">
        <f t="shared" si="53"/>
        <v/>
      </c>
      <c r="D1155" s="2" t="str">
        <f>IF(A1155="","",MIN('Loan Inputs'!$B$17,C1155+E1155)+H1155)</f>
        <v/>
      </c>
      <c r="E1155" s="2" t="str">
        <f>IF(A1155="","",C1155*'Loan Inputs'!$B$15)</f>
        <v/>
      </c>
      <c r="F1155" s="2" t="str">
        <f t="shared" si="51"/>
        <v/>
      </c>
      <c r="G1155" s="2" t="str">
        <f t="shared" si="52"/>
        <v/>
      </c>
      <c r="H1155" s="2" t="str">
        <f>IF(A1155="","",MIN(0,MAX(0,C1155+E1155-'Loan Inputs'!$B$17)))</f>
        <v/>
      </c>
    </row>
    <row r="1156" spans="1:8" ht="22" customHeight="1">
      <c r="A1156" s="1" t="str">
        <f>IF(AND('Loan Inputs'!$B$12,1150&lt;=IF('Loan Inputs'!$B$12,'Loan Inputs'!$B$7,0)*'Loan Inputs'!$B$14+0,ISNUMBER(G1155),G1155&gt;0),1150,"")</f>
        <v/>
      </c>
      <c r="B1156" s="4" t="str">
        <f>IF(A1156="","",IF('Loan Inputs'!$B$14=12,DATE(YEAR('Loan Inputs'!$B$8),MONTH('Loan Inputs'!$B$8)+A1156,DAY('Loan Inputs'!$B$8)),'Loan Inputs'!$B$8+A1156*IF('Loan Inputs'!$B$14=26,14,7)))</f>
        <v/>
      </c>
      <c r="C1156" s="2" t="str">
        <f t="shared" si="53"/>
        <v/>
      </c>
      <c r="D1156" s="2" t="str">
        <f>IF(A1156="","",MIN('Loan Inputs'!$B$17,C1156+E1156)+H1156)</f>
        <v/>
      </c>
      <c r="E1156" s="2" t="str">
        <f>IF(A1156="","",C1156*'Loan Inputs'!$B$15)</f>
        <v/>
      </c>
      <c r="F1156" s="2" t="str">
        <f t="shared" si="51"/>
        <v/>
      </c>
      <c r="G1156" s="2" t="str">
        <f t="shared" si="52"/>
        <v/>
      </c>
      <c r="H1156" s="2" t="str">
        <f>IF(A1156="","",MIN(0,MAX(0,C1156+E1156-'Loan Inputs'!$B$17)))</f>
        <v/>
      </c>
    </row>
    <row r="1157" spans="1:8" ht="22" customHeight="1">
      <c r="A1157" s="1" t="str">
        <f>IF(AND('Loan Inputs'!$B$12,1151&lt;=IF('Loan Inputs'!$B$12,'Loan Inputs'!$B$7,0)*'Loan Inputs'!$B$14+0,ISNUMBER(G1156),G1156&gt;0),1151,"")</f>
        <v/>
      </c>
      <c r="B1157" s="4" t="str">
        <f>IF(A1157="","",IF('Loan Inputs'!$B$14=12,DATE(YEAR('Loan Inputs'!$B$8),MONTH('Loan Inputs'!$B$8)+A1157,DAY('Loan Inputs'!$B$8)),'Loan Inputs'!$B$8+A1157*IF('Loan Inputs'!$B$14=26,14,7)))</f>
        <v/>
      </c>
      <c r="C1157" s="2" t="str">
        <f t="shared" si="53"/>
        <v/>
      </c>
      <c r="D1157" s="2" t="str">
        <f>IF(A1157="","",MIN('Loan Inputs'!$B$17,C1157+E1157)+H1157)</f>
        <v/>
      </c>
      <c r="E1157" s="2" t="str">
        <f>IF(A1157="","",C1157*'Loan Inputs'!$B$15)</f>
        <v/>
      </c>
      <c r="F1157" s="2" t="str">
        <f t="shared" si="51"/>
        <v/>
      </c>
      <c r="G1157" s="2" t="str">
        <f t="shared" si="52"/>
        <v/>
      </c>
      <c r="H1157" s="2" t="str">
        <f>IF(A1157="","",MIN(0,MAX(0,C1157+E1157-'Loan Inputs'!$B$17)))</f>
        <v/>
      </c>
    </row>
    <row r="1158" spans="1:8" ht="22" customHeight="1">
      <c r="A1158" s="1" t="str">
        <f>IF(AND('Loan Inputs'!$B$12,1152&lt;=IF('Loan Inputs'!$B$12,'Loan Inputs'!$B$7,0)*'Loan Inputs'!$B$14+0,ISNUMBER(G1157),G1157&gt;0),1152,"")</f>
        <v/>
      </c>
      <c r="B1158" s="4" t="str">
        <f>IF(A1158="","",IF('Loan Inputs'!$B$14=12,DATE(YEAR('Loan Inputs'!$B$8),MONTH('Loan Inputs'!$B$8)+A1158,DAY('Loan Inputs'!$B$8)),'Loan Inputs'!$B$8+A1158*IF('Loan Inputs'!$B$14=26,14,7)))</f>
        <v/>
      </c>
      <c r="C1158" s="2" t="str">
        <f t="shared" si="53"/>
        <v/>
      </c>
      <c r="D1158" s="2" t="str">
        <f>IF(A1158="","",MIN('Loan Inputs'!$B$17,C1158+E1158)+H1158)</f>
        <v/>
      </c>
      <c r="E1158" s="2" t="str">
        <f>IF(A1158="","",C1158*'Loan Inputs'!$B$15)</f>
        <v/>
      </c>
      <c r="F1158" s="2" t="str">
        <f t="shared" si="51"/>
        <v/>
      </c>
      <c r="G1158" s="2" t="str">
        <f t="shared" si="52"/>
        <v/>
      </c>
      <c r="H1158" s="2" t="str">
        <f>IF(A1158="","",MIN(0,MAX(0,C1158+E1158-'Loan Inputs'!$B$17)))</f>
        <v/>
      </c>
    </row>
    <row r="1159" spans="1:8" ht="22" customHeight="1">
      <c r="A1159" s="1" t="str">
        <f>IF(AND('Loan Inputs'!$B$12,1153&lt;=IF('Loan Inputs'!$B$12,'Loan Inputs'!$B$7,0)*'Loan Inputs'!$B$14+0,ISNUMBER(G1158),G1158&gt;0),1153,"")</f>
        <v/>
      </c>
      <c r="B1159" s="4" t="str">
        <f>IF(A1159="","",IF('Loan Inputs'!$B$14=12,DATE(YEAR('Loan Inputs'!$B$8),MONTH('Loan Inputs'!$B$8)+A1159,DAY('Loan Inputs'!$B$8)),'Loan Inputs'!$B$8+A1159*IF('Loan Inputs'!$B$14=26,14,7)))</f>
        <v/>
      </c>
      <c r="C1159" s="2" t="str">
        <f t="shared" si="53"/>
        <v/>
      </c>
      <c r="D1159" s="2" t="str">
        <f>IF(A1159="","",MIN('Loan Inputs'!$B$17,C1159+E1159)+H1159)</f>
        <v/>
      </c>
      <c r="E1159" s="2" t="str">
        <f>IF(A1159="","",C1159*'Loan Inputs'!$B$15)</f>
        <v/>
      </c>
      <c r="F1159" s="2" t="str">
        <f t="shared" ref="F1159:F1222" si="54">IF(A1159="","",MIN(C1159,D1159-E1159))</f>
        <v/>
      </c>
      <c r="G1159" s="2" t="str">
        <f t="shared" ref="G1159:G1222" si="55">IF(A1159="","",IF(C1159-F1159&lt;0.01,0,MAX(0,C1159-F1159)))</f>
        <v/>
      </c>
      <c r="H1159" s="2" t="str">
        <f>IF(A1159="","",MIN(0,MAX(0,C1159+E1159-'Loan Inputs'!$B$17)))</f>
        <v/>
      </c>
    </row>
    <row r="1160" spans="1:8" ht="22" customHeight="1">
      <c r="A1160" s="1" t="str">
        <f>IF(AND('Loan Inputs'!$B$12,1154&lt;=IF('Loan Inputs'!$B$12,'Loan Inputs'!$B$7,0)*'Loan Inputs'!$B$14+0,ISNUMBER(G1159),G1159&gt;0),1154,"")</f>
        <v/>
      </c>
      <c r="B1160" s="4" t="str">
        <f>IF(A1160="","",IF('Loan Inputs'!$B$14=12,DATE(YEAR('Loan Inputs'!$B$8),MONTH('Loan Inputs'!$B$8)+A1160,DAY('Loan Inputs'!$B$8)),'Loan Inputs'!$B$8+A1160*IF('Loan Inputs'!$B$14=26,14,7)))</f>
        <v/>
      </c>
      <c r="C1160" s="2" t="str">
        <f t="shared" ref="C1160:C1223" si="56">IF(A1160="","",G1159)</f>
        <v/>
      </c>
      <c r="D1160" s="2" t="str">
        <f>IF(A1160="","",MIN('Loan Inputs'!$B$17,C1160+E1160)+H1160)</f>
        <v/>
      </c>
      <c r="E1160" s="2" t="str">
        <f>IF(A1160="","",C1160*'Loan Inputs'!$B$15)</f>
        <v/>
      </c>
      <c r="F1160" s="2" t="str">
        <f t="shared" si="54"/>
        <v/>
      </c>
      <c r="G1160" s="2" t="str">
        <f t="shared" si="55"/>
        <v/>
      </c>
      <c r="H1160" s="2" t="str">
        <f>IF(A1160="","",MIN(0,MAX(0,C1160+E1160-'Loan Inputs'!$B$17)))</f>
        <v/>
      </c>
    </row>
    <row r="1161" spans="1:8" ht="22" customHeight="1">
      <c r="A1161" s="1" t="str">
        <f>IF(AND('Loan Inputs'!$B$12,1155&lt;=IF('Loan Inputs'!$B$12,'Loan Inputs'!$B$7,0)*'Loan Inputs'!$B$14+0,ISNUMBER(G1160),G1160&gt;0),1155,"")</f>
        <v/>
      </c>
      <c r="B1161" s="4" t="str">
        <f>IF(A1161="","",IF('Loan Inputs'!$B$14=12,DATE(YEAR('Loan Inputs'!$B$8),MONTH('Loan Inputs'!$B$8)+A1161,DAY('Loan Inputs'!$B$8)),'Loan Inputs'!$B$8+A1161*IF('Loan Inputs'!$B$14=26,14,7)))</f>
        <v/>
      </c>
      <c r="C1161" s="2" t="str">
        <f t="shared" si="56"/>
        <v/>
      </c>
      <c r="D1161" s="2" t="str">
        <f>IF(A1161="","",MIN('Loan Inputs'!$B$17,C1161+E1161)+H1161)</f>
        <v/>
      </c>
      <c r="E1161" s="2" t="str">
        <f>IF(A1161="","",C1161*'Loan Inputs'!$B$15)</f>
        <v/>
      </c>
      <c r="F1161" s="2" t="str">
        <f t="shared" si="54"/>
        <v/>
      </c>
      <c r="G1161" s="2" t="str">
        <f t="shared" si="55"/>
        <v/>
      </c>
      <c r="H1161" s="2" t="str">
        <f>IF(A1161="","",MIN(0,MAX(0,C1161+E1161-'Loan Inputs'!$B$17)))</f>
        <v/>
      </c>
    </row>
    <row r="1162" spans="1:8" ht="22" customHeight="1">
      <c r="A1162" s="1" t="str">
        <f>IF(AND('Loan Inputs'!$B$12,1156&lt;=IF('Loan Inputs'!$B$12,'Loan Inputs'!$B$7,0)*'Loan Inputs'!$B$14+0,ISNUMBER(G1161),G1161&gt;0),1156,"")</f>
        <v/>
      </c>
      <c r="B1162" s="4" t="str">
        <f>IF(A1162="","",IF('Loan Inputs'!$B$14=12,DATE(YEAR('Loan Inputs'!$B$8),MONTH('Loan Inputs'!$B$8)+A1162,DAY('Loan Inputs'!$B$8)),'Loan Inputs'!$B$8+A1162*IF('Loan Inputs'!$B$14=26,14,7)))</f>
        <v/>
      </c>
      <c r="C1162" s="2" t="str">
        <f t="shared" si="56"/>
        <v/>
      </c>
      <c r="D1162" s="2" t="str">
        <f>IF(A1162="","",MIN('Loan Inputs'!$B$17,C1162+E1162)+H1162)</f>
        <v/>
      </c>
      <c r="E1162" s="2" t="str">
        <f>IF(A1162="","",C1162*'Loan Inputs'!$B$15)</f>
        <v/>
      </c>
      <c r="F1162" s="2" t="str">
        <f t="shared" si="54"/>
        <v/>
      </c>
      <c r="G1162" s="2" t="str">
        <f t="shared" si="55"/>
        <v/>
      </c>
      <c r="H1162" s="2" t="str">
        <f>IF(A1162="","",MIN(0,MAX(0,C1162+E1162-'Loan Inputs'!$B$17)))</f>
        <v/>
      </c>
    </row>
    <row r="1163" spans="1:8" ht="22" customHeight="1">
      <c r="A1163" s="1" t="str">
        <f>IF(AND('Loan Inputs'!$B$12,1157&lt;=IF('Loan Inputs'!$B$12,'Loan Inputs'!$B$7,0)*'Loan Inputs'!$B$14+0,ISNUMBER(G1162),G1162&gt;0),1157,"")</f>
        <v/>
      </c>
      <c r="B1163" s="4" t="str">
        <f>IF(A1163="","",IF('Loan Inputs'!$B$14=12,DATE(YEAR('Loan Inputs'!$B$8),MONTH('Loan Inputs'!$B$8)+A1163,DAY('Loan Inputs'!$B$8)),'Loan Inputs'!$B$8+A1163*IF('Loan Inputs'!$B$14=26,14,7)))</f>
        <v/>
      </c>
      <c r="C1163" s="2" t="str">
        <f t="shared" si="56"/>
        <v/>
      </c>
      <c r="D1163" s="2" t="str">
        <f>IF(A1163="","",MIN('Loan Inputs'!$B$17,C1163+E1163)+H1163)</f>
        <v/>
      </c>
      <c r="E1163" s="2" t="str">
        <f>IF(A1163="","",C1163*'Loan Inputs'!$B$15)</f>
        <v/>
      </c>
      <c r="F1163" s="2" t="str">
        <f t="shared" si="54"/>
        <v/>
      </c>
      <c r="G1163" s="2" t="str">
        <f t="shared" si="55"/>
        <v/>
      </c>
      <c r="H1163" s="2" t="str">
        <f>IF(A1163="","",MIN(0,MAX(0,C1163+E1163-'Loan Inputs'!$B$17)))</f>
        <v/>
      </c>
    </row>
    <row r="1164" spans="1:8" ht="22" customHeight="1">
      <c r="A1164" s="1" t="str">
        <f>IF(AND('Loan Inputs'!$B$12,1158&lt;=IF('Loan Inputs'!$B$12,'Loan Inputs'!$B$7,0)*'Loan Inputs'!$B$14+0,ISNUMBER(G1163),G1163&gt;0),1158,"")</f>
        <v/>
      </c>
      <c r="B1164" s="4" t="str">
        <f>IF(A1164="","",IF('Loan Inputs'!$B$14=12,DATE(YEAR('Loan Inputs'!$B$8),MONTH('Loan Inputs'!$B$8)+A1164,DAY('Loan Inputs'!$B$8)),'Loan Inputs'!$B$8+A1164*IF('Loan Inputs'!$B$14=26,14,7)))</f>
        <v/>
      </c>
      <c r="C1164" s="2" t="str">
        <f t="shared" si="56"/>
        <v/>
      </c>
      <c r="D1164" s="2" t="str">
        <f>IF(A1164="","",MIN('Loan Inputs'!$B$17,C1164+E1164)+H1164)</f>
        <v/>
      </c>
      <c r="E1164" s="2" t="str">
        <f>IF(A1164="","",C1164*'Loan Inputs'!$B$15)</f>
        <v/>
      </c>
      <c r="F1164" s="2" t="str">
        <f t="shared" si="54"/>
        <v/>
      </c>
      <c r="G1164" s="2" t="str">
        <f t="shared" si="55"/>
        <v/>
      </c>
      <c r="H1164" s="2" t="str">
        <f>IF(A1164="","",MIN(0,MAX(0,C1164+E1164-'Loan Inputs'!$B$17)))</f>
        <v/>
      </c>
    </row>
    <row r="1165" spans="1:8" ht="22" customHeight="1">
      <c r="A1165" s="1" t="str">
        <f>IF(AND('Loan Inputs'!$B$12,1159&lt;=IF('Loan Inputs'!$B$12,'Loan Inputs'!$B$7,0)*'Loan Inputs'!$B$14+0,ISNUMBER(G1164),G1164&gt;0),1159,"")</f>
        <v/>
      </c>
      <c r="B1165" s="4" t="str">
        <f>IF(A1165="","",IF('Loan Inputs'!$B$14=12,DATE(YEAR('Loan Inputs'!$B$8),MONTH('Loan Inputs'!$B$8)+A1165,DAY('Loan Inputs'!$B$8)),'Loan Inputs'!$B$8+A1165*IF('Loan Inputs'!$B$14=26,14,7)))</f>
        <v/>
      </c>
      <c r="C1165" s="2" t="str">
        <f t="shared" si="56"/>
        <v/>
      </c>
      <c r="D1165" s="2" t="str">
        <f>IF(A1165="","",MIN('Loan Inputs'!$B$17,C1165+E1165)+H1165)</f>
        <v/>
      </c>
      <c r="E1165" s="2" t="str">
        <f>IF(A1165="","",C1165*'Loan Inputs'!$B$15)</f>
        <v/>
      </c>
      <c r="F1165" s="2" t="str">
        <f t="shared" si="54"/>
        <v/>
      </c>
      <c r="G1165" s="2" t="str">
        <f t="shared" si="55"/>
        <v/>
      </c>
      <c r="H1165" s="2" t="str">
        <f>IF(A1165="","",MIN(0,MAX(0,C1165+E1165-'Loan Inputs'!$B$17)))</f>
        <v/>
      </c>
    </row>
    <row r="1166" spans="1:8" ht="22" customHeight="1">
      <c r="A1166" s="1" t="str">
        <f>IF(AND('Loan Inputs'!$B$12,1160&lt;=IF('Loan Inputs'!$B$12,'Loan Inputs'!$B$7,0)*'Loan Inputs'!$B$14+0,ISNUMBER(G1165),G1165&gt;0),1160,"")</f>
        <v/>
      </c>
      <c r="B1166" s="4" t="str">
        <f>IF(A1166="","",IF('Loan Inputs'!$B$14=12,DATE(YEAR('Loan Inputs'!$B$8),MONTH('Loan Inputs'!$B$8)+A1166,DAY('Loan Inputs'!$B$8)),'Loan Inputs'!$B$8+A1166*IF('Loan Inputs'!$B$14=26,14,7)))</f>
        <v/>
      </c>
      <c r="C1166" s="2" t="str">
        <f t="shared" si="56"/>
        <v/>
      </c>
      <c r="D1166" s="2" t="str">
        <f>IF(A1166="","",MIN('Loan Inputs'!$B$17,C1166+E1166)+H1166)</f>
        <v/>
      </c>
      <c r="E1166" s="2" t="str">
        <f>IF(A1166="","",C1166*'Loan Inputs'!$B$15)</f>
        <v/>
      </c>
      <c r="F1166" s="2" t="str">
        <f t="shared" si="54"/>
        <v/>
      </c>
      <c r="G1166" s="2" t="str">
        <f t="shared" si="55"/>
        <v/>
      </c>
      <c r="H1166" s="2" t="str">
        <f>IF(A1166="","",MIN(0,MAX(0,C1166+E1166-'Loan Inputs'!$B$17)))</f>
        <v/>
      </c>
    </row>
    <row r="1167" spans="1:8" ht="22" customHeight="1">
      <c r="A1167" s="1" t="str">
        <f>IF(AND('Loan Inputs'!$B$12,1161&lt;=IF('Loan Inputs'!$B$12,'Loan Inputs'!$B$7,0)*'Loan Inputs'!$B$14+0,ISNUMBER(G1166),G1166&gt;0),1161,"")</f>
        <v/>
      </c>
      <c r="B1167" s="4" t="str">
        <f>IF(A1167="","",IF('Loan Inputs'!$B$14=12,DATE(YEAR('Loan Inputs'!$B$8),MONTH('Loan Inputs'!$B$8)+A1167,DAY('Loan Inputs'!$B$8)),'Loan Inputs'!$B$8+A1167*IF('Loan Inputs'!$B$14=26,14,7)))</f>
        <v/>
      </c>
      <c r="C1167" s="2" t="str">
        <f t="shared" si="56"/>
        <v/>
      </c>
      <c r="D1167" s="2" t="str">
        <f>IF(A1167="","",MIN('Loan Inputs'!$B$17,C1167+E1167)+H1167)</f>
        <v/>
      </c>
      <c r="E1167" s="2" t="str">
        <f>IF(A1167="","",C1167*'Loan Inputs'!$B$15)</f>
        <v/>
      </c>
      <c r="F1167" s="2" t="str">
        <f t="shared" si="54"/>
        <v/>
      </c>
      <c r="G1167" s="2" t="str">
        <f t="shared" si="55"/>
        <v/>
      </c>
      <c r="H1167" s="2" t="str">
        <f>IF(A1167="","",MIN(0,MAX(0,C1167+E1167-'Loan Inputs'!$B$17)))</f>
        <v/>
      </c>
    </row>
    <row r="1168" spans="1:8" ht="22" customHeight="1">
      <c r="A1168" s="1" t="str">
        <f>IF(AND('Loan Inputs'!$B$12,1162&lt;=IF('Loan Inputs'!$B$12,'Loan Inputs'!$B$7,0)*'Loan Inputs'!$B$14+0,ISNUMBER(G1167),G1167&gt;0),1162,"")</f>
        <v/>
      </c>
      <c r="B1168" s="4" t="str">
        <f>IF(A1168="","",IF('Loan Inputs'!$B$14=12,DATE(YEAR('Loan Inputs'!$B$8),MONTH('Loan Inputs'!$B$8)+A1168,DAY('Loan Inputs'!$B$8)),'Loan Inputs'!$B$8+A1168*IF('Loan Inputs'!$B$14=26,14,7)))</f>
        <v/>
      </c>
      <c r="C1168" s="2" t="str">
        <f t="shared" si="56"/>
        <v/>
      </c>
      <c r="D1168" s="2" t="str">
        <f>IF(A1168="","",MIN('Loan Inputs'!$B$17,C1168+E1168)+H1168)</f>
        <v/>
      </c>
      <c r="E1168" s="2" t="str">
        <f>IF(A1168="","",C1168*'Loan Inputs'!$B$15)</f>
        <v/>
      </c>
      <c r="F1168" s="2" t="str">
        <f t="shared" si="54"/>
        <v/>
      </c>
      <c r="G1168" s="2" t="str">
        <f t="shared" si="55"/>
        <v/>
      </c>
      <c r="H1168" s="2" t="str">
        <f>IF(A1168="","",MIN(0,MAX(0,C1168+E1168-'Loan Inputs'!$B$17)))</f>
        <v/>
      </c>
    </row>
    <row r="1169" spans="1:8" ht="22" customHeight="1">
      <c r="A1169" s="1" t="str">
        <f>IF(AND('Loan Inputs'!$B$12,1163&lt;=IF('Loan Inputs'!$B$12,'Loan Inputs'!$B$7,0)*'Loan Inputs'!$B$14+0,ISNUMBER(G1168),G1168&gt;0),1163,"")</f>
        <v/>
      </c>
      <c r="B1169" s="4" t="str">
        <f>IF(A1169="","",IF('Loan Inputs'!$B$14=12,DATE(YEAR('Loan Inputs'!$B$8),MONTH('Loan Inputs'!$B$8)+A1169,DAY('Loan Inputs'!$B$8)),'Loan Inputs'!$B$8+A1169*IF('Loan Inputs'!$B$14=26,14,7)))</f>
        <v/>
      </c>
      <c r="C1169" s="2" t="str">
        <f t="shared" si="56"/>
        <v/>
      </c>
      <c r="D1169" s="2" t="str">
        <f>IF(A1169="","",MIN('Loan Inputs'!$B$17,C1169+E1169)+H1169)</f>
        <v/>
      </c>
      <c r="E1169" s="2" t="str">
        <f>IF(A1169="","",C1169*'Loan Inputs'!$B$15)</f>
        <v/>
      </c>
      <c r="F1169" s="2" t="str">
        <f t="shared" si="54"/>
        <v/>
      </c>
      <c r="G1169" s="2" t="str">
        <f t="shared" si="55"/>
        <v/>
      </c>
      <c r="H1169" s="2" t="str">
        <f>IF(A1169="","",MIN(0,MAX(0,C1169+E1169-'Loan Inputs'!$B$17)))</f>
        <v/>
      </c>
    </row>
    <row r="1170" spans="1:8" ht="22" customHeight="1">
      <c r="A1170" s="1" t="str">
        <f>IF(AND('Loan Inputs'!$B$12,1164&lt;=IF('Loan Inputs'!$B$12,'Loan Inputs'!$B$7,0)*'Loan Inputs'!$B$14+0,ISNUMBER(G1169),G1169&gt;0),1164,"")</f>
        <v/>
      </c>
      <c r="B1170" s="4" t="str">
        <f>IF(A1170="","",IF('Loan Inputs'!$B$14=12,DATE(YEAR('Loan Inputs'!$B$8),MONTH('Loan Inputs'!$B$8)+A1170,DAY('Loan Inputs'!$B$8)),'Loan Inputs'!$B$8+A1170*IF('Loan Inputs'!$B$14=26,14,7)))</f>
        <v/>
      </c>
      <c r="C1170" s="2" t="str">
        <f t="shared" si="56"/>
        <v/>
      </c>
      <c r="D1170" s="2" t="str">
        <f>IF(A1170="","",MIN('Loan Inputs'!$B$17,C1170+E1170)+H1170)</f>
        <v/>
      </c>
      <c r="E1170" s="2" t="str">
        <f>IF(A1170="","",C1170*'Loan Inputs'!$B$15)</f>
        <v/>
      </c>
      <c r="F1170" s="2" t="str">
        <f t="shared" si="54"/>
        <v/>
      </c>
      <c r="G1170" s="2" t="str">
        <f t="shared" si="55"/>
        <v/>
      </c>
      <c r="H1170" s="2" t="str">
        <f>IF(A1170="","",MIN(0,MAX(0,C1170+E1170-'Loan Inputs'!$B$17)))</f>
        <v/>
      </c>
    </row>
    <row r="1171" spans="1:8" ht="22" customHeight="1">
      <c r="A1171" s="1" t="str">
        <f>IF(AND('Loan Inputs'!$B$12,1165&lt;=IF('Loan Inputs'!$B$12,'Loan Inputs'!$B$7,0)*'Loan Inputs'!$B$14+0,ISNUMBER(G1170),G1170&gt;0),1165,"")</f>
        <v/>
      </c>
      <c r="B1171" s="4" t="str">
        <f>IF(A1171="","",IF('Loan Inputs'!$B$14=12,DATE(YEAR('Loan Inputs'!$B$8),MONTH('Loan Inputs'!$B$8)+A1171,DAY('Loan Inputs'!$B$8)),'Loan Inputs'!$B$8+A1171*IF('Loan Inputs'!$B$14=26,14,7)))</f>
        <v/>
      </c>
      <c r="C1171" s="2" t="str">
        <f t="shared" si="56"/>
        <v/>
      </c>
      <c r="D1171" s="2" t="str">
        <f>IF(A1171="","",MIN('Loan Inputs'!$B$17,C1171+E1171)+H1171)</f>
        <v/>
      </c>
      <c r="E1171" s="2" t="str">
        <f>IF(A1171="","",C1171*'Loan Inputs'!$B$15)</f>
        <v/>
      </c>
      <c r="F1171" s="2" t="str">
        <f t="shared" si="54"/>
        <v/>
      </c>
      <c r="G1171" s="2" t="str">
        <f t="shared" si="55"/>
        <v/>
      </c>
      <c r="H1171" s="2" t="str">
        <f>IF(A1171="","",MIN(0,MAX(0,C1171+E1171-'Loan Inputs'!$B$17)))</f>
        <v/>
      </c>
    </row>
    <row r="1172" spans="1:8" ht="22" customHeight="1">
      <c r="A1172" s="1" t="str">
        <f>IF(AND('Loan Inputs'!$B$12,1166&lt;=IF('Loan Inputs'!$B$12,'Loan Inputs'!$B$7,0)*'Loan Inputs'!$B$14+0,ISNUMBER(G1171),G1171&gt;0),1166,"")</f>
        <v/>
      </c>
      <c r="B1172" s="4" t="str">
        <f>IF(A1172="","",IF('Loan Inputs'!$B$14=12,DATE(YEAR('Loan Inputs'!$B$8),MONTH('Loan Inputs'!$B$8)+A1172,DAY('Loan Inputs'!$B$8)),'Loan Inputs'!$B$8+A1172*IF('Loan Inputs'!$B$14=26,14,7)))</f>
        <v/>
      </c>
      <c r="C1172" s="2" t="str">
        <f t="shared" si="56"/>
        <v/>
      </c>
      <c r="D1172" s="2" t="str">
        <f>IF(A1172="","",MIN('Loan Inputs'!$B$17,C1172+E1172)+H1172)</f>
        <v/>
      </c>
      <c r="E1172" s="2" t="str">
        <f>IF(A1172="","",C1172*'Loan Inputs'!$B$15)</f>
        <v/>
      </c>
      <c r="F1172" s="2" t="str">
        <f t="shared" si="54"/>
        <v/>
      </c>
      <c r="G1172" s="2" t="str">
        <f t="shared" si="55"/>
        <v/>
      </c>
      <c r="H1172" s="2" t="str">
        <f>IF(A1172="","",MIN(0,MAX(0,C1172+E1172-'Loan Inputs'!$B$17)))</f>
        <v/>
      </c>
    </row>
    <row r="1173" spans="1:8" ht="22" customHeight="1">
      <c r="A1173" s="1" t="str">
        <f>IF(AND('Loan Inputs'!$B$12,1167&lt;=IF('Loan Inputs'!$B$12,'Loan Inputs'!$B$7,0)*'Loan Inputs'!$B$14+0,ISNUMBER(G1172),G1172&gt;0),1167,"")</f>
        <v/>
      </c>
      <c r="B1173" s="4" t="str">
        <f>IF(A1173="","",IF('Loan Inputs'!$B$14=12,DATE(YEAR('Loan Inputs'!$B$8),MONTH('Loan Inputs'!$B$8)+A1173,DAY('Loan Inputs'!$B$8)),'Loan Inputs'!$B$8+A1173*IF('Loan Inputs'!$B$14=26,14,7)))</f>
        <v/>
      </c>
      <c r="C1173" s="2" t="str">
        <f t="shared" si="56"/>
        <v/>
      </c>
      <c r="D1173" s="2" t="str">
        <f>IF(A1173="","",MIN('Loan Inputs'!$B$17,C1173+E1173)+H1173)</f>
        <v/>
      </c>
      <c r="E1173" s="2" t="str">
        <f>IF(A1173="","",C1173*'Loan Inputs'!$B$15)</f>
        <v/>
      </c>
      <c r="F1173" s="2" t="str">
        <f t="shared" si="54"/>
        <v/>
      </c>
      <c r="G1173" s="2" t="str">
        <f t="shared" si="55"/>
        <v/>
      </c>
      <c r="H1173" s="2" t="str">
        <f>IF(A1173="","",MIN(0,MAX(0,C1173+E1173-'Loan Inputs'!$B$17)))</f>
        <v/>
      </c>
    </row>
    <row r="1174" spans="1:8" ht="22" customHeight="1">
      <c r="A1174" s="1" t="str">
        <f>IF(AND('Loan Inputs'!$B$12,1168&lt;=IF('Loan Inputs'!$B$12,'Loan Inputs'!$B$7,0)*'Loan Inputs'!$B$14+0,ISNUMBER(G1173),G1173&gt;0),1168,"")</f>
        <v/>
      </c>
      <c r="B1174" s="4" t="str">
        <f>IF(A1174="","",IF('Loan Inputs'!$B$14=12,DATE(YEAR('Loan Inputs'!$B$8),MONTH('Loan Inputs'!$B$8)+A1174,DAY('Loan Inputs'!$B$8)),'Loan Inputs'!$B$8+A1174*IF('Loan Inputs'!$B$14=26,14,7)))</f>
        <v/>
      </c>
      <c r="C1174" s="2" t="str">
        <f t="shared" si="56"/>
        <v/>
      </c>
      <c r="D1174" s="2" t="str">
        <f>IF(A1174="","",MIN('Loan Inputs'!$B$17,C1174+E1174)+H1174)</f>
        <v/>
      </c>
      <c r="E1174" s="2" t="str">
        <f>IF(A1174="","",C1174*'Loan Inputs'!$B$15)</f>
        <v/>
      </c>
      <c r="F1174" s="2" t="str">
        <f t="shared" si="54"/>
        <v/>
      </c>
      <c r="G1174" s="2" t="str">
        <f t="shared" si="55"/>
        <v/>
      </c>
      <c r="H1174" s="2" t="str">
        <f>IF(A1174="","",MIN(0,MAX(0,C1174+E1174-'Loan Inputs'!$B$17)))</f>
        <v/>
      </c>
    </row>
    <row r="1175" spans="1:8" ht="22" customHeight="1">
      <c r="A1175" s="1" t="str">
        <f>IF(AND('Loan Inputs'!$B$12,1169&lt;=IF('Loan Inputs'!$B$12,'Loan Inputs'!$B$7,0)*'Loan Inputs'!$B$14+0,ISNUMBER(G1174),G1174&gt;0),1169,"")</f>
        <v/>
      </c>
      <c r="B1175" s="4" t="str">
        <f>IF(A1175="","",IF('Loan Inputs'!$B$14=12,DATE(YEAR('Loan Inputs'!$B$8),MONTH('Loan Inputs'!$B$8)+A1175,DAY('Loan Inputs'!$B$8)),'Loan Inputs'!$B$8+A1175*IF('Loan Inputs'!$B$14=26,14,7)))</f>
        <v/>
      </c>
      <c r="C1175" s="2" t="str">
        <f t="shared" si="56"/>
        <v/>
      </c>
      <c r="D1175" s="2" t="str">
        <f>IF(A1175="","",MIN('Loan Inputs'!$B$17,C1175+E1175)+H1175)</f>
        <v/>
      </c>
      <c r="E1175" s="2" t="str">
        <f>IF(A1175="","",C1175*'Loan Inputs'!$B$15)</f>
        <v/>
      </c>
      <c r="F1175" s="2" t="str">
        <f t="shared" si="54"/>
        <v/>
      </c>
      <c r="G1175" s="2" t="str">
        <f t="shared" si="55"/>
        <v/>
      </c>
      <c r="H1175" s="2" t="str">
        <f>IF(A1175="","",MIN(0,MAX(0,C1175+E1175-'Loan Inputs'!$B$17)))</f>
        <v/>
      </c>
    </row>
    <row r="1176" spans="1:8" ht="22" customHeight="1">
      <c r="A1176" s="1" t="str">
        <f>IF(AND('Loan Inputs'!$B$12,1170&lt;=IF('Loan Inputs'!$B$12,'Loan Inputs'!$B$7,0)*'Loan Inputs'!$B$14+0,ISNUMBER(G1175),G1175&gt;0),1170,"")</f>
        <v/>
      </c>
      <c r="B1176" s="4" t="str">
        <f>IF(A1176="","",IF('Loan Inputs'!$B$14=12,DATE(YEAR('Loan Inputs'!$B$8),MONTH('Loan Inputs'!$B$8)+A1176,DAY('Loan Inputs'!$B$8)),'Loan Inputs'!$B$8+A1176*IF('Loan Inputs'!$B$14=26,14,7)))</f>
        <v/>
      </c>
      <c r="C1176" s="2" t="str">
        <f t="shared" si="56"/>
        <v/>
      </c>
      <c r="D1176" s="2" t="str">
        <f>IF(A1176="","",MIN('Loan Inputs'!$B$17,C1176+E1176)+H1176)</f>
        <v/>
      </c>
      <c r="E1176" s="2" t="str">
        <f>IF(A1176="","",C1176*'Loan Inputs'!$B$15)</f>
        <v/>
      </c>
      <c r="F1176" s="2" t="str">
        <f t="shared" si="54"/>
        <v/>
      </c>
      <c r="G1176" s="2" t="str">
        <f t="shared" si="55"/>
        <v/>
      </c>
      <c r="H1176" s="2" t="str">
        <f>IF(A1176="","",MIN(0,MAX(0,C1176+E1176-'Loan Inputs'!$B$17)))</f>
        <v/>
      </c>
    </row>
    <row r="1177" spans="1:8" ht="22" customHeight="1">
      <c r="A1177" s="1" t="str">
        <f>IF(AND('Loan Inputs'!$B$12,1171&lt;=IF('Loan Inputs'!$B$12,'Loan Inputs'!$B$7,0)*'Loan Inputs'!$B$14+0,ISNUMBER(G1176),G1176&gt;0),1171,"")</f>
        <v/>
      </c>
      <c r="B1177" s="4" t="str">
        <f>IF(A1177="","",IF('Loan Inputs'!$B$14=12,DATE(YEAR('Loan Inputs'!$B$8),MONTH('Loan Inputs'!$B$8)+A1177,DAY('Loan Inputs'!$B$8)),'Loan Inputs'!$B$8+A1177*IF('Loan Inputs'!$B$14=26,14,7)))</f>
        <v/>
      </c>
      <c r="C1177" s="2" t="str">
        <f t="shared" si="56"/>
        <v/>
      </c>
      <c r="D1177" s="2" t="str">
        <f>IF(A1177="","",MIN('Loan Inputs'!$B$17,C1177+E1177)+H1177)</f>
        <v/>
      </c>
      <c r="E1177" s="2" t="str">
        <f>IF(A1177="","",C1177*'Loan Inputs'!$B$15)</f>
        <v/>
      </c>
      <c r="F1177" s="2" t="str">
        <f t="shared" si="54"/>
        <v/>
      </c>
      <c r="G1177" s="2" t="str">
        <f t="shared" si="55"/>
        <v/>
      </c>
      <c r="H1177" s="2" t="str">
        <f>IF(A1177="","",MIN(0,MAX(0,C1177+E1177-'Loan Inputs'!$B$17)))</f>
        <v/>
      </c>
    </row>
    <row r="1178" spans="1:8" ht="22" customHeight="1">
      <c r="A1178" s="1" t="str">
        <f>IF(AND('Loan Inputs'!$B$12,1172&lt;=IF('Loan Inputs'!$B$12,'Loan Inputs'!$B$7,0)*'Loan Inputs'!$B$14+0,ISNUMBER(G1177),G1177&gt;0),1172,"")</f>
        <v/>
      </c>
      <c r="B1178" s="4" t="str">
        <f>IF(A1178="","",IF('Loan Inputs'!$B$14=12,DATE(YEAR('Loan Inputs'!$B$8),MONTH('Loan Inputs'!$B$8)+A1178,DAY('Loan Inputs'!$B$8)),'Loan Inputs'!$B$8+A1178*IF('Loan Inputs'!$B$14=26,14,7)))</f>
        <v/>
      </c>
      <c r="C1178" s="2" t="str">
        <f t="shared" si="56"/>
        <v/>
      </c>
      <c r="D1178" s="2" t="str">
        <f>IF(A1178="","",MIN('Loan Inputs'!$B$17,C1178+E1178)+H1178)</f>
        <v/>
      </c>
      <c r="E1178" s="2" t="str">
        <f>IF(A1178="","",C1178*'Loan Inputs'!$B$15)</f>
        <v/>
      </c>
      <c r="F1178" s="2" t="str">
        <f t="shared" si="54"/>
        <v/>
      </c>
      <c r="G1178" s="2" t="str">
        <f t="shared" si="55"/>
        <v/>
      </c>
      <c r="H1178" s="2" t="str">
        <f>IF(A1178="","",MIN(0,MAX(0,C1178+E1178-'Loan Inputs'!$B$17)))</f>
        <v/>
      </c>
    </row>
    <row r="1179" spans="1:8" ht="22" customHeight="1">
      <c r="A1179" s="1" t="str">
        <f>IF(AND('Loan Inputs'!$B$12,1173&lt;=IF('Loan Inputs'!$B$12,'Loan Inputs'!$B$7,0)*'Loan Inputs'!$B$14+0,ISNUMBER(G1178),G1178&gt;0),1173,"")</f>
        <v/>
      </c>
      <c r="B1179" s="4" t="str">
        <f>IF(A1179="","",IF('Loan Inputs'!$B$14=12,DATE(YEAR('Loan Inputs'!$B$8),MONTH('Loan Inputs'!$B$8)+A1179,DAY('Loan Inputs'!$B$8)),'Loan Inputs'!$B$8+A1179*IF('Loan Inputs'!$B$14=26,14,7)))</f>
        <v/>
      </c>
      <c r="C1179" s="2" t="str">
        <f t="shared" si="56"/>
        <v/>
      </c>
      <c r="D1179" s="2" t="str">
        <f>IF(A1179="","",MIN('Loan Inputs'!$B$17,C1179+E1179)+H1179)</f>
        <v/>
      </c>
      <c r="E1179" s="2" t="str">
        <f>IF(A1179="","",C1179*'Loan Inputs'!$B$15)</f>
        <v/>
      </c>
      <c r="F1179" s="2" t="str">
        <f t="shared" si="54"/>
        <v/>
      </c>
      <c r="G1179" s="2" t="str">
        <f t="shared" si="55"/>
        <v/>
      </c>
      <c r="H1179" s="2" t="str">
        <f>IF(A1179="","",MIN(0,MAX(0,C1179+E1179-'Loan Inputs'!$B$17)))</f>
        <v/>
      </c>
    </row>
    <row r="1180" spans="1:8" ht="22" customHeight="1">
      <c r="A1180" s="1" t="str">
        <f>IF(AND('Loan Inputs'!$B$12,1174&lt;=IF('Loan Inputs'!$B$12,'Loan Inputs'!$B$7,0)*'Loan Inputs'!$B$14+0,ISNUMBER(G1179),G1179&gt;0),1174,"")</f>
        <v/>
      </c>
      <c r="B1180" s="4" t="str">
        <f>IF(A1180="","",IF('Loan Inputs'!$B$14=12,DATE(YEAR('Loan Inputs'!$B$8),MONTH('Loan Inputs'!$B$8)+A1180,DAY('Loan Inputs'!$B$8)),'Loan Inputs'!$B$8+A1180*IF('Loan Inputs'!$B$14=26,14,7)))</f>
        <v/>
      </c>
      <c r="C1180" s="2" t="str">
        <f t="shared" si="56"/>
        <v/>
      </c>
      <c r="D1180" s="2" t="str">
        <f>IF(A1180="","",MIN('Loan Inputs'!$B$17,C1180+E1180)+H1180)</f>
        <v/>
      </c>
      <c r="E1180" s="2" t="str">
        <f>IF(A1180="","",C1180*'Loan Inputs'!$B$15)</f>
        <v/>
      </c>
      <c r="F1180" s="2" t="str">
        <f t="shared" si="54"/>
        <v/>
      </c>
      <c r="G1180" s="2" t="str">
        <f t="shared" si="55"/>
        <v/>
      </c>
      <c r="H1180" s="2" t="str">
        <f>IF(A1180="","",MIN(0,MAX(0,C1180+E1180-'Loan Inputs'!$B$17)))</f>
        <v/>
      </c>
    </row>
    <row r="1181" spans="1:8" ht="22" customHeight="1">
      <c r="A1181" s="1" t="str">
        <f>IF(AND('Loan Inputs'!$B$12,1175&lt;=IF('Loan Inputs'!$B$12,'Loan Inputs'!$B$7,0)*'Loan Inputs'!$B$14+0,ISNUMBER(G1180),G1180&gt;0),1175,"")</f>
        <v/>
      </c>
      <c r="B1181" s="4" t="str">
        <f>IF(A1181="","",IF('Loan Inputs'!$B$14=12,DATE(YEAR('Loan Inputs'!$B$8),MONTH('Loan Inputs'!$B$8)+A1181,DAY('Loan Inputs'!$B$8)),'Loan Inputs'!$B$8+A1181*IF('Loan Inputs'!$B$14=26,14,7)))</f>
        <v/>
      </c>
      <c r="C1181" s="2" t="str">
        <f t="shared" si="56"/>
        <v/>
      </c>
      <c r="D1181" s="2" t="str">
        <f>IF(A1181="","",MIN('Loan Inputs'!$B$17,C1181+E1181)+H1181)</f>
        <v/>
      </c>
      <c r="E1181" s="2" t="str">
        <f>IF(A1181="","",C1181*'Loan Inputs'!$B$15)</f>
        <v/>
      </c>
      <c r="F1181" s="2" t="str">
        <f t="shared" si="54"/>
        <v/>
      </c>
      <c r="G1181" s="2" t="str">
        <f t="shared" si="55"/>
        <v/>
      </c>
      <c r="H1181" s="2" t="str">
        <f>IF(A1181="","",MIN(0,MAX(0,C1181+E1181-'Loan Inputs'!$B$17)))</f>
        <v/>
      </c>
    </row>
    <row r="1182" spans="1:8" ht="22" customHeight="1">
      <c r="A1182" s="1" t="str">
        <f>IF(AND('Loan Inputs'!$B$12,1176&lt;=IF('Loan Inputs'!$B$12,'Loan Inputs'!$B$7,0)*'Loan Inputs'!$B$14+0,ISNUMBER(G1181),G1181&gt;0),1176,"")</f>
        <v/>
      </c>
      <c r="B1182" s="4" t="str">
        <f>IF(A1182="","",IF('Loan Inputs'!$B$14=12,DATE(YEAR('Loan Inputs'!$B$8),MONTH('Loan Inputs'!$B$8)+A1182,DAY('Loan Inputs'!$B$8)),'Loan Inputs'!$B$8+A1182*IF('Loan Inputs'!$B$14=26,14,7)))</f>
        <v/>
      </c>
      <c r="C1182" s="2" t="str">
        <f t="shared" si="56"/>
        <v/>
      </c>
      <c r="D1182" s="2" t="str">
        <f>IF(A1182="","",MIN('Loan Inputs'!$B$17,C1182+E1182)+H1182)</f>
        <v/>
      </c>
      <c r="E1182" s="2" t="str">
        <f>IF(A1182="","",C1182*'Loan Inputs'!$B$15)</f>
        <v/>
      </c>
      <c r="F1182" s="2" t="str">
        <f t="shared" si="54"/>
        <v/>
      </c>
      <c r="G1182" s="2" t="str">
        <f t="shared" si="55"/>
        <v/>
      </c>
      <c r="H1182" s="2" t="str">
        <f>IF(A1182="","",MIN(0,MAX(0,C1182+E1182-'Loan Inputs'!$B$17)))</f>
        <v/>
      </c>
    </row>
    <row r="1183" spans="1:8" ht="22" customHeight="1">
      <c r="A1183" s="1" t="str">
        <f>IF(AND('Loan Inputs'!$B$12,1177&lt;=IF('Loan Inputs'!$B$12,'Loan Inputs'!$B$7,0)*'Loan Inputs'!$B$14+0,ISNUMBER(G1182),G1182&gt;0),1177,"")</f>
        <v/>
      </c>
      <c r="B1183" s="4" t="str">
        <f>IF(A1183="","",IF('Loan Inputs'!$B$14=12,DATE(YEAR('Loan Inputs'!$B$8),MONTH('Loan Inputs'!$B$8)+A1183,DAY('Loan Inputs'!$B$8)),'Loan Inputs'!$B$8+A1183*IF('Loan Inputs'!$B$14=26,14,7)))</f>
        <v/>
      </c>
      <c r="C1183" s="2" t="str">
        <f t="shared" si="56"/>
        <v/>
      </c>
      <c r="D1183" s="2" t="str">
        <f>IF(A1183="","",MIN('Loan Inputs'!$B$17,C1183+E1183)+H1183)</f>
        <v/>
      </c>
      <c r="E1183" s="2" t="str">
        <f>IF(A1183="","",C1183*'Loan Inputs'!$B$15)</f>
        <v/>
      </c>
      <c r="F1183" s="2" t="str">
        <f t="shared" si="54"/>
        <v/>
      </c>
      <c r="G1183" s="2" t="str">
        <f t="shared" si="55"/>
        <v/>
      </c>
      <c r="H1183" s="2" t="str">
        <f>IF(A1183="","",MIN(0,MAX(0,C1183+E1183-'Loan Inputs'!$B$17)))</f>
        <v/>
      </c>
    </row>
    <row r="1184" spans="1:8" ht="22" customHeight="1">
      <c r="A1184" s="1" t="str">
        <f>IF(AND('Loan Inputs'!$B$12,1178&lt;=IF('Loan Inputs'!$B$12,'Loan Inputs'!$B$7,0)*'Loan Inputs'!$B$14+0,ISNUMBER(G1183),G1183&gt;0),1178,"")</f>
        <v/>
      </c>
      <c r="B1184" s="4" t="str">
        <f>IF(A1184="","",IF('Loan Inputs'!$B$14=12,DATE(YEAR('Loan Inputs'!$B$8),MONTH('Loan Inputs'!$B$8)+A1184,DAY('Loan Inputs'!$B$8)),'Loan Inputs'!$B$8+A1184*IF('Loan Inputs'!$B$14=26,14,7)))</f>
        <v/>
      </c>
      <c r="C1184" s="2" t="str">
        <f t="shared" si="56"/>
        <v/>
      </c>
      <c r="D1184" s="2" t="str">
        <f>IF(A1184="","",MIN('Loan Inputs'!$B$17,C1184+E1184)+H1184)</f>
        <v/>
      </c>
      <c r="E1184" s="2" t="str">
        <f>IF(A1184="","",C1184*'Loan Inputs'!$B$15)</f>
        <v/>
      </c>
      <c r="F1184" s="2" t="str">
        <f t="shared" si="54"/>
        <v/>
      </c>
      <c r="G1184" s="2" t="str">
        <f t="shared" si="55"/>
        <v/>
      </c>
      <c r="H1184" s="2" t="str">
        <f>IF(A1184="","",MIN(0,MAX(0,C1184+E1184-'Loan Inputs'!$B$17)))</f>
        <v/>
      </c>
    </row>
    <row r="1185" spans="1:8" ht="22" customHeight="1">
      <c r="A1185" s="1" t="str">
        <f>IF(AND('Loan Inputs'!$B$12,1179&lt;=IF('Loan Inputs'!$B$12,'Loan Inputs'!$B$7,0)*'Loan Inputs'!$B$14+0,ISNUMBER(G1184),G1184&gt;0),1179,"")</f>
        <v/>
      </c>
      <c r="B1185" s="4" t="str">
        <f>IF(A1185="","",IF('Loan Inputs'!$B$14=12,DATE(YEAR('Loan Inputs'!$B$8),MONTH('Loan Inputs'!$B$8)+A1185,DAY('Loan Inputs'!$B$8)),'Loan Inputs'!$B$8+A1185*IF('Loan Inputs'!$B$14=26,14,7)))</f>
        <v/>
      </c>
      <c r="C1185" s="2" t="str">
        <f t="shared" si="56"/>
        <v/>
      </c>
      <c r="D1185" s="2" t="str">
        <f>IF(A1185="","",MIN('Loan Inputs'!$B$17,C1185+E1185)+H1185)</f>
        <v/>
      </c>
      <c r="E1185" s="2" t="str">
        <f>IF(A1185="","",C1185*'Loan Inputs'!$B$15)</f>
        <v/>
      </c>
      <c r="F1185" s="2" t="str">
        <f t="shared" si="54"/>
        <v/>
      </c>
      <c r="G1185" s="2" t="str">
        <f t="shared" si="55"/>
        <v/>
      </c>
      <c r="H1185" s="2" t="str">
        <f>IF(A1185="","",MIN(0,MAX(0,C1185+E1185-'Loan Inputs'!$B$17)))</f>
        <v/>
      </c>
    </row>
    <row r="1186" spans="1:8" ht="22" customHeight="1">
      <c r="A1186" s="1" t="str">
        <f>IF(AND('Loan Inputs'!$B$12,1180&lt;=IF('Loan Inputs'!$B$12,'Loan Inputs'!$B$7,0)*'Loan Inputs'!$B$14+0,ISNUMBER(G1185),G1185&gt;0),1180,"")</f>
        <v/>
      </c>
      <c r="B1186" s="4" t="str">
        <f>IF(A1186="","",IF('Loan Inputs'!$B$14=12,DATE(YEAR('Loan Inputs'!$B$8),MONTH('Loan Inputs'!$B$8)+A1186,DAY('Loan Inputs'!$B$8)),'Loan Inputs'!$B$8+A1186*IF('Loan Inputs'!$B$14=26,14,7)))</f>
        <v/>
      </c>
      <c r="C1186" s="2" t="str">
        <f t="shared" si="56"/>
        <v/>
      </c>
      <c r="D1186" s="2" t="str">
        <f>IF(A1186="","",MIN('Loan Inputs'!$B$17,C1186+E1186)+H1186)</f>
        <v/>
      </c>
      <c r="E1186" s="2" t="str">
        <f>IF(A1186="","",C1186*'Loan Inputs'!$B$15)</f>
        <v/>
      </c>
      <c r="F1186" s="2" t="str">
        <f t="shared" si="54"/>
        <v/>
      </c>
      <c r="G1186" s="2" t="str">
        <f t="shared" si="55"/>
        <v/>
      </c>
      <c r="H1186" s="2" t="str">
        <f>IF(A1186="","",MIN(0,MAX(0,C1186+E1186-'Loan Inputs'!$B$17)))</f>
        <v/>
      </c>
    </row>
    <row r="1187" spans="1:8" ht="22" customHeight="1">
      <c r="A1187" s="1" t="str">
        <f>IF(AND('Loan Inputs'!$B$12,1181&lt;=IF('Loan Inputs'!$B$12,'Loan Inputs'!$B$7,0)*'Loan Inputs'!$B$14+0,ISNUMBER(G1186),G1186&gt;0),1181,"")</f>
        <v/>
      </c>
      <c r="B1187" s="4" t="str">
        <f>IF(A1187="","",IF('Loan Inputs'!$B$14=12,DATE(YEAR('Loan Inputs'!$B$8),MONTH('Loan Inputs'!$B$8)+A1187,DAY('Loan Inputs'!$B$8)),'Loan Inputs'!$B$8+A1187*IF('Loan Inputs'!$B$14=26,14,7)))</f>
        <v/>
      </c>
      <c r="C1187" s="2" t="str">
        <f t="shared" si="56"/>
        <v/>
      </c>
      <c r="D1187" s="2" t="str">
        <f>IF(A1187="","",MIN('Loan Inputs'!$B$17,C1187+E1187)+H1187)</f>
        <v/>
      </c>
      <c r="E1187" s="2" t="str">
        <f>IF(A1187="","",C1187*'Loan Inputs'!$B$15)</f>
        <v/>
      </c>
      <c r="F1187" s="2" t="str">
        <f t="shared" si="54"/>
        <v/>
      </c>
      <c r="G1187" s="2" t="str">
        <f t="shared" si="55"/>
        <v/>
      </c>
      <c r="H1187" s="2" t="str">
        <f>IF(A1187="","",MIN(0,MAX(0,C1187+E1187-'Loan Inputs'!$B$17)))</f>
        <v/>
      </c>
    </row>
    <row r="1188" spans="1:8" ht="22" customHeight="1">
      <c r="A1188" s="1" t="str">
        <f>IF(AND('Loan Inputs'!$B$12,1182&lt;=IF('Loan Inputs'!$B$12,'Loan Inputs'!$B$7,0)*'Loan Inputs'!$B$14+0,ISNUMBER(G1187),G1187&gt;0),1182,"")</f>
        <v/>
      </c>
      <c r="B1188" s="4" t="str">
        <f>IF(A1188="","",IF('Loan Inputs'!$B$14=12,DATE(YEAR('Loan Inputs'!$B$8),MONTH('Loan Inputs'!$B$8)+A1188,DAY('Loan Inputs'!$B$8)),'Loan Inputs'!$B$8+A1188*IF('Loan Inputs'!$B$14=26,14,7)))</f>
        <v/>
      </c>
      <c r="C1188" s="2" t="str">
        <f t="shared" si="56"/>
        <v/>
      </c>
      <c r="D1188" s="2" t="str">
        <f>IF(A1188="","",MIN('Loan Inputs'!$B$17,C1188+E1188)+H1188)</f>
        <v/>
      </c>
      <c r="E1188" s="2" t="str">
        <f>IF(A1188="","",C1188*'Loan Inputs'!$B$15)</f>
        <v/>
      </c>
      <c r="F1188" s="2" t="str">
        <f t="shared" si="54"/>
        <v/>
      </c>
      <c r="G1188" s="2" t="str">
        <f t="shared" si="55"/>
        <v/>
      </c>
      <c r="H1188" s="2" t="str">
        <f>IF(A1188="","",MIN(0,MAX(0,C1188+E1188-'Loan Inputs'!$B$17)))</f>
        <v/>
      </c>
    </row>
    <row r="1189" spans="1:8" ht="22" customHeight="1">
      <c r="A1189" s="1" t="str">
        <f>IF(AND('Loan Inputs'!$B$12,1183&lt;=IF('Loan Inputs'!$B$12,'Loan Inputs'!$B$7,0)*'Loan Inputs'!$B$14+0,ISNUMBER(G1188),G1188&gt;0),1183,"")</f>
        <v/>
      </c>
      <c r="B1189" s="4" t="str">
        <f>IF(A1189="","",IF('Loan Inputs'!$B$14=12,DATE(YEAR('Loan Inputs'!$B$8),MONTH('Loan Inputs'!$B$8)+A1189,DAY('Loan Inputs'!$B$8)),'Loan Inputs'!$B$8+A1189*IF('Loan Inputs'!$B$14=26,14,7)))</f>
        <v/>
      </c>
      <c r="C1189" s="2" t="str">
        <f t="shared" si="56"/>
        <v/>
      </c>
      <c r="D1189" s="2" t="str">
        <f>IF(A1189="","",MIN('Loan Inputs'!$B$17,C1189+E1189)+H1189)</f>
        <v/>
      </c>
      <c r="E1189" s="2" t="str">
        <f>IF(A1189="","",C1189*'Loan Inputs'!$B$15)</f>
        <v/>
      </c>
      <c r="F1189" s="2" t="str">
        <f t="shared" si="54"/>
        <v/>
      </c>
      <c r="G1189" s="2" t="str">
        <f t="shared" si="55"/>
        <v/>
      </c>
      <c r="H1189" s="2" t="str">
        <f>IF(A1189="","",MIN(0,MAX(0,C1189+E1189-'Loan Inputs'!$B$17)))</f>
        <v/>
      </c>
    </row>
    <row r="1190" spans="1:8" ht="22" customHeight="1">
      <c r="A1190" s="1" t="str">
        <f>IF(AND('Loan Inputs'!$B$12,1184&lt;=IF('Loan Inputs'!$B$12,'Loan Inputs'!$B$7,0)*'Loan Inputs'!$B$14+0,ISNUMBER(G1189),G1189&gt;0),1184,"")</f>
        <v/>
      </c>
      <c r="B1190" s="4" t="str">
        <f>IF(A1190="","",IF('Loan Inputs'!$B$14=12,DATE(YEAR('Loan Inputs'!$B$8),MONTH('Loan Inputs'!$B$8)+A1190,DAY('Loan Inputs'!$B$8)),'Loan Inputs'!$B$8+A1190*IF('Loan Inputs'!$B$14=26,14,7)))</f>
        <v/>
      </c>
      <c r="C1190" s="2" t="str">
        <f t="shared" si="56"/>
        <v/>
      </c>
      <c r="D1190" s="2" t="str">
        <f>IF(A1190="","",MIN('Loan Inputs'!$B$17,C1190+E1190)+H1190)</f>
        <v/>
      </c>
      <c r="E1190" s="2" t="str">
        <f>IF(A1190="","",C1190*'Loan Inputs'!$B$15)</f>
        <v/>
      </c>
      <c r="F1190" s="2" t="str">
        <f t="shared" si="54"/>
        <v/>
      </c>
      <c r="G1190" s="2" t="str">
        <f t="shared" si="55"/>
        <v/>
      </c>
      <c r="H1190" s="2" t="str">
        <f>IF(A1190="","",MIN(0,MAX(0,C1190+E1190-'Loan Inputs'!$B$17)))</f>
        <v/>
      </c>
    </row>
    <row r="1191" spans="1:8" ht="22" customHeight="1">
      <c r="A1191" s="1" t="str">
        <f>IF(AND('Loan Inputs'!$B$12,1185&lt;=IF('Loan Inputs'!$B$12,'Loan Inputs'!$B$7,0)*'Loan Inputs'!$B$14+0,ISNUMBER(G1190),G1190&gt;0),1185,"")</f>
        <v/>
      </c>
      <c r="B1191" s="4" t="str">
        <f>IF(A1191="","",IF('Loan Inputs'!$B$14=12,DATE(YEAR('Loan Inputs'!$B$8),MONTH('Loan Inputs'!$B$8)+A1191,DAY('Loan Inputs'!$B$8)),'Loan Inputs'!$B$8+A1191*IF('Loan Inputs'!$B$14=26,14,7)))</f>
        <v/>
      </c>
      <c r="C1191" s="2" t="str">
        <f t="shared" si="56"/>
        <v/>
      </c>
      <c r="D1191" s="2" t="str">
        <f>IF(A1191="","",MIN('Loan Inputs'!$B$17,C1191+E1191)+H1191)</f>
        <v/>
      </c>
      <c r="E1191" s="2" t="str">
        <f>IF(A1191="","",C1191*'Loan Inputs'!$B$15)</f>
        <v/>
      </c>
      <c r="F1191" s="2" t="str">
        <f t="shared" si="54"/>
        <v/>
      </c>
      <c r="G1191" s="2" t="str">
        <f t="shared" si="55"/>
        <v/>
      </c>
      <c r="H1191" s="2" t="str">
        <f>IF(A1191="","",MIN(0,MAX(0,C1191+E1191-'Loan Inputs'!$B$17)))</f>
        <v/>
      </c>
    </row>
    <row r="1192" spans="1:8" ht="22" customHeight="1">
      <c r="A1192" s="1" t="str">
        <f>IF(AND('Loan Inputs'!$B$12,1186&lt;=IF('Loan Inputs'!$B$12,'Loan Inputs'!$B$7,0)*'Loan Inputs'!$B$14+0,ISNUMBER(G1191),G1191&gt;0),1186,"")</f>
        <v/>
      </c>
      <c r="B1192" s="4" t="str">
        <f>IF(A1192="","",IF('Loan Inputs'!$B$14=12,DATE(YEAR('Loan Inputs'!$B$8),MONTH('Loan Inputs'!$B$8)+A1192,DAY('Loan Inputs'!$B$8)),'Loan Inputs'!$B$8+A1192*IF('Loan Inputs'!$B$14=26,14,7)))</f>
        <v/>
      </c>
      <c r="C1192" s="2" t="str">
        <f t="shared" si="56"/>
        <v/>
      </c>
      <c r="D1192" s="2" t="str">
        <f>IF(A1192="","",MIN('Loan Inputs'!$B$17,C1192+E1192)+H1192)</f>
        <v/>
      </c>
      <c r="E1192" s="2" t="str">
        <f>IF(A1192="","",C1192*'Loan Inputs'!$B$15)</f>
        <v/>
      </c>
      <c r="F1192" s="2" t="str">
        <f t="shared" si="54"/>
        <v/>
      </c>
      <c r="G1192" s="2" t="str">
        <f t="shared" si="55"/>
        <v/>
      </c>
      <c r="H1192" s="2" t="str">
        <f>IF(A1192="","",MIN(0,MAX(0,C1192+E1192-'Loan Inputs'!$B$17)))</f>
        <v/>
      </c>
    </row>
    <row r="1193" spans="1:8" ht="22" customHeight="1">
      <c r="A1193" s="1" t="str">
        <f>IF(AND('Loan Inputs'!$B$12,1187&lt;=IF('Loan Inputs'!$B$12,'Loan Inputs'!$B$7,0)*'Loan Inputs'!$B$14+0,ISNUMBER(G1192),G1192&gt;0),1187,"")</f>
        <v/>
      </c>
      <c r="B1193" s="4" t="str">
        <f>IF(A1193="","",IF('Loan Inputs'!$B$14=12,DATE(YEAR('Loan Inputs'!$B$8),MONTH('Loan Inputs'!$B$8)+A1193,DAY('Loan Inputs'!$B$8)),'Loan Inputs'!$B$8+A1193*IF('Loan Inputs'!$B$14=26,14,7)))</f>
        <v/>
      </c>
      <c r="C1193" s="2" t="str">
        <f t="shared" si="56"/>
        <v/>
      </c>
      <c r="D1193" s="2" t="str">
        <f>IF(A1193="","",MIN('Loan Inputs'!$B$17,C1193+E1193)+H1193)</f>
        <v/>
      </c>
      <c r="E1193" s="2" t="str">
        <f>IF(A1193="","",C1193*'Loan Inputs'!$B$15)</f>
        <v/>
      </c>
      <c r="F1193" s="2" t="str">
        <f t="shared" si="54"/>
        <v/>
      </c>
      <c r="G1193" s="2" t="str">
        <f t="shared" si="55"/>
        <v/>
      </c>
      <c r="H1193" s="2" t="str">
        <f>IF(A1193="","",MIN(0,MAX(0,C1193+E1193-'Loan Inputs'!$B$17)))</f>
        <v/>
      </c>
    </row>
    <row r="1194" spans="1:8" ht="22" customHeight="1">
      <c r="A1194" s="1" t="str">
        <f>IF(AND('Loan Inputs'!$B$12,1188&lt;=IF('Loan Inputs'!$B$12,'Loan Inputs'!$B$7,0)*'Loan Inputs'!$B$14+0,ISNUMBER(G1193),G1193&gt;0),1188,"")</f>
        <v/>
      </c>
      <c r="B1194" s="4" t="str">
        <f>IF(A1194="","",IF('Loan Inputs'!$B$14=12,DATE(YEAR('Loan Inputs'!$B$8),MONTH('Loan Inputs'!$B$8)+A1194,DAY('Loan Inputs'!$B$8)),'Loan Inputs'!$B$8+A1194*IF('Loan Inputs'!$B$14=26,14,7)))</f>
        <v/>
      </c>
      <c r="C1194" s="2" t="str">
        <f t="shared" si="56"/>
        <v/>
      </c>
      <c r="D1194" s="2" t="str">
        <f>IF(A1194="","",MIN('Loan Inputs'!$B$17,C1194+E1194)+H1194)</f>
        <v/>
      </c>
      <c r="E1194" s="2" t="str">
        <f>IF(A1194="","",C1194*'Loan Inputs'!$B$15)</f>
        <v/>
      </c>
      <c r="F1194" s="2" t="str">
        <f t="shared" si="54"/>
        <v/>
      </c>
      <c r="G1194" s="2" t="str">
        <f t="shared" si="55"/>
        <v/>
      </c>
      <c r="H1194" s="2" t="str">
        <f>IF(A1194="","",MIN(0,MAX(0,C1194+E1194-'Loan Inputs'!$B$17)))</f>
        <v/>
      </c>
    </row>
    <row r="1195" spans="1:8" ht="22" customHeight="1">
      <c r="A1195" s="1" t="str">
        <f>IF(AND('Loan Inputs'!$B$12,1189&lt;=IF('Loan Inputs'!$B$12,'Loan Inputs'!$B$7,0)*'Loan Inputs'!$B$14+0,ISNUMBER(G1194),G1194&gt;0),1189,"")</f>
        <v/>
      </c>
      <c r="B1195" s="4" t="str">
        <f>IF(A1195="","",IF('Loan Inputs'!$B$14=12,DATE(YEAR('Loan Inputs'!$B$8),MONTH('Loan Inputs'!$B$8)+A1195,DAY('Loan Inputs'!$B$8)),'Loan Inputs'!$B$8+A1195*IF('Loan Inputs'!$B$14=26,14,7)))</f>
        <v/>
      </c>
      <c r="C1195" s="2" t="str">
        <f t="shared" si="56"/>
        <v/>
      </c>
      <c r="D1195" s="2" t="str">
        <f>IF(A1195="","",MIN('Loan Inputs'!$B$17,C1195+E1195)+H1195)</f>
        <v/>
      </c>
      <c r="E1195" s="2" t="str">
        <f>IF(A1195="","",C1195*'Loan Inputs'!$B$15)</f>
        <v/>
      </c>
      <c r="F1195" s="2" t="str">
        <f t="shared" si="54"/>
        <v/>
      </c>
      <c r="G1195" s="2" t="str">
        <f t="shared" si="55"/>
        <v/>
      </c>
      <c r="H1195" s="2" t="str">
        <f>IF(A1195="","",MIN(0,MAX(0,C1195+E1195-'Loan Inputs'!$B$17)))</f>
        <v/>
      </c>
    </row>
    <row r="1196" spans="1:8" ht="22" customHeight="1">
      <c r="A1196" s="1" t="str">
        <f>IF(AND('Loan Inputs'!$B$12,1190&lt;=IF('Loan Inputs'!$B$12,'Loan Inputs'!$B$7,0)*'Loan Inputs'!$B$14+0,ISNUMBER(G1195),G1195&gt;0),1190,"")</f>
        <v/>
      </c>
      <c r="B1196" s="4" t="str">
        <f>IF(A1196="","",IF('Loan Inputs'!$B$14=12,DATE(YEAR('Loan Inputs'!$B$8),MONTH('Loan Inputs'!$B$8)+A1196,DAY('Loan Inputs'!$B$8)),'Loan Inputs'!$B$8+A1196*IF('Loan Inputs'!$B$14=26,14,7)))</f>
        <v/>
      </c>
      <c r="C1196" s="2" t="str">
        <f t="shared" si="56"/>
        <v/>
      </c>
      <c r="D1196" s="2" t="str">
        <f>IF(A1196="","",MIN('Loan Inputs'!$B$17,C1196+E1196)+H1196)</f>
        <v/>
      </c>
      <c r="E1196" s="2" t="str">
        <f>IF(A1196="","",C1196*'Loan Inputs'!$B$15)</f>
        <v/>
      </c>
      <c r="F1196" s="2" t="str">
        <f t="shared" si="54"/>
        <v/>
      </c>
      <c r="G1196" s="2" t="str">
        <f t="shared" si="55"/>
        <v/>
      </c>
      <c r="H1196" s="2" t="str">
        <f>IF(A1196="","",MIN(0,MAX(0,C1196+E1196-'Loan Inputs'!$B$17)))</f>
        <v/>
      </c>
    </row>
    <row r="1197" spans="1:8" ht="22" customHeight="1">
      <c r="A1197" s="1" t="str">
        <f>IF(AND('Loan Inputs'!$B$12,1191&lt;=IF('Loan Inputs'!$B$12,'Loan Inputs'!$B$7,0)*'Loan Inputs'!$B$14+0,ISNUMBER(G1196),G1196&gt;0),1191,"")</f>
        <v/>
      </c>
      <c r="B1197" s="4" t="str">
        <f>IF(A1197="","",IF('Loan Inputs'!$B$14=12,DATE(YEAR('Loan Inputs'!$B$8),MONTH('Loan Inputs'!$B$8)+A1197,DAY('Loan Inputs'!$B$8)),'Loan Inputs'!$B$8+A1197*IF('Loan Inputs'!$B$14=26,14,7)))</f>
        <v/>
      </c>
      <c r="C1197" s="2" t="str">
        <f t="shared" si="56"/>
        <v/>
      </c>
      <c r="D1197" s="2" t="str">
        <f>IF(A1197="","",MIN('Loan Inputs'!$B$17,C1197+E1197)+H1197)</f>
        <v/>
      </c>
      <c r="E1197" s="2" t="str">
        <f>IF(A1197="","",C1197*'Loan Inputs'!$B$15)</f>
        <v/>
      </c>
      <c r="F1197" s="2" t="str">
        <f t="shared" si="54"/>
        <v/>
      </c>
      <c r="G1197" s="2" t="str">
        <f t="shared" si="55"/>
        <v/>
      </c>
      <c r="H1197" s="2" t="str">
        <f>IF(A1197="","",MIN(0,MAX(0,C1197+E1197-'Loan Inputs'!$B$17)))</f>
        <v/>
      </c>
    </row>
    <row r="1198" spans="1:8" ht="22" customHeight="1">
      <c r="A1198" s="1" t="str">
        <f>IF(AND('Loan Inputs'!$B$12,1192&lt;=IF('Loan Inputs'!$B$12,'Loan Inputs'!$B$7,0)*'Loan Inputs'!$B$14+0,ISNUMBER(G1197),G1197&gt;0),1192,"")</f>
        <v/>
      </c>
      <c r="B1198" s="4" t="str">
        <f>IF(A1198="","",IF('Loan Inputs'!$B$14=12,DATE(YEAR('Loan Inputs'!$B$8),MONTH('Loan Inputs'!$B$8)+A1198,DAY('Loan Inputs'!$B$8)),'Loan Inputs'!$B$8+A1198*IF('Loan Inputs'!$B$14=26,14,7)))</f>
        <v/>
      </c>
      <c r="C1198" s="2" t="str">
        <f t="shared" si="56"/>
        <v/>
      </c>
      <c r="D1198" s="2" t="str">
        <f>IF(A1198="","",MIN('Loan Inputs'!$B$17,C1198+E1198)+H1198)</f>
        <v/>
      </c>
      <c r="E1198" s="2" t="str">
        <f>IF(A1198="","",C1198*'Loan Inputs'!$B$15)</f>
        <v/>
      </c>
      <c r="F1198" s="2" t="str">
        <f t="shared" si="54"/>
        <v/>
      </c>
      <c r="G1198" s="2" t="str">
        <f t="shared" si="55"/>
        <v/>
      </c>
      <c r="H1198" s="2" t="str">
        <f>IF(A1198="","",MIN(0,MAX(0,C1198+E1198-'Loan Inputs'!$B$17)))</f>
        <v/>
      </c>
    </row>
    <row r="1199" spans="1:8" ht="22" customHeight="1">
      <c r="A1199" s="1" t="str">
        <f>IF(AND('Loan Inputs'!$B$12,1193&lt;=IF('Loan Inputs'!$B$12,'Loan Inputs'!$B$7,0)*'Loan Inputs'!$B$14+0,ISNUMBER(G1198),G1198&gt;0),1193,"")</f>
        <v/>
      </c>
      <c r="B1199" s="4" t="str">
        <f>IF(A1199="","",IF('Loan Inputs'!$B$14=12,DATE(YEAR('Loan Inputs'!$B$8),MONTH('Loan Inputs'!$B$8)+A1199,DAY('Loan Inputs'!$B$8)),'Loan Inputs'!$B$8+A1199*IF('Loan Inputs'!$B$14=26,14,7)))</f>
        <v/>
      </c>
      <c r="C1199" s="2" t="str">
        <f t="shared" si="56"/>
        <v/>
      </c>
      <c r="D1199" s="2" t="str">
        <f>IF(A1199="","",MIN('Loan Inputs'!$B$17,C1199+E1199)+H1199)</f>
        <v/>
      </c>
      <c r="E1199" s="2" t="str">
        <f>IF(A1199="","",C1199*'Loan Inputs'!$B$15)</f>
        <v/>
      </c>
      <c r="F1199" s="2" t="str">
        <f t="shared" si="54"/>
        <v/>
      </c>
      <c r="G1199" s="2" t="str">
        <f t="shared" si="55"/>
        <v/>
      </c>
      <c r="H1199" s="2" t="str">
        <f>IF(A1199="","",MIN(0,MAX(0,C1199+E1199-'Loan Inputs'!$B$17)))</f>
        <v/>
      </c>
    </row>
    <row r="1200" spans="1:8" ht="22" customHeight="1">
      <c r="A1200" s="1" t="str">
        <f>IF(AND('Loan Inputs'!$B$12,1194&lt;=IF('Loan Inputs'!$B$12,'Loan Inputs'!$B$7,0)*'Loan Inputs'!$B$14+0,ISNUMBER(G1199),G1199&gt;0),1194,"")</f>
        <v/>
      </c>
      <c r="B1200" s="4" t="str">
        <f>IF(A1200="","",IF('Loan Inputs'!$B$14=12,DATE(YEAR('Loan Inputs'!$B$8),MONTH('Loan Inputs'!$B$8)+A1200,DAY('Loan Inputs'!$B$8)),'Loan Inputs'!$B$8+A1200*IF('Loan Inputs'!$B$14=26,14,7)))</f>
        <v/>
      </c>
      <c r="C1200" s="2" t="str">
        <f t="shared" si="56"/>
        <v/>
      </c>
      <c r="D1200" s="2" t="str">
        <f>IF(A1200="","",MIN('Loan Inputs'!$B$17,C1200+E1200)+H1200)</f>
        <v/>
      </c>
      <c r="E1200" s="2" t="str">
        <f>IF(A1200="","",C1200*'Loan Inputs'!$B$15)</f>
        <v/>
      </c>
      <c r="F1200" s="2" t="str">
        <f t="shared" si="54"/>
        <v/>
      </c>
      <c r="G1200" s="2" t="str">
        <f t="shared" si="55"/>
        <v/>
      </c>
      <c r="H1200" s="2" t="str">
        <f>IF(A1200="","",MIN(0,MAX(0,C1200+E1200-'Loan Inputs'!$B$17)))</f>
        <v/>
      </c>
    </row>
    <row r="1201" spans="1:8" ht="22" customHeight="1">
      <c r="A1201" s="1" t="str">
        <f>IF(AND('Loan Inputs'!$B$12,1195&lt;=IF('Loan Inputs'!$B$12,'Loan Inputs'!$B$7,0)*'Loan Inputs'!$B$14+0,ISNUMBER(G1200),G1200&gt;0),1195,"")</f>
        <v/>
      </c>
      <c r="B1201" s="4" t="str">
        <f>IF(A1201="","",IF('Loan Inputs'!$B$14=12,DATE(YEAR('Loan Inputs'!$B$8),MONTH('Loan Inputs'!$B$8)+A1201,DAY('Loan Inputs'!$B$8)),'Loan Inputs'!$B$8+A1201*IF('Loan Inputs'!$B$14=26,14,7)))</f>
        <v/>
      </c>
      <c r="C1201" s="2" t="str">
        <f t="shared" si="56"/>
        <v/>
      </c>
      <c r="D1201" s="2" t="str">
        <f>IF(A1201="","",MIN('Loan Inputs'!$B$17,C1201+E1201)+H1201)</f>
        <v/>
      </c>
      <c r="E1201" s="2" t="str">
        <f>IF(A1201="","",C1201*'Loan Inputs'!$B$15)</f>
        <v/>
      </c>
      <c r="F1201" s="2" t="str">
        <f t="shared" si="54"/>
        <v/>
      </c>
      <c r="G1201" s="2" t="str">
        <f t="shared" si="55"/>
        <v/>
      </c>
      <c r="H1201" s="2" t="str">
        <f>IF(A1201="","",MIN(0,MAX(0,C1201+E1201-'Loan Inputs'!$B$17)))</f>
        <v/>
      </c>
    </row>
    <row r="1202" spans="1:8" ht="22" customHeight="1">
      <c r="A1202" s="1" t="str">
        <f>IF(AND('Loan Inputs'!$B$12,1196&lt;=IF('Loan Inputs'!$B$12,'Loan Inputs'!$B$7,0)*'Loan Inputs'!$B$14+0,ISNUMBER(G1201),G1201&gt;0),1196,"")</f>
        <v/>
      </c>
      <c r="B1202" s="4" t="str">
        <f>IF(A1202="","",IF('Loan Inputs'!$B$14=12,DATE(YEAR('Loan Inputs'!$B$8),MONTH('Loan Inputs'!$B$8)+A1202,DAY('Loan Inputs'!$B$8)),'Loan Inputs'!$B$8+A1202*IF('Loan Inputs'!$B$14=26,14,7)))</f>
        <v/>
      </c>
      <c r="C1202" s="2" t="str">
        <f t="shared" si="56"/>
        <v/>
      </c>
      <c r="D1202" s="2" t="str">
        <f>IF(A1202="","",MIN('Loan Inputs'!$B$17,C1202+E1202)+H1202)</f>
        <v/>
      </c>
      <c r="E1202" s="2" t="str">
        <f>IF(A1202="","",C1202*'Loan Inputs'!$B$15)</f>
        <v/>
      </c>
      <c r="F1202" s="2" t="str">
        <f t="shared" si="54"/>
        <v/>
      </c>
      <c r="G1202" s="2" t="str">
        <f t="shared" si="55"/>
        <v/>
      </c>
      <c r="H1202" s="2" t="str">
        <f>IF(A1202="","",MIN(0,MAX(0,C1202+E1202-'Loan Inputs'!$B$17)))</f>
        <v/>
      </c>
    </row>
    <row r="1203" spans="1:8" ht="22" customHeight="1">
      <c r="A1203" s="1" t="str">
        <f>IF(AND('Loan Inputs'!$B$12,1197&lt;=IF('Loan Inputs'!$B$12,'Loan Inputs'!$B$7,0)*'Loan Inputs'!$B$14+0,ISNUMBER(G1202),G1202&gt;0),1197,"")</f>
        <v/>
      </c>
      <c r="B1203" s="4" t="str">
        <f>IF(A1203="","",IF('Loan Inputs'!$B$14=12,DATE(YEAR('Loan Inputs'!$B$8),MONTH('Loan Inputs'!$B$8)+A1203,DAY('Loan Inputs'!$B$8)),'Loan Inputs'!$B$8+A1203*IF('Loan Inputs'!$B$14=26,14,7)))</f>
        <v/>
      </c>
      <c r="C1203" s="2" t="str">
        <f t="shared" si="56"/>
        <v/>
      </c>
      <c r="D1203" s="2" t="str">
        <f>IF(A1203="","",MIN('Loan Inputs'!$B$17,C1203+E1203)+H1203)</f>
        <v/>
      </c>
      <c r="E1203" s="2" t="str">
        <f>IF(A1203="","",C1203*'Loan Inputs'!$B$15)</f>
        <v/>
      </c>
      <c r="F1203" s="2" t="str">
        <f t="shared" si="54"/>
        <v/>
      </c>
      <c r="G1203" s="2" t="str">
        <f t="shared" si="55"/>
        <v/>
      </c>
      <c r="H1203" s="2" t="str">
        <f>IF(A1203="","",MIN(0,MAX(0,C1203+E1203-'Loan Inputs'!$B$17)))</f>
        <v/>
      </c>
    </row>
    <row r="1204" spans="1:8" ht="22" customHeight="1">
      <c r="A1204" s="1" t="str">
        <f>IF(AND('Loan Inputs'!$B$12,1198&lt;=IF('Loan Inputs'!$B$12,'Loan Inputs'!$B$7,0)*'Loan Inputs'!$B$14+0,ISNUMBER(G1203),G1203&gt;0),1198,"")</f>
        <v/>
      </c>
      <c r="B1204" s="4" t="str">
        <f>IF(A1204="","",IF('Loan Inputs'!$B$14=12,DATE(YEAR('Loan Inputs'!$B$8),MONTH('Loan Inputs'!$B$8)+A1204,DAY('Loan Inputs'!$B$8)),'Loan Inputs'!$B$8+A1204*IF('Loan Inputs'!$B$14=26,14,7)))</f>
        <v/>
      </c>
      <c r="C1204" s="2" t="str">
        <f t="shared" si="56"/>
        <v/>
      </c>
      <c r="D1204" s="2" t="str">
        <f>IF(A1204="","",MIN('Loan Inputs'!$B$17,C1204+E1204)+H1204)</f>
        <v/>
      </c>
      <c r="E1204" s="2" t="str">
        <f>IF(A1204="","",C1204*'Loan Inputs'!$B$15)</f>
        <v/>
      </c>
      <c r="F1204" s="2" t="str">
        <f t="shared" si="54"/>
        <v/>
      </c>
      <c r="G1204" s="2" t="str">
        <f t="shared" si="55"/>
        <v/>
      </c>
      <c r="H1204" s="2" t="str">
        <f>IF(A1204="","",MIN(0,MAX(0,C1204+E1204-'Loan Inputs'!$B$17)))</f>
        <v/>
      </c>
    </row>
    <row r="1205" spans="1:8" ht="22" customHeight="1">
      <c r="A1205" s="1" t="str">
        <f>IF(AND('Loan Inputs'!$B$12,1199&lt;=IF('Loan Inputs'!$B$12,'Loan Inputs'!$B$7,0)*'Loan Inputs'!$B$14+0,ISNUMBER(G1204),G1204&gt;0),1199,"")</f>
        <v/>
      </c>
      <c r="B1205" s="4" t="str">
        <f>IF(A1205="","",IF('Loan Inputs'!$B$14=12,DATE(YEAR('Loan Inputs'!$B$8),MONTH('Loan Inputs'!$B$8)+A1205,DAY('Loan Inputs'!$B$8)),'Loan Inputs'!$B$8+A1205*IF('Loan Inputs'!$B$14=26,14,7)))</f>
        <v/>
      </c>
      <c r="C1205" s="2" t="str">
        <f t="shared" si="56"/>
        <v/>
      </c>
      <c r="D1205" s="2" t="str">
        <f>IF(A1205="","",MIN('Loan Inputs'!$B$17,C1205+E1205)+H1205)</f>
        <v/>
      </c>
      <c r="E1205" s="2" t="str">
        <f>IF(A1205="","",C1205*'Loan Inputs'!$B$15)</f>
        <v/>
      </c>
      <c r="F1205" s="2" t="str">
        <f t="shared" si="54"/>
        <v/>
      </c>
      <c r="G1205" s="2" t="str">
        <f t="shared" si="55"/>
        <v/>
      </c>
      <c r="H1205" s="2" t="str">
        <f>IF(A1205="","",MIN(0,MAX(0,C1205+E1205-'Loan Inputs'!$B$17)))</f>
        <v/>
      </c>
    </row>
    <row r="1206" spans="1:8" ht="22" customHeight="1">
      <c r="A1206" s="1" t="str">
        <f>IF(AND('Loan Inputs'!$B$12,1200&lt;=IF('Loan Inputs'!$B$12,'Loan Inputs'!$B$7,0)*'Loan Inputs'!$B$14+0,ISNUMBER(G1205),G1205&gt;0),1200,"")</f>
        <v/>
      </c>
      <c r="B1206" s="4" t="str">
        <f>IF(A1206="","",IF('Loan Inputs'!$B$14=12,DATE(YEAR('Loan Inputs'!$B$8),MONTH('Loan Inputs'!$B$8)+A1206,DAY('Loan Inputs'!$B$8)),'Loan Inputs'!$B$8+A1206*IF('Loan Inputs'!$B$14=26,14,7)))</f>
        <v/>
      </c>
      <c r="C1206" s="2" t="str">
        <f t="shared" si="56"/>
        <v/>
      </c>
      <c r="D1206" s="2" t="str">
        <f>IF(A1206="","",MIN('Loan Inputs'!$B$17,C1206+E1206)+H1206)</f>
        <v/>
      </c>
      <c r="E1206" s="2" t="str">
        <f>IF(A1206="","",C1206*'Loan Inputs'!$B$15)</f>
        <v/>
      </c>
      <c r="F1206" s="2" t="str">
        <f t="shared" si="54"/>
        <v/>
      </c>
      <c r="G1206" s="2" t="str">
        <f t="shared" si="55"/>
        <v/>
      </c>
      <c r="H1206" s="2" t="str">
        <f>IF(A1206="","",MIN(0,MAX(0,C1206+E1206-'Loan Inputs'!$B$17)))</f>
        <v/>
      </c>
    </row>
    <row r="1207" spans="1:8" ht="22" customHeight="1">
      <c r="A1207" s="1" t="str">
        <f>IF(AND('Loan Inputs'!$B$12,1201&lt;=IF('Loan Inputs'!$B$12,'Loan Inputs'!$B$7,0)*'Loan Inputs'!$B$14+0,ISNUMBER(G1206),G1206&gt;0),1201,"")</f>
        <v/>
      </c>
      <c r="B1207" s="4" t="str">
        <f>IF(A1207="","",IF('Loan Inputs'!$B$14=12,DATE(YEAR('Loan Inputs'!$B$8),MONTH('Loan Inputs'!$B$8)+A1207,DAY('Loan Inputs'!$B$8)),'Loan Inputs'!$B$8+A1207*IF('Loan Inputs'!$B$14=26,14,7)))</f>
        <v/>
      </c>
      <c r="C1207" s="2" t="str">
        <f t="shared" si="56"/>
        <v/>
      </c>
      <c r="D1207" s="2" t="str">
        <f>IF(A1207="","",MIN('Loan Inputs'!$B$17,C1207+E1207)+H1207)</f>
        <v/>
      </c>
      <c r="E1207" s="2" t="str">
        <f>IF(A1207="","",C1207*'Loan Inputs'!$B$15)</f>
        <v/>
      </c>
      <c r="F1207" s="2" t="str">
        <f t="shared" si="54"/>
        <v/>
      </c>
      <c r="G1207" s="2" t="str">
        <f t="shared" si="55"/>
        <v/>
      </c>
      <c r="H1207" s="2" t="str">
        <f>IF(A1207="","",MIN(0,MAX(0,C1207+E1207-'Loan Inputs'!$B$17)))</f>
        <v/>
      </c>
    </row>
    <row r="1208" spans="1:8" ht="22" customHeight="1">
      <c r="A1208" s="1" t="str">
        <f>IF(AND('Loan Inputs'!$B$12,1202&lt;=IF('Loan Inputs'!$B$12,'Loan Inputs'!$B$7,0)*'Loan Inputs'!$B$14+0,ISNUMBER(G1207),G1207&gt;0),1202,"")</f>
        <v/>
      </c>
      <c r="B1208" s="4" t="str">
        <f>IF(A1208="","",IF('Loan Inputs'!$B$14=12,DATE(YEAR('Loan Inputs'!$B$8),MONTH('Loan Inputs'!$B$8)+A1208,DAY('Loan Inputs'!$B$8)),'Loan Inputs'!$B$8+A1208*IF('Loan Inputs'!$B$14=26,14,7)))</f>
        <v/>
      </c>
      <c r="C1208" s="2" t="str">
        <f t="shared" si="56"/>
        <v/>
      </c>
      <c r="D1208" s="2" t="str">
        <f>IF(A1208="","",MIN('Loan Inputs'!$B$17,C1208+E1208)+H1208)</f>
        <v/>
      </c>
      <c r="E1208" s="2" t="str">
        <f>IF(A1208="","",C1208*'Loan Inputs'!$B$15)</f>
        <v/>
      </c>
      <c r="F1208" s="2" t="str">
        <f t="shared" si="54"/>
        <v/>
      </c>
      <c r="G1208" s="2" t="str">
        <f t="shared" si="55"/>
        <v/>
      </c>
      <c r="H1208" s="2" t="str">
        <f>IF(A1208="","",MIN(0,MAX(0,C1208+E1208-'Loan Inputs'!$B$17)))</f>
        <v/>
      </c>
    </row>
    <row r="1209" spans="1:8" ht="22" customHeight="1">
      <c r="A1209" s="1" t="str">
        <f>IF(AND('Loan Inputs'!$B$12,1203&lt;=IF('Loan Inputs'!$B$12,'Loan Inputs'!$B$7,0)*'Loan Inputs'!$B$14+0,ISNUMBER(G1208),G1208&gt;0),1203,"")</f>
        <v/>
      </c>
      <c r="B1209" s="4" t="str">
        <f>IF(A1209="","",IF('Loan Inputs'!$B$14=12,DATE(YEAR('Loan Inputs'!$B$8),MONTH('Loan Inputs'!$B$8)+A1209,DAY('Loan Inputs'!$B$8)),'Loan Inputs'!$B$8+A1209*IF('Loan Inputs'!$B$14=26,14,7)))</f>
        <v/>
      </c>
      <c r="C1209" s="2" t="str">
        <f t="shared" si="56"/>
        <v/>
      </c>
      <c r="D1209" s="2" t="str">
        <f>IF(A1209="","",MIN('Loan Inputs'!$B$17,C1209+E1209)+H1209)</f>
        <v/>
      </c>
      <c r="E1209" s="2" t="str">
        <f>IF(A1209="","",C1209*'Loan Inputs'!$B$15)</f>
        <v/>
      </c>
      <c r="F1209" s="2" t="str">
        <f t="shared" si="54"/>
        <v/>
      </c>
      <c r="G1209" s="2" t="str">
        <f t="shared" si="55"/>
        <v/>
      </c>
      <c r="H1209" s="2" t="str">
        <f>IF(A1209="","",MIN(0,MAX(0,C1209+E1209-'Loan Inputs'!$B$17)))</f>
        <v/>
      </c>
    </row>
    <row r="1210" spans="1:8" ht="22" customHeight="1">
      <c r="A1210" s="1" t="str">
        <f>IF(AND('Loan Inputs'!$B$12,1204&lt;=IF('Loan Inputs'!$B$12,'Loan Inputs'!$B$7,0)*'Loan Inputs'!$B$14+0,ISNUMBER(G1209),G1209&gt;0),1204,"")</f>
        <v/>
      </c>
      <c r="B1210" s="4" t="str">
        <f>IF(A1210="","",IF('Loan Inputs'!$B$14=12,DATE(YEAR('Loan Inputs'!$B$8),MONTH('Loan Inputs'!$B$8)+A1210,DAY('Loan Inputs'!$B$8)),'Loan Inputs'!$B$8+A1210*IF('Loan Inputs'!$B$14=26,14,7)))</f>
        <v/>
      </c>
      <c r="C1210" s="2" t="str">
        <f t="shared" si="56"/>
        <v/>
      </c>
      <c r="D1210" s="2" t="str">
        <f>IF(A1210="","",MIN('Loan Inputs'!$B$17,C1210+E1210)+H1210)</f>
        <v/>
      </c>
      <c r="E1210" s="2" t="str">
        <f>IF(A1210="","",C1210*'Loan Inputs'!$B$15)</f>
        <v/>
      </c>
      <c r="F1210" s="2" t="str">
        <f t="shared" si="54"/>
        <v/>
      </c>
      <c r="G1210" s="2" t="str">
        <f t="shared" si="55"/>
        <v/>
      </c>
      <c r="H1210" s="2" t="str">
        <f>IF(A1210="","",MIN(0,MAX(0,C1210+E1210-'Loan Inputs'!$B$17)))</f>
        <v/>
      </c>
    </row>
    <row r="1211" spans="1:8" ht="22" customHeight="1">
      <c r="A1211" s="1" t="str">
        <f>IF(AND('Loan Inputs'!$B$12,1205&lt;=IF('Loan Inputs'!$B$12,'Loan Inputs'!$B$7,0)*'Loan Inputs'!$B$14+0,ISNUMBER(G1210),G1210&gt;0),1205,"")</f>
        <v/>
      </c>
      <c r="B1211" s="4" t="str">
        <f>IF(A1211="","",IF('Loan Inputs'!$B$14=12,DATE(YEAR('Loan Inputs'!$B$8),MONTH('Loan Inputs'!$B$8)+A1211,DAY('Loan Inputs'!$B$8)),'Loan Inputs'!$B$8+A1211*IF('Loan Inputs'!$B$14=26,14,7)))</f>
        <v/>
      </c>
      <c r="C1211" s="2" t="str">
        <f t="shared" si="56"/>
        <v/>
      </c>
      <c r="D1211" s="2" t="str">
        <f>IF(A1211="","",MIN('Loan Inputs'!$B$17,C1211+E1211)+H1211)</f>
        <v/>
      </c>
      <c r="E1211" s="2" t="str">
        <f>IF(A1211="","",C1211*'Loan Inputs'!$B$15)</f>
        <v/>
      </c>
      <c r="F1211" s="2" t="str">
        <f t="shared" si="54"/>
        <v/>
      </c>
      <c r="G1211" s="2" t="str">
        <f t="shared" si="55"/>
        <v/>
      </c>
      <c r="H1211" s="2" t="str">
        <f>IF(A1211="","",MIN(0,MAX(0,C1211+E1211-'Loan Inputs'!$B$17)))</f>
        <v/>
      </c>
    </row>
    <row r="1212" spans="1:8" ht="22" customHeight="1">
      <c r="A1212" s="1" t="str">
        <f>IF(AND('Loan Inputs'!$B$12,1206&lt;=IF('Loan Inputs'!$B$12,'Loan Inputs'!$B$7,0)*'Loan Inputs'!$B$14+0,ISNUMBER(G1211),G1211&gt;0),1206,"")</f>
        <v/>
      </c>
      <c r="B1212" s="4" t="str">
        <f>IF(A1212="","",IF('Loan Inputs'!$B$14=12,DATE(YEAR('Loan Inputs'!$B$8),MONTH('Loan Inputs'!$B$8)+A1212,DAY('Loan Inputs'!$B$8)),'Loan Inputs'!$B$8+A1212*IF('Loan Inputs'!$B$14=26,14,7)))</f>
        <v/>
      </c>
      <c r="C1212" s="2" t="str">
        <f t="shared" si="56"/>
        <v/>
      </c>
      <c r="D1212" s="2" t="str">
        <f>IF(A1212="","",MIN('Loan Inputs'!$B$17,C1212+E1212)+H1212)</f>
        <v/>
      </c>
      <c r="E1212" s="2" t="str">
        <f>IF(A1212="","",C1212*'Loan Inputs'!$B$15)</f>
        <v/>
      </c>
      <c r="F1212" s="2" t="str">
        <f t="shared" si="54"/>
        <v/>
      </c>
      <c r="G1212" s="2" t="str">
        <f t="shared" si="55"/>
        <v/>
      </c>
      <c r="H1212" s="2" t="str">
        <f>IF(A1212="","",MIN(0,MAX(0,C1212+E1212-'Loan Inputs'!$B$17)))</f>
        <v/>
      </c>
    </row>
    <row r="1213" spans="1:8" ht="22" customHeight="1">
      <c r="A1213" s="1" t="str">
        <f>IF(AND('Loan Inputs'!$B$12,1207&lt;=IF('Loan Inputs'!$B$12,'Loan Inputs'!$B$7,0)*'Loan Inputs'!$B$14+0,ISNUMBER(G1212),G1212&gt;0),1207,"")</f>
        <v/>
      </c>
      <c r="B1213" s="4" t="str">
        <f>IF(A1213="","",IF('Loan Inputs'!$B$14=12,DATE(YEAR('Loan Inputs'!$B$8),MONTH('Loan Inputs'!$B$8)+A1213,DAY('Loan Inputs'!$B$8)),'Loan Inputs'!$B$8+A1213*IF('Loan Inputs'!$B$14=26,14,7)))</f>
        <v/>
      </c>
      <c r="C1213" s="2" t="str">
        <f t="shared" si="56"/>
        <v/>
      </c>
      <c r="D1213" s="2" t="str">
        <f>IF(A1213="","",MIN('Loan Inputs'!$B$17,C1213+E1213)+H1213)</f>
        <v/>
      </c>
      <c r="E1213" s="2" t="str">
        <f>IF(A1213="","",C1213*'Loan Inputs'!$B$15)</f>
        <v/>
      </c>
      <c r="F1213" s="2" t="str">
        <f t="shared" si="54"/>
        <v/>
      </c>
      <c r="G1213" s="2" t="str">
        <f t="shared" si="55"/>
        <v/>
      </c>
      <c r="H1213" s="2" t="str">
        <f>IF(A1213="","",MIN(0,MAX(0,C1213+E1213-'Loan Inputs'!$B$17)))</f>
        <v/>
      </c>
    </row>
    <row r="1214" spans="1:8" ht="22" customHeight="1">
      <c r="A1214" s="1" t="str">
        <f>IF(AND('Loan Inputs'!$B$12,1208&lt;=IF('Loan Inputs'!$B$12,'Loan Inputs'!$B$7,0)*'Loan Inputs'!$B$14+0,ISNUMBER(G1213),G1213&gt;0),1208,"")</f>
        <v/>
      </c>
      <c r="B1214" s="4" t="str">
        <f>IF(A1214="","",IF('Loan Inputs'!$B$14=12,DATE(YEAR('Loan Inputs'!$B$8),MONTH('Loan Inputs'!$B$8)+A1214,DAY('Loan Inputs'!$B$8)),'Loan Inputs'!$B$8+A1214*IF('Loan Inputs'!$B$14=26,14,7)))</f>
        <v/>
      </c>
      <c r="C1214" s="2" t="str">
        <f t="shared" si="56"/>
        <v/>
      </c>
      <c r="D1214" s="2" t="str">
        <f>IF(A1214="","",MIN('Loan Inputs'!$B$17,C1214+E1214)+H1214)</f>
        <v/>
      </c>
      <c r="E1214" s="2" t="str">
        <f>IF(A1214="","",C1214*'Loan Inputs'!$B$15)</f>
        <v/>
      </c>
      <c r="F1214" s="2" t="str">
        <f t="shared" si="54"/>
        <v/>
      </c>
      <c r="G1214" s="2" t="str">
        <f t="shared" si="55"/>
        <v/>
      </c>
      <c r="H1214" s="2" t="str">
        <f>IF(A1214="","",MIN(0,MAX(0,C1214+E1214-'Loan Inputs'!$B$17)))</f>
        <v/>
      </c>
    </row>
    <row r="1215" spans="1:8" ht="22" customHeight="1">
      <c r="A1215" s="1" t="str">
        <f>IF(AND('Loan Inputs'!$B$12,1209&lt;=IF('Loan Inputs'!$B$12,'Loan Inputs'!$B$7,0)*'Loan Inputs'!$B$14+0,ISNUMBER(G1214),G1214&gt;0),1209,"")</f>
        <v/>
      </c>
      <c r="B1215" s="4" t="str">
        <f>IF(A1215="","",IF('Loan Inputs'!$B$14=12,DATE(YEAR('Loan Inputs'!$B$8),MONTH('Loan Inputs'!$B$8)+A1215,DAY('Loan Inputs'!$B$8)),'Loan Inputs'!$B$8+A1215*IF('Loan Inputs'!$B$14=26,14,7)))</f>
        <v/>
      </c>
      <c r="C1215" s="2" t="str">
        <f t="shared" si="56"/>
        <v/>
      </c>
      <c r="D1215" s="2" t="str">
        <f>IF(A1215="","",MIN('Loan Inputs'!$B$17,C1215+E1215)+H1215)</f>
        <v/>
      </c>
      <c r="E1215" s="2" t="str">
        <f>IF(A1215="","",C1215*'Loan Inputs'!$B$15)</f>
        <v/>
      </c>
      <c r="F1215" s="2" t="str">
        <f t="shared" si="54"/>
        <v/>
      </c>
      <c r="G1215" s="2" t="str">
        <f t="shared" si="55"/>
        <v/>
      </c>
      <c r="H1215" s="2" t="str">
        <f>IF(A1215="","",MIN(0,MAX(0,C1215+E1215-'Loan Inputs'!$B$17)))</f>
        <v/>
      </c>
    </row>
    <row r="1216" spans="1:8" ht="22" customHeight="1">
      <c r="A1216" s="1" t="str">
        <f>IF(AND('Loan Inputs'!$B$12,1210&lt;=IF('Loan Inputs'!$B$12,'Loan Inputs'!$B$7,0)*'Loan Inputs'!$B$14+0,ISNUMBER(G1215),G1215&gt;0),1210,"")</f>
        <v/>
      </c>
      <c r="B1216" s="4" t="str">
        <f>IF(A1216="","",IF('Loan Inputs'!$B$14=12,DATE(YEAR('Loan Inputs'!$B$8),MONTH('Loan Inputs'!$B$8)+A1216,DAY('Loan Inputs'!$B$8)),'Loan Inputs'!$B$8+A1216*IF('Loan Inputs'!$B$14=26,14,7)))</f>
        <v/>
      </c>
      <c r="C1216" s="2" t="str">
        <f t="shared" si="56"/>
        <v/>
      </c>
      <c r="D1216" s="2" t="str">
        <f>IF(A1216="","",MIN('Loan Inputs'!$B$17,C1216+E1216)+H1216)</f>
        <v/>
      </c>
      <c r="E1216" s="2" t="str">
        <f>IF(A1216="","",C1216*'Loan Inputs'!$B$15)</f>
        <v/>
      </c>
      <c r="F1216" s="2" t="str">
        <f t="shared" si="54"/>
        <v/>
      </c>
      <c r="G1216" s="2" t="str">
        <f t="shared" si="55"/>
        <v/>
      </c>
      <c r="H1216" s="2" t="str">
        <f>IF(A1216="","",MIN(0,MAX(0,C1216+E1216-'Loan Inputs'!$B$17)))</f>
        <v/>
      </c>
    </row>
    <row r="1217" spans="1:8" ht="22" customHeight="1">
      <c r="A1217" s="1" t="str">
        <f>IF(AND('Loan Inputs'!$B$12,1211&lt;=IF('Loan Inputs'!$B$12,'Loan Inputs'!$B$7,0)*'Loan Inputs'!$B$14+0,ISNUMBER(G1216),G1216&gt;0),1211,"")</f>
        <v/>
      </c>
      <c r="B1217" s="4" t="str">
        <f>IF(A1217="","",IF('Loan Inputs'!$B$14=12,DATE(YEAR('Loan Inputs'!$B$8),MONTH('Loan Inputs'!$B$8)+A1217,DAY('Loan Inputs'!$B$8)),'Loan Inputs'!$B$8+A1217*IF('Loan Inputs'!$B$14=26,14,7)))</f>
        <v/>
      </c>
      <c r="C1217" s="2" t="str">
        <f t="shared" si="56"/>
        <v/>
      </c>
      <c r="D1217" s="2" t="str">
        <f>IF(A1217="","",MIN('Loan Inputs'!$B$17,C1217+E1217)+H1217)</f>
        <v/>
      </c>
      <c r="E1217" s="2" t="str">
        <f>IF(A1217="","",C1217*'Loan Inputs'!$B$15)</f>
        <v/>
      </c>
      <c r="F1217" s="2" t="str">
        <f t="shared" si="54"/>
        <v/>
      </c>
      <c r="G1217" s="2" t="str">
        <f t="shared" si="55"/>
        <v/>
      </c>
      <c r="H1217" s="2" t="str">
        <f>IF(A1217="","",MIN(0,MAX(0,C1217+E1217-'Loan Inputs'!$B$17)))</f>
        <v/>
      </c>
    </row>
    <row r="1218" spans="1:8" ht="22" customHeight="1">
      <c r="A1218" s="1" t="str">
        <f>IF(AND('Loan Inputs'!$B$12,1212&lt;=IF('Loan Inputs'!$B$12,'Loan Inputs'!$B$7,0)*'Loan Inputs'!$B$14+0,ISNUMBER(G1217),G1217&gt;0),1212,"")</f>
        <v/>
      </c>
      <c r="B1218" s="4" t="str">
        <f>IF(A1218="","",IF('Loan Inputs'!$B$14=12,DATE(YEAR('Loan Inputs'!$B$8),MONTH('Loan Inputs'!$B$8)+A1218,DAY('Loan Inputs'!$B$8)),'Loan Inputs'!$B$8+A1218*IF('Loan Inputs'!$B$14=26,14,7)))</f>
        <v/>
      </c>
      <c r="C1218" s="2" t="str">
        <f t="shared" si="56"/>
        <v/>
      </c>
      <c r="D1218" s="2" t="str">
        <f>IF(A1218="","",MIN('Loan Inputs'!$B$17,C1218+E1218)+H1218)</f>
        <v/>
      </c>
      <c r="E1218" s="2" t="str">
        <f>IF(A1218="","",C1218*'Loan Inputs'!$B$15)</f>
        <v/>
      </c>
      <c r="F1218" s="2" t="str">
        <f t="shared" si="54"/>
        <v/>
      </c>
      <c r="G1218" s="2" t="str">
        <f t="shared" si="55"/>
        <v/>
      </c>
      <c r="H1218" s="2" t="str">
        <f>IF(A1218="","",MIN(0,MAX(0,C1218+E1218-'Loan Inputs'!$B$17)))</f>
        <v/>
      </c>
    </row>
    <row r="1219" spans="1:8" ht="22" customHeight="1">
      <c r="A1219" s="1" t="str">
        <f>IF(AND('Loan Inputs'!$B$12,1213&lt;=IF('Loan Inputs'!$B$12,'Loan Inputs'!$B$7,0)*'Loan Inputs'!$B$14+0,ISNUMBER(G1218),G1218&gt;0),1213,"")</f>
        <v/>
      </c>
      <c r="B1219" s="4" t="str">
        <f>IF(A1219="","",IF('Loan Inputs'!$B$14=12,DATE(YEAR('Loan Inputs'!$B$8),MONTH('Loan Inputs'!$B$8)+A1219,DAY('Loan Inputs'!$B$8)),'Loan Inputs'!$B$8+A1219*IF('Loan Inputs'!$B$14=26,14,7)))</f>
        <v/>
      </c>
      <c r="C1219" s="2" t="str">
        <f t="shared" si="56"/>
        <v/>
      </c>
      <c r="D1219" s="2" t="str">
        <f>IF(A1219="","",MIN('Loan Inputs'!$B$17,C1219+E1219)+H1219)</f>
        <v/>
      </c>
      <c r="E1219" s="2" t="str">
        <f>IF(A1219="","",C1219*'Loan Inputs'!$B$15)</f>
        <v/>
      </c>
      <c r="F1219" s="2" t="str">
        <f t="shared" si="54"/>
        <v/>
      </c>
      <c r="G1219" s="2" t="str">
        <f t="shared" si="55"/>
        <v/>
      </c>
      <c r="H1219" s="2" t="str">
        <f>IF(A1219="","",MIN(0,MAX(0,C1219+E1219-'Loan Inputs'!$B$17)))</f>
        <v/>
      </c>
    </row>
    <row r="1220" spans="1:8" ht="22" customHeight="1">
      <c r="A1220" s="1" t="str">
        <f>IF(AND('Loan Inputs'!$B$12,1214&lt;=IF('Loan Inputs'!$B$12,'Loan Inputs'!$B$7,0)*'Loan Inputs'!$B$14+0,ISNUMBER(G1219),G1219&gt;0),1214,"")</f>
        <v/>
      </c>
      <c r="B1220" s="4" t="str">
        <f>IF(A1220="","",IF('Loan Inputs'!$B$14=12,DATE(YEAR('Loan Inputs'!$B$8),MONTH('Loan Inputs'!$B$8)+A1220,DAY('Loan Inputs'!$B$8)),'Loan Inputs'!$B$8+A1220*IF('Loan Inputs'!$B$14=26,14,7)))</f>
        <v/>
      </c>
      <c r="C1220" s="2" t="str">
        <f t="shared" si="56"/>
        <v/>
      </c>
      <c r="D1220" s="2" t="str">
        <f>IF(A1220="","",MIN('Loan Inputs'!$B$17,C1220+E1220)+H1220)</f>
        <v/>
      </c>
      <c r="E1220" s="2" t="str">
        <f>IF(A1220="","",C1220*'Loan Inputs'!$B$15)</f>
        <v/>
      </c>
      <c r="F1220" s="2" t="str">
        <f t="shared" si="54"/>
        <v/>
      </c>
      <c r="G1220" s="2" t="str">
        <f t="shared" si="55"/>
        <v/>
      </c>
      <c r="H1220" s="2" t="str">
        <f>IF(A1220="","",MIN(0,MAX(0,C1220+E1220-'Loan Inputs'!$B$17)))</f>
        <v/>
      </c>
    </row>
    <row r="1221" spans="1:8" ht="22" customHeight="1">
      <c r="A1221" s="1" t="str">
        <f>IF(AND('Loan Inputs'!$B$12,1215&lt;=IF('Loan Inputs'!$B$12,'Loan Inputs'!$B$7,0)*'Loan Inputs'!$B$14+0,ISNUMBER(G1220),G1220&gt;0),1215,"")</f>
        <v/>
      </c>
      <c r="B1221" s="4" t="str">
        <f>IF(A1221="","",IF('Loan Inputs'!$B$14=12,DATE(YEAR('Loan Inputs'!$B$8),MONTH('Loan Inputs'!$B$8)+A1221,DAY('Loan Inputs'!$B$8)),'Loan Inputs'!$B$8+A1221*IF('Loan Inputs'!$B$14=26,14,7)))</f>
        <v/>
      </c>
      <c r="C1221" s="2" t="str">
        <f t="shared" si="56"/>
        <v/>
      </c>
      <c r="D1221" s="2" t="str">
        <f>IF(A1221="","",MIN('Loan Inputs'!$B$17,C1221+E1221)+H1221)</f>
        <v/>
      </c>
      <c r="E1221" s="2" t="str">
        <f>IF(A1221="","",C1221*'Loan Inputs'!$B$15)</f>
        <v/>
      </c>
      <c r="F1221" s="2" t="str">
        <f t="shared" si="54"/>
        <v/>
      </c>
      <c r="G1221" s="2" t="str">
        <f t="shared" si="55"/>
        <v/>
      </c>
      <c r="H1221" s="2" t="str">
        <f>IF(A1221="","",MIN(0,MAX(0,C1221+E1221-'Loan Inputs'!$B$17)))</f>
        <v/>
      </c>
    </row>
    <row r="1222" spans="1:8" ht="22" customHeight="1">
      <c r="A1222" s="1" t="str">
        <f>IF(AND('Loan Inputs'!$B$12,1216&lt;=IF('Loan Inputs'!$B$12,'Loan Inputs'!$B$7,0)*'Loan Inputs'!$B$14+0,ISNUMBER(G1221),G1221&gt;0),1216,"")</f>
        <v/>
      </c>
      <c r="B1222" s="4" t="str">
        <f>IF(A1222="","",IF('Loan Inputs'!$B$14=12,DATE(YEAR('Loan Inputs'!$B$8),MONTH('Loan Inputs'!$B$8)+A1222,DAY('Loan Inputs'!$B$8)),'Loan Inputs'!$B$8+A1222*IF('Loan Inputs'!$B$14=26,14,7)))</f>
        <v/>
      </c>
      <c r="C1222" s="2" t="str">
        <f t="shared" si="56"/>
        <v/>
      </c>
      <c r="D1222" s="2" t="str">
        <f>IF(A1222="","",MIN('Loan Inputs'!$B$17,C1222+E1222)+H1222)</f>
        <v/>
      </c>
      <c r="E1222" s="2" t="str">
        <f>IF(A1222="","",C1222*'Loan Inputs'!$B$15)</f>
        <v/>
      </c>
      <c r="F1222" s="2" t="str">
        <f t="shared" si="54"/>
        <v/>
      </c>
      <c r="G1222" s="2" t="str">
        <f t="shared" si="55"/>
        <v/>
      </c>
      <c r="H1222" s="2" t="str">
        <f>IF(A1222="","",MIN(0,MAX(0,C1222+E1222-'Loan Inputs'!$B$17)))</f>
        <v/>
      </c>
    </row>
    <row r="1223" spans="1:8" ht="22" customHeight="1">
      <c r="A1223" s="1" t="str">
        <f>IF(AND('Loan Inputs'!$B$12,1217&lt;=IF('Loan Inputs'!$B$12,'Loan Inputs'!$B$7,0)*'Loan Inputs'!$B$14+0,ISNUMBER(G1222),G1222&gt;0),1217,"")</f>
        <v/>
      </c>
      <c r="B1223" s="4" t="str">
        <f>IF(A1223="","",IF('Loan Inputs'!$B$14=12,DATE(YEAR('Loan Inputs'!$B$8),MONTH('Loan Inputs'!$B$8)+A1223,DAY('Loan Inputs'!$B$8)),'Loan Inputs'!$B$8+A1223*IF('Loan Inputs'!$B$14=26,14,7)))</f>
        <v/>
      </c>
      <c r="C1223" s="2" t="str">
        <f t="shared" si="56"/>
        <v/>
      </c>
      <c r="D1223" s="2" t="str">
        <f>IF(A1223="","",MIN('Loan Inputs'!$B$17,C1223+E1223)+H1223)</f>
        <v/>
      </c>
      <c r="E1223" s="2" t="str">
        <f>IF(A1223="","",C1223*'Loan Inputs'!$B$15)</f>
        <v/>
      </c>
      <c r="F1223" s="2" t="str">
        <f t="shared" ref="F1223:F1286" si="57">IF(A1223="","",MIN(C1223,D1223-E1223))</f>
        <v/>
      </c>
      <c r="G1223" s="2" t="str">
        <f t="shared" ref="G1223:G1286" si="58">IF(A1223="","",IF(C1223-F1223&lt;0.01,0,MAX(0,C1223-F1223)))</f>
        <v/>
      </c>
      <c r="H1223" s="2" t="str">
        <f>IF(A1223="","",MIN(0,MAX(0,C1223+E1223-'Loan Inputs'!$B$17)))</f>
        <v/>
      </c>
    </row>
    <row r="1224" spans="1:8" ht="22" customHeight="1">
      <c r="A1224" s="1" t="str">
        <f>IF(AND('Loan Inputs'!$B$12,1218&lt;=IF('Loan Inputs'!$B$12,'Loan Inputs'!$B$7,0)*'Loan Inputs'!$B$14+0,ISNUMBER(G1223),G1223&gt;0),1218,"")</f>
        <v/>
      </c>
      <c r="B1224" s="4" t="str">
        <f>IF(A1224="","",IF('Loan Inputs'!$B$14=12,DATE(YEAR('Loan Inputs'!$B$8),MONTH('Loan Inputs'!$B$8)+A1224,DAY('Loan Inputs'!$B$8)),'Loan Inputs'!$B$8+A1224*IF('Loan Inputs'!$B$14=26,14,7)))</f>
        <v/>
      </c>
      <c r="C1224" s="2" t="str">
        <f t="shared" ref="C1224:C1287" si="59">IF(A1224="","",G1223)</f>
        <v/>
      </c>
      <c r="D1224" s="2" t="str">
        <f>IF(A1224="","",MIN('Loan Inputs'!$B$17,C1224+E1224)+H1224)</f>
        <v/>
      </c>
      <c r="E1224" s="2" t="str">
        <f>IF(A1224="","",C1224*'Loan Inputs'!$B$15)</f>
        <v/>
      </c>
      <c r="F1224" s="2" t="str">
        <f t="shared" si="57"/>
        <v/>
      </c>
      <c r="G1224" s="2" t="str">
        <f t="shared" si="58"/>
        <v/>
      </c>
      <c r="H1224" s="2" t="str">
        <f>IF(A1224="","",MIN(0,MAX(0,C1224+E1224-'Loan Inputs'!$B$17)))</f>
        <v/>
      </c>
    </row>
    <row r="1225" spans="1:8" ht="22" customHeight="1">
      <c r="A1225" s="1" t="str">
        <f>IF(AND('Loan Inputs'!$B$12,1219&lt;=IF('Loan Inputs'!$B$12,'Loan Inputs'!$B$7,0)*'Loan Inputs'!$B$14+0,ISNUMBER(G1224),G1224&gt;0),1219,"")</f>
        <v/>
      </c>
      <c r="B1225" s="4" t="str">
        <f>IF(A1225="","",IF('Loan Inputs'!$B$14=12,DATE(YEAR('Loan Inputs'!$B$8),MONTH('Loan Inputs'!$B$8)+A1225,DAY('Loan Inputs'!$B$8)),'Loan Inputs'!$B$8+A1225*IF('Loan Inputs'!$B$14=26,14,7)))</f>
        <v/>
      </c>
      <c r="C1225" s="2" t="str">
        <f t="shared" si="59"/>
        <v/>
      </c>
      <c r="D1225" s="2" t="str">
        <f>IF(A1225="","",MIN('Loan Inputs'!$B$17,C1225+E1225)+H1225)</f>
        <v/>
      </c>
      <c r="E1225" s="2" t="str">
        <f>IF(A1225="","",C1225*'Loan Inputs'!$B$15)</f>
        <v/>
      </c>
      <c r="F1225" s="2" t="str">
        <f t="shared" si="57"/>
        <v/>
      </c>
      <c r="G1225" s="2" t="str">
        <f t="shared" si="58"/>
        <v/>
      </c>
      <c r="H1225" s="2" t="str">
        <f>IF(A1225="","",MIN(0,MAX(0,C1225+E1225-'Loan Inputs'!$B$17)))</f>
        <v/>
      </c>
    </row>
    <row r="1226" spans="1:8" ht="22" customHeight="1">
      <c r="A1226" s="1" t="str">
        <f>IF(AND('Loan Inputs'!$B$12,1220&lt;=IF('Loan Inputs'!$B$12,'Loan Inputs'!$B$7,0)*'Loan Inputs'!$B$14+0,ISNUMBER(G1225),G1225&gt;0),1220,"")</f>
        <v/>
      </c>
      <c r="B1226" s="4" t="str">
        <f>IF(A1226="","",IF('Loan Inputs'!$B$14=12,DATE(YEAR('Loan Inputs'!$B$8),MONTH('Loan Inputs'!$B$8)+A1226,DAY('Loan Inputs'!$B$8)),'Loan Inputs'!$B$8+A1226*IF('Loan Inputs'!$B$14=26,14,7)))</f>
        <v/>
      </c>
      <c r="C1226" s="2" t="str">
        <f t="shared" si="59"/>
        <v/>
      </c>
      <c r="D1226" s="2" t="str">
        <f>IF(A1226="","",MIN('Loan Inputs'!$B$17,C1226+E1226)+H1226)</f>
        <v/>
      </c>
      <c r="E1226" s="2" t="str">
        <f>IF(A1226="","",C1226*'Loan Inputs'!$B$15)</f>
        <v/>
      </c>
      <c r="F1226" s="2" t="str">
        <f t="shared" si="57"/>
        <v/>
      </c>
      <c r="G1226" s="2" t="str">
        <f t="shared" si="58"/>
        <v/>
      </c>
      <c r="H1226" s="2" t="str">
        <f>IF(A1226="","",MIN(0,MAX(0,C1226+E1226-'Loan Inputs'!$B$17)))</f>
        <v/>
      </c>
    </row>
    <row r="1227" spans="1:8" ht="22" customHeight="1">
      <c r="A1227" s="1" t="str">
        <f>IF(AND('Loan Inputs'!$B$12,1221&lt;=IF('Loan Inputs'!$B$12,'Loan Inputs'!$B$7,0)*'Loan Inputs'!$B$14+0,ISNUMBER(G1226),G1226&gt;0),1221,"")</f>
        <v/>
      </c>
      <c r="B1227" s="4" t="str">
        <f>IF(A1227="","",IF('Loan Inputs'!$B$14=12,DATE(YEAR('Loan Inputs'!$B$8),MONTH('Loan Inputs'!$B$8)+A1227,DAY('Loan Inputs'!$B$8)),'Loan Inputs'!$B$8+A1227*IF('Loan Inputs'!$B$14=26,14,7)))</f>
        <v/>
      </c>
      <c r="C1227" s="2" t="str">
        <f t="shared" si="59"/>
        <v/>
      </c>
      <c r="D1227" s="2" t="str">
        <f>IF(A1227="","",MIN('Loan Inputs'!$B$17,C1227+E1227)+H1227)</f>
        <v/>
      </c>
      <c r="E1227" s="2" t="str">
        <f>IF(A1227="","",C1227*'Loan Inputs'!$B$15)</f>
        <v/>
      </c>
      <c r="F1227" s="2" t="str">
        <f t="shared" si="57"/>
        <v/>
      </c>
      <c r="G1227" s="2" t="str">
        <f t="shared" si="58"/>
        <v/>
      </c>
      <c r="H1227" s="2" t="str">
        <f>IF(A1227="","",MIN(0,MAX(0,C1227+E1227-'Loan Inputs'!$B$17)))</f>
        <v/>
      </c>
    </row>
    <row r="1228" spans="1:8" ht="22" customHeight="1">
      <c r="A1228" s="1" t="str">
        <f>IF(AND('Loan Inputs'!$B$12,1222&lt;=IF('Loan Inputs'!$B$12,'Loan Inputs'!$B$7,0)*'Loan Inputs'!$B$14+0,ISNUMBER(G1227),G1227&gt;0),1222,"")</f>
        <v/>
      </c>
      <c r="B1228" s="4" t="str">
        <f>IF(A1228="","",IF('Loan Inputs'!$B$14=12,DATE(YEAR('Loan Inputs'!$B$8),MONTH('Loan Inputs'!$B$8)+A1228,DAY('Loan Inputs'!$B$8)),'Loan Inputs'!$B$8+A1228*IF('Loan Inputs'!$B$14=26,14,7)))</f>
        <v/>
      </c>
      <c r="C1228" s="2" t="str">
        <f t="shared" si="59"/>
        <v/>
      </c>
      <c r="D1228" s="2" t="str">
        <f>IF(A1228="","",MIN('Loan Inputs'!$B$17,C1228+E1228)+H1228)</f>
        <v/>
      </c>
      <c r="E1228" s="2" t="str">
        <f>IF(A1228="","",C1228*'Loan Inputs'!$B$15)</f>
        <v/>
      </c>
      <c r="F1228" s="2" t="str">
        <f t="shared" si="57"/>
        <v/>
      </c>
      <c r="G1228" s="2" t="str">
        <f t="shared" si="58"/>
        <v/>
      </c>
      <c r="H1228" s="2" t="str">
        <f>IF(A1228="","",MIN(0,MAX(0,C1228+E1228-'Loan Inputs'!$B$17)))</f>
        <v/>
      </c>
    </row>
    <row r="1229" spans="1:8" ht="22" customHeight="1">
      <c r="A1229" s="1" t="str">
        <f>IF(AND('Loan Inputs'!$B$12,1223&lt;=IF('Loan Inputs'!$B$12,'Loan Inputs'!$B$7,0)*'Loan Inputs'!$B$14+0,ISNUMBER(G1228),G1228&gt;0),1223,"")</f>
        <v/>
      </c>
      <c r="B1229" s="4" t="str">
        <f>IF(A1229="","",IF('Loan Inputs'!$B$14=12,DATE(YEAR('Loan Inputs'!$B$8),MONTH('Loan Inputs'!$B$8)+A1229,DAY('Loan Inputs'!$B$8)),'Loan Inputs'!$B$8+A1229*IF('Loan Inputs'!$B$14=26,14,7)))</f>
        <v/>
      </c>
      <c r="C1229" s="2" t="str">
        <f t="shared" si="59"/>
        <v/>
      </c>
      <c r="D1229" s="2" t="str">
        <f>IF(A1229="","",MIN('Loan Inputs'!$B$17,C1229+E1229)+H1229)</f>
        <v/>
      </c>
      <c r="E1229" s="2" t="str">
        <f>IF(A1229="","",C1229*'Loan Inputs'!$B$15)</f>
        <v/>
      </c>
      <c r="F1229" s="2" t="str">
        <f t="shared" si="57"/>
        <v/>
      </c>
      <c r="G1229" s="2" t="str">
        <f t="shared" si="58"/>
        <v/>
      </c>
      <c r="H1229" s="2" t="str">
        <f>IF(A1229="","",MIN(0,MAX(0,C1229+E1229-'Loan Inputs'!$B$17)))</f>
        <v/>
      </c>
    </row>
    <row r="1230" spans="1:8" ht="22" customHeight="1">
      <c r="A1230" s="1" t="str">
        <f>IF(AND('Loan Inputs'!$B$12,1224&lt;=IF('Loan Inputs'!$B$12,'Loan Inputs'!$B$7,0)*'Loan Inputs'!$B$14+0,ISNUMBER(G1229),G1229&gt;0),1224,"")</f>
        <v/>
      </c>
      <c r="B1230" s="4" t="str">
        <f>IF(A1230="","",IF('Loan Inputs'!$B$14=12,DATE(YEAR('Loan Inputs'!$B$8),MONTH('Loan Inputs'!$B$8)+A1230,DAY('Loan Inputs'!$B$8)),'Loan Inputs'!$B$8+A1230*IF('Loan Inputs'!$B$14=26,14,7)))</f>
        <v/>
      </c>
      <c r="C1230" s="2" t="str">
        <f t="shared" si="59"/>
        <v/>
      </c>
      <c r="D1230" s="2" t="str">
        <f>IF(A1230="","",MIN('Loan Inputs'!$B$17,C1230+E1230)+H1230)</f>
        <v/>
      </c>
      <c r="E1230" s="2" t="str">
        <f>IF(A1230="","",C1230*'Loan Inputs'!$B$15)</f>
        <v/>
      </c>
      <c r="F1230" s="2" t="str">
        <f t="shared" si="57"/>
        <v/>
      </c>
      <c r="G1230" s="2" t="str">
        <f t="shared" si="58"/>
        <v/>
      </c>
      <c r="H1230" s="2" t="str">
        <f>IF(A1230="","",MIN(0,MAX(0,C1230+E1230-'Loan Inputs'!$B$17)))</f>
        <v/>
      </c>
    </row>
    <row r="1231" spans="1:8" ht="22" customHeight="1">
      <c r="A1231" s="1" t="str">
        <f>IF(AND('Loan Inputs'!$B$12,1225&lt;=IF('Loan Inputs'!$B$12,'Loan Inputs'!$B$7,0)*'Loan Inputs'!$B$14+0,ISNUMBER(G1230),G1230&gt;0),1225,"")</f>
        <v/>
      </c>
      <c r="B1231" s="4" t="str">
        <f>IF(A1231="","",IF('Loan Inputs'!$B$14=12,DATE(YEAR('Loan Inputs'!$B$8),MONTH('Loan Inputs'!$B$8)+A1231,DAY('Loan Inputs'!$B$8)),'Loan Inputs'!$B$8+A1231*IF('Loan Inputs'!$B$14=26,14,7)))</f>
        <v/>
      </c>
      <c r="C1231" s="2" t="str">
        <f t="shared" si="59"/>
        <v/>
      </c>
      <c r="D1231" s="2" t="str">
        <f>IF(A1231="","",MIN('Loan Inputs'!$B$17,C1231+E1231)+H1231)</f>
        <v/>
      </c>
      <c r="E1231" s="2" t="str">
        <f>IF(A1231="","",C1231*'Loan Inputs'!$B$15)</f>
        <v/>
      </c>
      <c r="F1231" s="2" t="str">
        <f t="shared" si="57"/>
        <v/>
      </c>
      <c r="G1231" s="2" t="str">
        <f t="shared" si="58"/>
        <v/>
      </c>
      <c r="H1231" s="2" t="str">
        <f>IF(A1231="","",MIN(0,MAX(0,C1231+E1231-'Loan Inputs'!$B$17)))</f>
        <v/>
      </c>
    </row>
    <row r="1232" spans="1:8" ht="22" customHeight="1">
      <c r="A1232" s="1" t="str">
        <f>IF(AND('Loan Inputs'!$B$12,1226&lt;=IF('Loan Inputs'!$B$12,'Loan Inputs'!$B$7,0)*'Loan Inputs'!$B$14+0,ISNUMBER(G1231),G1231&gt;0),1226,"")</f>
        <v/>
      </c>
      <c r="B1232" s="4" t="str">
        <f>IF(A1232="","",IF('Loan Inputs'!$B$14=12,DATE(YEAR('Loan Inputs'!$B$8),MONTH('Loan Inputs'!$B$8)+A1232,DAY('Loan Inputs'!$B$8)),'Loan Inputs'!$B$8+A1232*IF('Loan Inputs'!$B$14=26,14,7)))</f>
        <v/>
      </c>
      <c r="C1232" s="2" t="str">
        <f t="shared" si="59"/>
        <v/>
      </c>
      <c r="D1232" s="2" t="str">
        <f>IF(A1232="","",MIN('Loan Inputs'!$B$17,C1232+E1232)+H1232)</f>
        <v/>
      </c>
      <c r="E1232" s="2" t="str">
        <f>IF(A1232="","",C1232*'Loan Inputs'!$B$15)</f>
        <v/>
      </c>
      <c r="F1232" s="2" t="str">
        <f t="shared" si="57"/>
        <v/>
      </c>
      <c r="G1232" s="2" t="str">
        <f t="shared" si="58"/>
        <v/>
      </c>
      <c r="H1232" s="2" t="str">
        <f>IF(A1232="","",MIN(0,MAX(0,C1232+E1232-'Loan Inputs'!$B$17)))</f>
        <v/>
      </c>
    </row>
    <row r="1233" spans="1:8" ht="22" customHeight="1">
      <c r="A1233" s="1" t="str">
        <f>IF(AND('Loan Inputs'!$B$12,1227&lt;=IF('Loan Inputs'!$B$12,'Loan Inputs'!$B$7,0)*'Loan Inputs'!$B$14+0,ISNUMBER(G1232),G1232&gt;0),1227,"")</f>
        <v/>
      </c>
      <c r="B1233" s="4" t="str">
        <f>IF(A1233="","",IF('Loan Inputs'!$B$14=12,DATE(YEAR('Loan Inputs'!$B$8),MONTH('Loan Inputs'!$B$8)+A1233,DAY('Loan Inputs'!$B$8)),'Loan Inputs'!$B$8+A1233*IF('Loan Inputs'!$B$14=26,14,7)))</f>
        <v/>
      </c>
      <c r="C1233" s="2" t="str">
        <f t="shared" si="59"/>
        <v/>
      </c>
      <c r="D1233" s="2" t="str">
        <f>IF(A1233="","",MIN('Loan Inputs'!$B$17,C1233+E1233)+H1233)</f>
        <v/>
      </c>
      <c r="E1233" s="2" t="str">
        <f>IF(A1233="","",C1233*'Loan Inputs'!$B$15)</f>
        <v/>
      </c>
      <c r="F1233" s="2" t="str">
        <f t="shared" si="57"/>
        <v/>
      </c>
      <c r="G1233" s="2" t="str">
        <f t="shared" si="58"/>
        <v/>
      </c>
      <c r="H1233" s="2" t="str">
        <f>IF(A1233="","",MIN(0,MAX(0,C1233+E1233-'Loan Inputs'!$B$17)))</f>
        <v/>
      </c>
    </row>
    <row r="1234" spans="1:8" ht="22" customHeight="1">
      <c r="A1234" s="1" t="str">
        <f>IF(AND('Loan Inputs'!$B$12,1228&lt;=IF('Loan Inputs'!$B$12,'Loan Inputs'!$B$7,0)*'Loan Inputs'!$B$14+0,ISNUMBER(G1233),G1233&gt;0),1228,"")</f>
        <v/>
      </c>
      <c r="B1234" s="4" t="str">
        <f>IF(A1234="","",IF('Loan Inputs'!$B$14=12,DATE(YEAR('Loan Inputs'!$B$8),MONTH('Loan Inputs'!$B$8)+A1234,DAY('Loan Inputs'!$B$8)),'Loan Inputs'!$B$8+A1234*IF('Loan Inputs'!$B$14=26,14,7)))</f>
        <v/>
      </c>
      <c r="C1234" s="2" t="str">
        <f t="shared" si="59"/>
        <v/>
      </c>
      <c r="D1234" s="2" t="str">
        <f>IF(A1234="","",MIN('Loan Inputs'!$B$17,C1234+E1234)+H1234)</f>
        <v/>
      </c>
      <c r="E1234" s="2" t="str">
        <f>IF(A1234="","",C1234*'Loan Inputs'!$B$15)</f>
        <v/>
      </c>
      <c r="F1234" s="2" t="str">
        <f t="shared" si="57"/>
        <v/>
      </c>
      <c r="G1234" s="2" t="str">
        <f t="shared" si="58"/>
        <v/>
      </c>
      <c r="H1234" s="2" t="str">
        <f>IF(A1234="","",MIN(0,MAX(0,C1234+E1234-'Loan Inputs'!$B$17)))</f>
        <v/>
      </c>
    </row>
    <row r="1235" spans="1:8" ht="22" customHeight="1">
      <c r="A1235" s="1" t="str">
        <f>IF(AND('Loan Inputs'!$B$12,1229&lt;=IF('Loan Inputs'!$B$12,'Loan Inputs'!$B$7,0)*'Loan Inputs'!$B$14+0,ISNUMBER(G1234),G1234&gt;0),1229,"")</f>
        <v/>
      </c>
      <c r="B1235" s="4" t="str">
        <f>IF(A1235="","",IF('Loan Inputs'!$B$14=12,DATE(YEAR('Loan Inputs'!$B$8),MONTH('Loan Inputs'!$B$8)+A1235,DAY('Loan Inputs'!$B$8)),'Loan Inputs'!$B$8+A1235*IF('Loan Inputs'!$B$14=26,14,7)))</f>
        <v/>
      </c>
      <c r="C1235" s="2" t="str">
        <f t="shared" si="59"/>
        <v/>
      </c>
      <c r="D1235" s="2" t="str">
        <f>IF(A1235="","",MIN('Loan Inputs'!$B$17,C1235+E1235)+H1235)</f>
        <v/>
      </c>
      <c r="E1235" s="2" t="str">
        <f>IF(A1235="","",C1235*'Loan Inputs'!$B$15)</f>
        <v/>
      </c>
      <c r="F1235" s="2" t="str">
        <f t="shared" si="57"/>
        <v/>
      </c>
      <c r="G1235" s="2" t="str">
        <f t="shared" si="58"/>
        <v/>
      </c>
      <c r="H1235" s="2" t="str">
        <f>IF(A1235="","",MIN(0,MAX(0,C1235+E1235-'Loan Inputs'!$B$17)))</f>
        <v/>
      </c>
    </row>
    <row r="1236" spans="1:8" ht="22" customHeight="1">
      <c r="A1236" s="1" t="str">
        <f>IF(AND('Loan Inputs'!$B$12,1230&lt;=IF('Loan Inputs'!$B$12,'Loan Inputs'!$B$7,0)*'Loan Inputs'!$B$14+0,ISNUMBER(G1235),G1235&gt;0),1230,"")</f>
        <v/>
      </c>
      <c r="B1236" s="4" t="str">
        <f>IF(A1236="","",IF('Loan Inputs'!$B$14=12,DATE(YEAR('Loan Inputs'!$B$8),MONTH('Loan Inputs'!$B$8)+A1236,DAY('Loan Inputs'!$B$8)),'Loan Inputs'!$B$8+A1236*IF('Loan Inputs'!$B$14=26,14,7)))</f>
        <v/>
      </c>
      <c r="C1236" s="2" t="str">
        <f t="shared" si="59"/>
        <v/>
      </c>
      <c r="D1236" s="2" t="str">
        <f>IF(A1236="","",MIN('Loan Inputs'!$B$17,C1236+E1236)+H1236)</f>
        <v/>
      </c>
      <c r="E1236" s="2" t="str">
        <f>IF(A1236="","",C1236*'Loan Inputs'!$B$15)</f>
        <v/>
      </c>
      <c r="F1236" s="2" t="str">
        <f t="shared" si="57"/>
        <v/>
      </c>
      <c r="G1236" s="2" t="str">
        <f t="shared" si="58"/>
        <v/>
      </c>
      <c r="H1236" s="2" t="str">
        <f>IF(A1236="","",MIN(0,MAX(0,C1236+E1236-'Loan Inputs'!$B$17)))</f>
        <v/>
      </c>
    </row>
    <row r="1237" spans="1:8" ht="22" customHeight="1">
      <c r="A1237" s="1" t="str">
        <f>IF(AND('Loan Inputs'!$B$12,1231&lt;=IF('Loan Inputs'!$B$12,'Loan Inputs'!$B$7,0)*'Loan Inputs'!$B$14+0,ISNUMBER(G1236),G1236&gt;0),1231,"")</f>
        <v/>
      </c>
      <c r="B1237" s="4" t="str">
        <f>IF(A1237="","",IF('Loan Inputs'!$B$14=12,DATE(YEAR('Loan Inputs'!$B$8),MONTH('Loan Inputs'!$B$8)+A1237,DAY('Loan Inputs'!$B$8)),'Loan Inputs'!$B$8+A1237*IF('Loan Inputs'!$B$14=26,14,7)))</f>
        <v/>
      </c>
      <c r="C1237" s="2" t="str">
        <f t="shared" si="59"/>
        <v/>
      </c>
      <c r="D1237" s="2" t="str">
        <f>IF(A1237="","",MIN('Loan Inputs'!$B$17,C1237+E1237)+H1237)</f>
        <v/>
      </c>
      <c r="E1237" s="2" t="str">
        <f>IF(A1237="","",C1237*'Loan Inputs'!$B$15)</f>
        <v/>
      </c>
      <c r="F1237" s="2" t="str">
        <f t="shared" si="57"/>
        <v/>
      </c>
      <c r="G1237" s="2" t="str">
        <f t="shared" si="58"/>
        <v/>
      </c>
      <c r="H1237" s="2" t="str">
        <f>IF(A1237="","",MIN(0,MAX(0,C1237+E1237-'Loan Inputs'!$B$17)))</f>
        <v/>
      </c>
    </row>
    <row r="1238" spans="1:8" ht="22" customHeight="1">
      <c r="A1238" s="1" t="str">
        <f>IF(AND('Loan Inputs'!$B$12,1232&lt;=IF('Loan Inputs'!$B$12,'Loan Inputs'!$B$7,0)*'Loan Inputs'!$B$14+0,ISNUMBER(G1237),G1237&gt;0),1232,"")</f>
        <v/>
      </c>
      <c r="B1238" s="4" t="str">
        <f>IF(A1238="","",IF('Loan Inputs'!$B$14=12,DATE(YEAR('Loan Inputs'!$B$8),MONTH('Loan Inputs'!$B$8)+A1238,DAY('Loan Inputs'!$B$8)),'Loan Inputs'!$B$8+A1238*IF('Loan Inputs'!$B$14=26,14,7)))</f>
        <v/>
      </c>
      <c r="C1238" s="2" t="str">
        <f t="shared" si="59"/>
        <v/>
      </c>
      <c r="D1238" s="2" t="str">
        <f>IF(A1238="","",MIN('Loan Inputs'!$B$17,C1238+E1238)+H1238)</f>
        <v/>
      </c>
      <c r="E1238" s="2" t="str">
        <f>IF(A1238="","",C1238*'Loan Inputs'!$B$15)</f>
        <v/>
      </c>
      <c r="F1238" s="2" t="str">
        <f t="shared" si="57"/>
        <v/>
      </c>
      <c r="G1238" s="2" t="str">
        <f t="shared" si="58"/>
        <v/>
      </c>
      <c r="H1238" s="2" t="str">
        <f>IF(A1238="","",MIN(0,MAX(0,C1238+E1238-'Loan Inputs'!$B$17)))</f>
        <v/>
      </c>
    </row>
    <row r="1239" spans="1:8" ht="22" customHeight="1">
      <c r="A1239" s="1" t="str">
        <f>IF(AND('Loan Inputs'!$B$12,1233&lt;=IF('Loan Inputs'!$B$12,'Loan Inputs'!$B$7,0)*'Loan Inputs'!$B$14+0,ISNUMBER(G1238),G1238&gt;0),1233,"")</f>
        <v/>
      </c>
      <c r="B1239" s="4" t="str">
        <f>IF(A1239="","",IF('Loan Inputs'!$B$14=12,DATE(YEAR('Loan Inputs'!$B$8),MONTH('Loan Inputs'!$B$8)+A1239,DAY('Loan Inputs'!$B$8)),'Loan Inputs'!$B$8+A1239*IF('Loan Inputs'!$B$14=26,14,7)))</f>
        <v/>
      </c>
      <c r="C1239" s="2" t="str">
        <f t="shared" si="59"/>
        <v/>
      </c>
      <c r="D1239" s="2" t="str">
        <f>IF(A1239="","",MIN('Loan Inputs'!$B$17,C1239+E1239)+H1239)</f>
        <v/>
      </c>
      <c r="E1239" s="2" t="str">
        <f>IF(A1239="","",C1239*'Loan Inputs'!$B$15)</f>
        <v/>
      </c>
      <c r="F1239" s="2" t="str">
        <f t="shared" si="57"/>
        <v/>
      </c>
      <c r="G1239" s="2" t="str">
        <f t="shared" si="58"/>
        <v/>
      </c>
      <c r="H1239" s="2" t="str">
        <f>IF(A1239="","",MIN(0,MAX(0,C1239+E1239-'Loan Inputs'!$B$17)))</f>
        <v/>
      </c>
    </row>
    <row r="1240" spans="1:8" ht="22" customHeight="1">
      <c r="A1240" s="1" t="str">
        <f>IF(AND('Loan Inputs'!$B$12,1234&lt;=IF('Loan Inputs'!$B$12,'Loan Inputs'!$B$7,0)*'Loan Inputs'!$B$14+0,ISNUMBER(G1239),G1239&gt;0),1234,"")</f>
        <v/>
      </c>
      <c r="B1240" s="4" t="str">
        <f>IF(A1240="","",IF('Loan Inputs'!$B$14=12,DATE(YEAR('Loan Inputs'!$B$8),MONTH('Loan Inputs'!$B$8)+A1240,DAY('Loan Inputs'!$B$8)),'Loan Inputs'!$B$8+A1240*IF('Loan Inputs'!$B$14=26,14,7)))</f>
        <v/>
      </c>
      <c r="C1240" s="2" t="str">
        <f t="shared" si="59"/>
        <v/>
      </c>
      <c r="D1240" s="2" t="str">
        <f>IF(A1240="","",MIN('Loan Inputs'!$B$17,C1240+E1240)+H1240)</f>
        <v/>
      </c>
      <c r="E1240" s="2" t="str">
        <f>IF(A1240="","",C1240*'Loan Inputs'!$B$15)</f>
        <v/>
      </c>
      <c r="F1240" s="2" t="str">
        <f t="shared" si="57"/>
        <v/>
      </c>
      <c r="G1240" s="2" t="str">
        <f t="shared" si="58"/>
        <v/>
      </c>
      <c r="H1240" s="2" t="str">
        <f>IF(A1240="","",MIN(0,MAX(0,C1240+E1240-'Loan Inputs'!$B$17)))</f>
        <v/>
      </c>
    </row>
    <row r="1241" spans="1:8" ht="22" customHeight="1">
      <c r="A1241" s="1" t="str">
        <f>IF(AND('Loan Inputs'!$B$12,1235&lt;=IF('Loan Inputs'!$B$12,'Loan Inputs'!$B$7,0)*'Loan Inputs'!$B$14+0,ISNUMBER(G1240),G1240&gt;0),1235,"")</f>
        <v/>
      </c>
      <c r="B1241" s="4" t="str">
        <f>IF(A1241="","",IF('Loan Inputs'!$B$14=12,DATE(YEAR('Loan Inputs'!$B$8),MONTH('Loan Inputs'!$B$8)+A1241,DAY('Loan Inputs'!$B$8)),'Loan Inputs'!$B$8+A1241*IF('Loan Inputs'!$B$14=26,14,7)))</f>
        <v/>
      </c>
      <c r="C1241" s="2" t="str">
        <f t="shared" si="59"/>
        <v/>
      </c>
      <c r="D1241" s="2" t="str">
        <f>IF(A1241="","",MIN('Loan Inputs'!$B$17,C1241+E1241)+H1241)</f>
        <v/>
      </c>
      <c r="E1241" s="2" t="str">
        <f>IF(A1241="","",C1241*'Loan Inputs'!$B$15)</f>
        <v/>
      </c>
      <c r="F1241" s="2" t="str">
        <f t="shared" si="57"/>
        <v/>
      </c>
      <c r="G1241" s="2" t="str">
        <f t="shared" si="58"/>
        <v/>
      </c>
      <c r="H1241" s="2" t="str">
        <f>IF(A1241="","",MIN(0,MAX(0,C1241+E1241-'Loan Inputs'!$B$17)))</f>
        <v/>
      </c>
    </row>
    <row r="1242" spans="1:8" ht="22" customHeight="1">
      <c r="A1242" s="1" t="str">
        <f>IF(AND('Loan Inputs'!$B$12,1236&lt;=IF('Loan Inputs'!$B$12,'Loan Inputs'!$B$7,0)*'Loan Inputs'!$B$14+0,ISNUMBER(G1241),G1241&gt;0),1236,"")</f>
        <v/>
      </c>
      <c r="B1242" s="4" t="str">
        <f>IF(A1242="","",IF('Loan Inputs'!$B$14=12,DATE(YEAR('Loan Inputs'!$B$8),MONTH('Loan Inputs'!$B$8)+A1242,DAY('Loan Inputs'!$B$8)),'Loan Inputs'!$B$8+A1242*IF('Loan Inputs'!$B$14=26,14,7)))</f>
        <v/>
      </c>
      <c r="C1242" s="2" t="str">
        <f t="shared" si="59"/>
        <v/>
      </c>
      <c r="D1242" s="2" t="str">
        <f>IF(A1242="","",MIN('Loan Inputs'!$B$17,C1242+E1242)+H1242)</f>
        <v/>
      </c>
      <c r="E1242" s="2" t="str">
        <f>IF(A1242="","",C1242*'Loan Inputs'!$B$15)</f>
        <v/>
      </c>
      <c r="F1242" s="2" t="str">
        <f t="shared" si="57"/>
        <v/>
      </c>
      <c r="G1242" s="2" t="str">
        <f t="shared" si="58"/>
        <v/>
      </c>
      <c r="H1242" s="2" t="str">
        <f>IF(A1242="","",MIN(0,MAX(0,C1242+E1242-'Loan Inputs'!$B$17)))</f>
        <v/>
      </c>
    </row>
    <row r="1243" spans="1:8" ht="22" customHeight="1">
      <c r="A1243" s="1" t="str">
        <f>IF(AND('Loan Inputs'!$B$12,1237&lt;=IF('Loan Inputs'!$B$12,'Loan Inputs'!$B$7,0)*'Loan Inputs'!$B$14+0,ISNUMBER(G1242),G1242&gt;0),1237,"")</f>
        <v/>
      </c>
      <c r="B1243" s="4" t="str">
        <f>IF(A1243="","",IF('Loan Inputs'!$B$14=12,DATE(YEAR('Loan Inputs'!$B$8),MONTH('Loan Inputs'!$B$8)+A1243,DAY('Loan Inputs'!$B$8)),'Loan Inputs'!$B$8+A1243*IF('Loan Inputs'!$B$14=26,14,7)))</f>
        <v/>
      </c>
      <c r="C1243" s="2" t="str">
        <f t="shared" si="59"/>
        <v/>
      </c>
      <c r="D1243" s="2" t="str">
        <f>IF(A1243="","",MIN('Loan Inputs'!$B$17,C1243+E1243)+H1243)</f>
        <v/>
      </c>
      <c r="E1243" s="2" t="str">
        <f>IF(A1243="","",C1243*'Loan Inputs'!$B$15)</f>
        <v/>
      </c>
      <c r="F1243" s="2" t="str">
        <f t="shared" si="57"/>
        <v/>
      </c>
      <c r="G1243" s="2" t="str">
        <f t="shared" si="58"/>
        <v/>
      </c>
      <c r="H1243" s="2" t="str">
        <f>IF(A1243="","",MIN(0,MAX(0,C1243+E1243-'Loan Inputs'!$B$17)))</f>
        <v/>
      </c>
    </row>
    <row r="1244" spans="1:8" ht="22" customHeight="1">
      <c r="A1244" s="1" t="str">
        <f>IF(AND('Loan Inputs'!$B$12,1238&lt;=IF('Loan Inputs'!$B$12,'Loan Inputs'!$B$7,0)*'Loan Inputs'!$B$14+0,ISNUMBER(G1243),G1243&gt;0),1238,"")</f>
        <v/>
      </c>
      <c r="B1244" s="4" t="str">
        <f>IF(A1244="","",IF('Loan Inputs'!$B$14=12,DATE(YEAR('Loan Inputs'!$B$8),MONTH('Loan Inputs'!$B$8)+A1244,DAY('Loan Inputs'!$B$8)),'Loan Inputs'!$B$8+A1244*IF('Loan Inputs'!$B$14=26,14,7)))</f>
        <v/>
      </c>
      <c r="C1244" s="2" t="str">
        <f t="shared" si="59"/>
        <v/>
      </c>
      <c r="D1244" s="2" t="str">
        <f>IF(A1244="","",MIN('Loan Inputs'!$B$17,C1244+E1244)+H1244)</f>
        <v/>
      </c>
      <c r="E1244" s="2" t="str">
        <f>IF(A1244="","",C1244*'Loan Inputs'!$B$15)</f>
        <v/>
      </c>
      <c r="F1244" s="2" t="str">
        <f t="shared" si="57"/>
        <v/>
      </c>
      <c r="G1244" s="2" t="str">
        <f t="shared" si="58"/>
        <v/>
      </c>
      <c r="H1244" s="2" t="str">
        <f>IF(A1244="","",MIN(0,MAX(0,C1244+E1244-'Loan Inputs'!$B$17)))</f>
        <v/>
      </c>
    </row>
    <row r="1245" spans="1:8" ht="22" customHeight="1">
      <c r="A1245" s="1" t="str">
        <f>IF(AND('Loan Inputs'!$B$12,1239&lt;=IF('Loan Inputs'!$B$12,'Loan Inputs'!$B$7,0)*'Loan Inputs'!$B$14+0,ISNUMBER(G1244),G1244&gt;0),1239,"")</f>
        <v/>
      </c>
      <c r="B1245" s="4" t="str">
        <f>IF(A1245="","",IF('Loan Inputs'!$B$14=12,DATE(YEAR('Loan Inputs'!$B$8),MONTH('Loan Inputs'!$B$8)+A1245,DAY('Loan Inputs'!$B$8)),'Loan Inputs'!$B$8+A1245*IF('Loan Inputs'!$B$14=26,14,7)))</f>
        <v/>
      </c>
      <c r="C1245" s="2" t="str">
        <f t="shared" si="59"/>
        <v/>
      </c>
      <c r="D1245" s="2" t="str">
        <f>IF(A1245="","",MIN('Loan Inputs'!$B$17,C1245+E1245)+H1245)</f>
        <v/>
      </c>
      <c r="E1245" s="2" t="str">
        <f>IF(A1245="","",C1245*'Loan Inputs'!$B$15)</f>
        <v/>
      </c>
      <c r="F1245" s="2" t="str">
        <f t="shared" si="57"/>
        <v/>
      </c>
      <c r="G1245" s="2" t="str">
        <f t="shared" si="58"/>
        <v/>
      </c>
      <c r="H1245" s="2" t="str">
        <f>IF(A1245="","",MIN(0,MAX(0,C1245+E1245-'Loan Inputs'!$B$17)))</f>
        <v/>
      </c>
    </row>
    <row r="1246" spans="1:8" ht="22" customHeight="1">
      <c r="A1246" s="1" t="str">
        <f>IF(AND('Loan Inputs'!$B$12,1240&lt;=IF('Loan Inputs'!$B$12,'Loan Inputs'!$B$7,0)*'Loan Inputs'!$B$14+0,ISNUMBER(G1245),G1245&gt;0),1240,"")</f>
        <v/>
      </c>
      <c r="B1246" s="4" t="str">
        <f>IF(A1246="","",IF('Loan Inputs'!$B$14=12,DATE(YEAR('Loan Inputs'!$B$8),MONTH('Loan Inputs'!$B$8)+A1246,DAY('Loan Inputs'!$B$8)),'Loan Inputs'!$B$8+A1246*IF('Loan Inputs'!$B$14=26,14,7)))</f>
        <v/>
      </c>
      <c r="C1246" s="2" t="str">
        <f t="shared" si="59"/>
        <v/>
      </c>
      <c r="D1246" s="2" t="str">
        <f>IF(A1246="","",MIN('Loan Inputs'!$B$17,C1246+E1246)+H1246)</f>
        <v/>
      </c>
      <c r="E1246" s="2" t="str">
        <f>IF(A1246="","",C1246*'Loan Inputs'!$B$15)</f>
        <v/>
      </c>
      <c r="F1246" s="2" t="str">
        <f t="shared" si="57"/>
        <v/>
      </c>
      <c r="G1246" s="2" t="str">
        <f t="shared" si="58"/>
        <v/>
      </c>
      <c r="H1246" s="2" t="str">
        <f>IF(A1246="","",MIN(0,MAX(0,C1246+E1246-'Loan Inputs'!$B$17)))</f>
        <v/>
      </c>
    </row>
    <row r="1247" spans="1:8" ht="22" customHeight="1">
      <c r="A1247" s="1" t="str">
        <f>IF(AND('Loan Inputs'!$B$12,1241&lt;=IF('Loan Inputs'!$B$12,'Loan Inputs'!$B$7,0)*'Loan Inputs'!$B$14+0,ISNUMBER(G1246),G1246&gt;0),1241,"")</f>
        <v/>
      </c>
      <c r="B1247" s="4" t="str">
        <f>IF(A1247="","",IF('Loan Inputs'!$B$14=12,DATE(YEAR('Loan Inputs'!$B$8),MONTH('Loan Inputs'!$B$8)+A1247,DAY('Loan Inputs'!$B$8)),'Loan Inputs'!$B$8+A1247*IF('Loan Inputs'!$B$14=26,14,7)))</f>
        <v/>
      </c>
      <c r="C1247" s="2" t="str">
        <f t="shared" si="59"/>
        <v/>
      </c>
      <c r="D1247" s="2" t="str">
        <f>IF(A1247="","",MIN('Loan Inputs'!$B$17,C1247+E1247)+H1247)</f>
        <v/>
      </c>
      <c r="E1247" s="2" t="str">
        <f>IF(A1247="","",C1247*'Loan Inputs'!$B$15)</f>
        <v/>
      </c>
      <c r="F1247" s="2" t="str">
        <f t="shared" si="57"/>
        <v/>
      </c>
      <c r="G1247" s="2" t="str">
        <f t="shared" si="58"/>
        <v/>
      </c>
      <c r="H1247" s="2" t="str">
        <f>IF(A1247="","",MIN(0,MAX(0,C1247+E1247-'Loan Inputs'!$B$17)))</f>
        <v/>
      </c>
    </row>
    <row r="1248" spans="1:8" ht="22" customHeight="1">
      <c r="A1248" s="1" t="str">
        <f>IF(AND('Loan Inputs'!$B$12,1242&lt;=IF('Loan Inputs'!$B$12,'Loan Inputs'!$B$7,0)*'Loan Inputs'!$B$14+0,ISNUMBER(G1247),G1247&gt;0),1242,"")</f>
        <v/>
      </c>
      <c r="B1248" s="4" t="str">
        <f>IF(A1248="","",IF('Loan Inputs'!$B$14=12,DATE(YEAR('Loan Inputs'!$B$8),MONTH('Loan Inputs'!$B$8)+A1248,DAY('Loan Inputs'!$B$8)),'Loan Inputs'!$B$8+A1248*IF('Loan Inputs'!$B$14=26,14,7)))</f>
        <v/>
      </c>
      <c r="C1248" s="2" t="str">
        <f t="shared" si="59"/>
        <v/>
      </c>
      <c r="D1248" s="2" t="str">
        <f>IF(A1248="","",MIN('Loan Inputs'!$B$17,C1248+E1248)+H1248)</f>
        <v/>
      </c>
      <c r="E1248" s="2" t="str">
        <f>IF(A1248="","",C1248*'Loan Inputs'!$B$15)</f>
        <v/>
      </c>
      <c r="F1248" s="2" t="str">
        <f t="shared" si="57"/>
        <v/>
      </c>
      <c r="G1248" s="2" t="str">
        <f t="shared" si="58"/>
        <v/>
      </c>
      <c r="H1248" s="2" t="str">
        <f>IF(A1248="","",MIN(0,MAX(0,C1248+E1248-'Loan Inputs'!$B$17)))</f>
        <v/>
      </c>
    </row>
    <row r="1249" spans="1:8" ht="22" customHeight="1">
      <c r="A1249" s="1" t="str">
        <f>IF(AND('Loan Inputs'!$B$12,1243&lt;=IF('Loan Inputs'!$B$12,'Loan Inputs'!$B$7,0)*'Loan Inputs'!$B$14+0,ISNUMBER(G1248),G1248&gt;0),1243,"")</f>
        <v/>
      </c>
      <c r="B1249" s="4" t="str">
        <f>IF(A1249="","",IF('Loan Inputs'!$B$14=12,DATE(YEAR('Loan Inputs'!$B$8),MONTH('Loan Inputs'!$B$8)+A1249,DAY('Loan Inputs'!$B$8)),'Loan Inputs'!$B$8+A1249*IF('Loan Inputs'!$B$14=26,14,7)))</f>
        <v/>
      </c>
      <c r="C1249" s="2" t="str">
        <f t="shared" si="59"/>
        <v/>
      </c>
      <c r="D1249" s="2" t="str">
        <f>IF(A1249="","",MIN('Loan Inputs'!$B$17,C1249+E1249)+H1249)</f>
        <v/>
      </c>
      <c r="E1249" s="2" t="str">
        <f>IF(A1249="","",C1249*'Loan Inputs'!$B$15)</f>
        <v/>
      </c>
      <c r="F1249" s="2" t="str">
        <f t="shared" si="57"/>
        <v/>
      </c>
      <c r="G1249" s="2" t="str">
        <f t="shared" si="58"/>
        <v/>
      </c>
      <c r="H1249" s="2" t="str">
        <f>IF(A1249="","",MIN(0,MAX(0,C1249+E1249-'Loan Inputs'!$B$17)))</f>
        <v/>
      </c>
    </row>
    <row r="1250" spans="1:8" ht="22" customHeight="1">
      <c r="A1250" s="1" t="str">
        <f>IF(AND('Loan Inputs'!$B$12,1244&lt;=IF('Loan Inputs'!$B$12,'Loan Inputs'!$B$7,0)*'Loan Inputs'!$B$14+0,ISNUMBER(G1249),G1249&gt;0),1244,"")</f>
        <v/>
      </c>
      <c r="B1250" s="4" t="str">
        <f>IF(A1250="","",IF('Loan Inputs'!$B$14=12,DATE(YEAR('Loan Inputs'!$B$8),MONTH('Loan Inputs'!$B$8)+A1250,DAY('Loan Inputs'!$B$8)),'Loan Inputs'!$B$8+A1250*IF('Loan Inputs'!$B$14=26,14,7)))</f>
        <v/>
      </c>
      <c r="C1250" s="2" t="str">
        <f t="shared" si="59"/>
        <v/>
      </c>
      <c r="D1250" s="2" t="str">
        <f>IF(A1250="","",MIN('Loan Inputs'!$B$17,C1250+E1250)+H1250)</f>
        <v/>
      </c>
      <c r="E1250" s="2" t="str">
        <f>IF(A1250="","",C1250*'Loan Inputs'!$B$15)</f>
        <v/>
      </c>
      <c r="F1250" s="2" t="str">
        <f t="shared" si="57"/>
        <v/>
      </c>
      <c r="G1250" s="2" t="str">
        <f t="shared" si="58"/>
        <v/>
      </c>
      <c r="H1250" s="2" t="str">
        <f>IF(A1250="","",MIN(0,MAX(0,C1250+E1250-'Loan Inputs'!$B$17)))</f>
        <v/>
      </c>
    </row>
    <row r="1251" spans="1:8" ht="22" customHeight="1">
      <c r="A1251" s="1" t="str">
        <f>IF(AND('Loan Inputs'!$B$12,1245&lt;=IF('Loan Inputs'!$B$12,'Loan Inputs'!$B$7,0)*'Loan Inputs'!$B$14+0,ISNUMBER(G1250),G1250&gt;0),1245,"")</f>
        <v/>
      </c>
      <c r="B1251" s="4" t="str">
        <f>IF(A1251="","",IF('Loan Inputs'!$B$14=12,DATE(YEAR('Loan Inputs'!$B$8),MONTH('Loan Inputs'!$B$8)+A1251,DAY('Loan Inputs'!$B$8)),'Loan Inputs'!$B$8+A1251*IF('Loan Inputs'!$B$14=26,14,7)))</f>
        <v/>
      </c>
      <c r="C1251" s="2" t="str">
        <f t="shared" si="59"/>
        <v/>
      </c>
      <c r="D1251" s="2" t="str">
        <f>IF(A1251="","",MIN('Loan Inputs'!$B$17,C1251+E1251)+H1251)</f>
        <v/>
      </c>
      <c r="E1251" s="2" t="str">
        <f>IF(A1251="","",C1251*'Loan Inputs'!$B$15)</f>
        <v/>
      </c>
      <c r="F1251" s="2" t="str">
        <f t="shared" si="57"/>
        <v/>
      </c>
      <c r="G1251" s="2" t="str">
        <f t="shared" si="58"/>
        <v/>
      </c>
      <c r="H1251" s="2" t="str">
        <f>IF(A1251="","",MIN(0,MAX(0,C1251+E1251-'Loan Inputs'!$B$17)))</f>
        <v/>
      </c>
    </row>
    <row r="1252" spans="1:8" ht="22" customHeight="1">
      <c r="A1252" s="1" t="str">
        <f>IF(AND('Loan Inputs'!$B$12,1246&lt;=IF('Loan Inputs'!$B$12,'Loan Inputs'!$B$7,0)*'Loan Inputs'!$B$14+0,ISNUMBER(G1251),G1251&gt;0),1246,"")</f>
        <v/>
      </c>
      <c r="B1252" s="4" t="str">
        <f>IF(A1252="","",IF('Loan Inputs'!$B$14=12,DATE(YEAR('Loan Inputs'!$B$8),MONTH('Loan Inputs'!$B$8)+A1252,DAY('Loan Inputs'!$B$8)),'Loan Inputs'!$B$8+A1252*IF('Loan Inputs'!$B$14=26,14,7)))</f>
        <v/>
      </c>
      <c r="C1252" s="2" t="str">
        <f t="shared" si="59"/>
        <v/>
      </c>
      <c r="D1252" s="2" t="str">
        <f>IF(A1252="","",MIN('Loan Inputs'!$B$17,C1252+E1252)+H1252)</f>
        <v/>
      </c>
      <c r="E1252" s="2" t="str">
        <f>IF(A1252="","",C1252*'Loan Inputs'!$B$15)</f>
        <v/>
      </c>
      <c r="F1252" s="2" t="str">
        <f t="shared" si="57"/>
        <v/>
      </c>
      <c r="G1252" s="2" t="str">
        <f t="shared" si="58"/>
        <v/>
      </c>
      <c r="H1252" s="2" t="str">
        <f>IF(A1252="","",MIN(0,MAX(0,C1252+E1252-'Loan Inputs'!$B$17)))</f>
        <v/>
      </c>
    </row>
    <row r="1253" spans="1:8" ht="22" customHeight="1">
      <c r="A1253" s="1" t="str">
        <f>IF(AND('Loan Inputs'!$B$12,1247&lt;=IF('Loan Inputs'!$B$12,'Loan Inputs'!$B$7,0)*'Loan Inputs'!$B$14+0,ISNUMBER(G1252),G1252&gt;0),1247,"")</f>
        <v/>
      </c>
      <c r="B1253" s="4" t="str">
        <f>IF(A1253="","",IF('Loan Inputs'!$B$14=12,DATE(YEAR('Loan Inputs'!$B$8),MONTH('Loan Inputs'!$B$8)+A1253,DAY('Loan Inputs'!$B$8)),'Loan Inputs'!$B$8+A1253*IF('Loan Inputs'!$B$14=26,14,7)))</f>
        <v/>
      </c>
      <c r="C1253" s="2" t="str">
        <f t="shared" si="59"/>
        <v/>
      </c>
      <c r="D1253" s="2" t="str">
        <f>IF(A1253="","",MIN('Loan Inputs'!$B$17,C1253+E1253)+H1253)</f>
        <v/>
      </c>
      <c r="E1253" s="2" t="str">
        <f>IF(A1253="","",C1253*'Loan Inputs'!$B$15)</f>
        <v/>
      </c>
      <c r="F1253" s="2" t="str">
        <f t="shared" si="57"/>
        <v/>
      </c>
      <c r="G1253" s="2" t="str">
        <f t="shared" si="58"/>
        <v/>
      </c>
      <c r="H1253" s="2" t="str">
        <f>IF(A1253="","",MIN(0,MAX(0,C1253+E1253-'Loan Inputs'!$B$17)))</f>
        <v/>
      </c>
    </row>
    <row r="1254" spans="1:8" ht="22" customHeight="1">
      <c r="A1254" s="1" t="str">
        <f>IF(AND('Loan Inputs'!$B$12,1248&lt;=IF('Loan Inputs'!$B$12,'Loan Inputs'!$B$7,0)*'Loan Inputs'!$B$14+0,ISNUMBER(G1253),G1253&gt;0),1248,"")</f>
        <v/>
      </c>
      <c r="B1254" s="4" t="str">
        <f>IF(A1254="","",IF('Loan Inputs'!$B$14=12,DATE(YEAR('Loan Inputs'!$B$8),MONTH('Loan Inputs'!$B$8)+A1254,DAY('Loan Inputs'!$B$8)),'Loan Inputs'!$B$8+A1254*IF('Loan Inputs'!$B$14=26,14,7)))</f>
        <v/>
      </c>
      <c r="C1254" s="2" t="str">
        <f t="shared" si="59"/>
        <v/>
      </c>
      <c r="D1254" s="2" t="str">
        <f>IF(A1254="","",MIN('Loan Inputs'!$B$17,C1254+E1254)+H1254)</f>
        <v/>
      </c>
      <c r="E1254" s="2" t="str">
        <f>IF(A1254="","",C1254*'Loan Inputs'!$B$15)</f>
        <v/>
      </c>
      <c r="F1254" s="2" t="str">
        <f t="shared" si="57"/>
        <v/>
      </c>
      <c r="G1254" s="2" t="str">
        <f t="shared" si="58"/>
        <v/>
      </c>
      <c r="H1254" s="2" t="str">
        <f>IF(A1254="","",MIN(0,MAX(0,C1254+E1254-'Loan Inputs'!$B$17)))</f>
        <v/>
      </c>
    </row>
    <row r="1255" spans="1:8" ht="22" customHeight="1">
      <c r="A1255" s="1" t="str">
        <f>IF(AND('Loan Inputs'!$B$12,1249&lt;=IF('Loan Inputs'!$B$12,'Loan Inputs'!$B$7,0)*'Loan Inputs'!$B$14+0,ISNUMBER(G1254),G1254&gt;0),1249,"")</f>
        <v/>
      </c>
      <c r="B1255" s="4" t="str">
        <f>IF(A1255="","",IF('Loan Inputs'!$B$14=12,DATE(YEAR('Loan Inputs'!$B$8),MONTH('Loan Inputs'!$B$8)+A1255,DAY('Loan Inputs'!$B$8)),'Loan Inputs'!$B$8+A1255*IF('Loan Inputs'!$B$14=26,14,7)))</f>
        <v/>
      </c>
      <c r="C1255" s="2" t="str">
        <f t="shared" si="59"/>
        <v/>
      </c>
      <c r="D1255" s="2" t="str">
        <f>IF(A1255="","",MIN('Loan Inputs'!$B$17,C1255+E1255)+H1255)</f>
        <v/>
      </c>
      <c r="E1255" s="2" t="str">
        <f>IF(A1255="","",C1255*'Loan Inputs'!$B$15)</f>
        <v/>
      </c>
      <c r="F1255" s="2" t="str">
        <f t="shared" si="57"/>
        <v/>
      </c>
      <c r="G1255" s="2" t="str">
        <f t="shared" si="58"/>
        <v/>
      </c>
      <c r="H1255" s="2" t="str">
        <f>IF(A1255="","",MIN(0,MAX(0,C1255+E1255-'Loan Inputs'!$B$17)))</f>
        <v/>
      </c>
    </row>
    <row r="1256" spans="1:8" ht="22" customHeight="1">
      <c r="A1256" s="1" t="str">
        <f>IF(AND('Loan Inputs'!$B$12,1250&lt;=IF('Loan Inputs'!$B$12,'Loan Inputs'!$B$7,0)*'Loan Inputs'!$B$14+0,ISNUMBER(G1255),G1255&gt;0),1250,"")</f>
        <v/>
      </c>
      <c r="B1256" s="4" t="str">
        <f>IF(A1256="","",IF('Loan Inputs'!$B$14=12,DATE(YEAR('Loan Inputs'!$B$8),MONTH('Loan Inputs'!$B$8)+A1256,DAY('Loan Inputs'!$B$8)),'Loan Inputs'!$B$8+A1256*IF('Loan Inputs'!$B$14=26,14,7)))</f>
        <v/>
      </c>
      <c r="C1256" s="2" t="str">
        <f t="shared" si="59"/>
        <v/>
      </c>
      <c r="D1256" s="2" t="str">
        <f>IF(A1256="","",MIN('Loan Inputs'!$B$17,C1256+E1256)+H1256)</f>
        <v/>
      </c>
      <c r="E1256" s="2" t="str">
        <f>IF(A1256="","",C1256*'Loan Inputs'!$B$15)</f>
        <v/>
      </c>
      <c r="F1256" s="2" t="str">
        <f t="shared" si="57"/>
        <v/>
      </c>
      <c r="G1256" s="2" t="str">
        <f t="shared" si="58"/>
        <v/>
      </c>
      <c r="H1256" s="2" t="str">
        <f>IF(A1256="","",MIN(0,MAX(0,C1256+E1256-'Loan Inputs'!$B$17)))</f>
        <v/>
      </c>
    </row>
    <row r="1257" spans="1:8" ht="22" customHeight="1">
      <c r="A1257" s="1" t="str">
        <f>IF(AND('Loan Inputs'!$B$12,1251&lt;=IF('Loan Inputs'!$B$12,'Loan Inputs'!$B$7,0)*'Loan Inputs'!$B$14+0,ISNUMBER(G1256),G1256&gt;0),1251,"")</f>
        <v/>
      </c>
      <c r="B1257" s="4" t="str">
        <f>IF(A1257="","",IF('Loan Inputs'!$B$14=12,DATE(YEAR('Loan Inputs'!$B$8),MONTH('Loan Inputs'!$B$8)+A1257,DAY('Loan Inputs'!$B$8)),'Loan Inputs'!$B$8+A1257*IF('Loan Inputs'!$B$14=26,14,7)))</f>
        <v/>
      </c>
      <c r="C1257" s="2" t="str">
        <f t="shared" si="59"/>
        <v/>
      </c>
      <c r="D1257" s="2" t="str">
        <f>IF(A1257="","",MIN('Loan Inputs'!$B$17,C1257+E1257)+H1257)</f>
        <v/>
      </c>
      <c r="E1257" s="2" t="str">
        <f>IF(A1257="","",C1257*'Loan Inputs'!$B$15)</f>
        <v/>
      </c>
      <c r="F1257" s="2" t="str">
        <f t="shared" si="57"/>
        <v/>
      </c>
      <c r="G1257" s="2" t="str">
        <f t="shared" si="58"/>
        <v/>
      </c>
      <c r="H1257" s="2" t="str">
        <f>IF(A1257="","",MIN(0,MAX(0,C1257+E1257-'Loan Inputs'!$B$17)))</f>
        <v/>
      </c>
    </row>
    <row r="1258" spans="1:8" ht="22" customHeight="1">
      <c r="A1258" s="1" t="str">
        <f>IF(AND('Loan Inputs'!$B$12,1252&lt;=IF('Loan Inputs'!$B$12,'Loan Inputs'!$B$7,0)*'Loan Inputs'!$B$14+0,ISNUMBER(G1257),G1257&gt;0),1252,"")</f>
        <v/>
      </c>
      <c r="B1258" s="4" t="str">
        <f>IF(A1258="","",IF('Loan Inputs'!$B$14=12,DATE(YEAR('Loan Inputs'!$B$8),MONTH('Loan Inputs'!$B$8)+A1258,DAY('Loan Inputs'!$B$8)),'Loan Inputs'!$B$8+A1258*IF('Loan Inputs'!$B$14=26,14,7)))</f>
        <v/>
      </c>
      <c r="C1258" s="2" t="str">
        <f t="shared" si="59"/>
        <v/>
      </c>
      <c r="D1258" s="2" t="str">
        <f>IF(A1258="","",MIN('Loan Inputs'!$B$17,C1258+E1258)+H1258)</f>
        <v/>
      </c>
      <c r="E1258" s="2" t="str">
        <f>IF(A1258="","",C1258*'Loan Inputs'!$B$15)</f>
        <v/>
      </c>
      <c r="F1258" s="2" t="str">
        <f t="shared" si="57"/>
        <v/>
      </c>
      <c r="G1258" s="2" t="str">
        <f t="shared" si="58"/>
        <v/>
      </c>
      <c r="H1258" s="2" t="str">
        <f>IF(A1258="","",MIN(0,MAX(0,C1258+E1258-'Loan Inputs'!$B$17)))</f>
        <v/>
      </c>
    </row>
    <row r="1259" spans="1:8" ht="22" customHeight="1">
      <c r="A1259" s="1" t="str">
        <f>IF(AND('Loan Inputs'!$B$12,1253&lt;=IF('Loan Inputs'!$B$12,'Loan Inputs'!$B$7,0)*'Loan Inputs'!$B$14+0,ISNUMBER(G1258),G1258&gt;0),1253,"")</f>
        <v/>
      </c>
      <c r="B1259" s="4" t="str">
        <f>IF(A1259="","",IF('Loan Inputs'!$B$14=12,DATE(YEAR('Loan Inputs'!$B$8),MONTH('Loan Inputs'!$B$8)+A1259,DAY('Loan Inputs'!$B$8)),'Loan Inputs'!$B$8+A1259*IF('Loan Inputs'!$B$14=26,14,7)))</f>
        <v/>
      </c>
      <c r="C1259" s="2" t="str">
        <f t="shared" si="59"/>
        <v/>
      </c>
      <c r="D1259" s="2" t="str">
        <f>IF(A1259="","",MIN('Loan Inputs'!$B$17,C1259+E1259)+H1259)</f>
        <v/>
      </c>
      <c r="E1259" s="2" t="str">
        <f>IF(A1259="","",C1259*'Loan Inputs'!$B$15)</f>
        <v/>
      </c>
      <c r="F1259" s="2" t="str">
        <f t="shared" si="57"/>
        <v/>
      </c>
      <c r="G1259" s="2" t="str">
        <f t="shared" si="58"/>
        <v/>
      </c>
      <c r="H1259" s="2" t="str">
        <f>IF(A1259="","",MIN(0,MAX(0,C1259+E1259-'Loan Inputs'!$B$17)))</f>
        <v/>
      </c>
    </row>
    <row r="1260" spans="1:8" ht="22" customHeight="1">
      <c r="A1260" s="1" t="str">
        <f>IF(AND('Loan Inputs'!$B$12,1254&lt;=IF('Loan Inputs'!$B$12,'Loan Inputs'!$B$7,0)*'Loan Inputs'!$B$14+0,ISNUMBER(G1259),G1259&gt;0),1254,"")</f>
        <v/>
      </c>
      <c r="B1260" s="4" t="str">
        <f>IF(A1260="","",IF('Loan Inputs'!$B$14=12,DATE(YEAR('Loan Inputs'!$B$8),MONTH('Loan Inputs'!$B$8)+A1260,DAY('Loan Inputs'!$B$8)),'Loan Inputs'!$B$8+A1260*IF('Loan Inputs'!$B$14=26,14,7)))</f>
        <v/>
      </c>
      <c r="C1260" s="2" t="str">
        <f t="shared" si="59"/>
        <v/>
      </c>
      <c r="D1260" s="2" t="str">
        <f>IF(A1260="","",MIN('Loan Inputs'!$B$17,C1260+E1260)+H1260)</f>
        <v/>
      </c>
      <c r="E1260" s="2" t="str">
        <f>IF(A1260="","",C1260*'Loan Inputs'!$B$15)</f>
        <v/>
      </c>
      <c r="F1260" s="2" t="str">
        <f t="shared" si="57"/>
        <v/>
      </c>
      <c r="G1260" s="2" t="str">
        <f t="shared" si="58"/>
        <v/>
      </c>
      <c r="H1260" s="2" t="str">
        <f>IF(A1260="","",MIN(0,MAX(0,C1260+E1260-'Loan Inputs'!$B$17)))</f>
        <v/>
      </c>
    </row>
    <row r="1261" spans="1:8" ht="22" customHeight="1">
      <c r="A1261" s="1" t="str">
        <f>IF(AND('Loan Inputs'!$B$12,1255&lt;=IF('Loan Inputs'!$B$12,'Loan Inputs'!$B$7,0)*'Loan Inputs'!$B$14+0,ISNUMBER(G1260),G1260&gt;0),1255,"")</f>
        <v/>
      </c>
      <c r="B1261" s="4" t="str">
        <f>IF(A1261="","",IF('Loan Inputs'!$B$14=12,DATE(YEAR('Loan Inputs'!$B$8),MONTH('Loan Inputs'!$B$8)+A1261,DAY('Loan Inputs'!$B$8)),'Loan Inputs'!$B$8+A1261*IF('Loan Inputs'!$B$14=26,14,7)))</f>
        <v/>
      </c>
      <c r="C1261" s="2" t="str">
        <f t="shared" si="59"/>
        <v/>
      </c>
      <c r="D1261" s="2" t="str">
        <f>IF(A1261="","",MIN('Loan Inputs'!$B$17,C1261+E1261)+H1261)</f>
        <v/>
      </c>
      <c r="E1261" s="2" t="str">
        <f>IF(A1261="","",C1261*'Loan Inputs'!$B$15)</f>
        <v/>
      </c>
      <c r="F1261" s="2" t="str">
        <f t="shared" si="57"/>
        <v/>
      </c>
      <c r="G1261" s="2" t="str">
        <f t="shared" si="58"/>
        <v/>
      </c>
      <c r="H1261" s="2" t="str">
        <f>IF(A1261="","",MIN(0,MAX(0,C1261+E1261-'Loan Inputs'!$B$17)))</f>
        <v/>
      </c>
    </row>
    <row r="1262" spans="1:8" ht="22" customHeight="1">
      <c r="A1262" s="1" t="str">
        <f>IF(AND('Loan Inputs'!$B$12,1256&lt;=IF('Loan Inputs'!$B$12,'Loan Inputs'!$B$7,0)*'Loan Inputs'!$B$14+0,ISNUMBER(G1261),G1261&gt;0),1256,"")</f>
        <v/>
      </c>
      <c r="B1262" s="4" t="str">
        <f>IF(A1262="","",IF('Loan Inputs'!$B$14=12,DATE(YEAR('Loan Inputs'!$B$8),MONTH('Loan Inputs'!$B$8)+A1262,DAY('Loan Inputs'!$B$8)),'Loan Inputs'!$B$8+A1262*IF('Loan Inputs'!$B$14=26,14,7)))</f>
        <v/>
      </c>
      <c r="C1262" s="2" t="str">
        <f t="shared" si="59"/>
        <v/>
      </c>
      <c r="D1262" s="2" t="str">
        <f>IF(A1262="","",MIN('Loan Inputs'!$B$17,C1262+E1262)+H1262)</f>
        <v/>
      </c>
      <c r="E1262" s="2" t="str">
        <f>IF(A1262="","",C1262*'Loan Inputs'!$B$15)</f>
        <v/>
      </c>
      <c r="F1262" s="2" t="str">
        <f t="shared" si="57"/>
        <v/>
      </c>
      <c r="G1262" s="2" t="str">
        <f t="shared" si="58"/>
        <v/>
      </c>
      <c r="H1262" s="2" t="str">
        <f>IF(A1262="","",MIN(0,MAX(0,C1262+E1262-'Loan Inputs'!$B$17)))</f>
        <v/>
      </c>
    </row>
    <row r="1263" spans="1:8" ht="22" customHeight="1">
      <c r="A1263" s="1" t="str">
        <f>IF(AND('Loan Inputs'!$B$12,1257&lt;=IF('Loan Inputs'!$B$12,'Loan Inputs'!$B$7,0)*'Loan Inputs'!$B$14+0,ISNUMBER(G1262),G1262&gt;0),1257,"")</f>
        <v/>
      </c>
      <c r="B1263" s="4" t="str">
        <f>IF(A1263="","",IF('Loan Inputs'!$B$14=12,DATE(YEAR('Loan Inputs'!$B$8),MONTH('Loan Inputs'!$B$8)+A1263,DAY('Loan Inputs'!$B$8)),'Loan Inputs'!$B$8+A1263*IF('Loan Inputs'!$B$14=26,14,7)))</f>
        <v/>
      </c>
      <c r="C1263" s="2" t="str">
        <f t="shared" si="59"/>
        <v/>
      </c>
      <c r="D1263" s="2" t="str">
        <f>IF(A1263="","",MIN('Loan Inputs'!$B$17,C1263+E1263)+H1263)</f>
        <v/>
      </c>
      <c r="E1263" s="2" t="str">
        <f>IF(A1263="","",C1263*'Loan Inputs'!$B$15)</f>
        <v/>
      </c>
      <c r="F1263" s="2" t="str">
        <f t="shared" si="57"/>
        <v/>
      </c>
      <c r="G1263" s="2" t="str">
        <f t="shared" si="58"/>
        <v/>
      </c>
      <c r="H1263" s="2" t="str">
        <f>IF(A1263="","",MIN(0,MAX(0,C1263+E1263-'Loan Inputs'!$B$17)))</f>
        <v/>
      </c>
    </row>
    <row r="1264" spans="1:8" ht="22" customHeight="1">
      <c r="A1264" s="1" t="str">
        <f>IF(AND('Loan Inputs'!$B$12,1258&lt;=IF('Loan Inputs'!$B$12,'Loan Inputs'!$B$7,0)*'Loan Inputs'!$B$14+0,ISNUMBER(G1263),G1263&gt;0),1258,"")</f>
        <v/>
      </c>
      <c r="B1264" s="4" t="str">
        <f>IF(A1264="","",IF('Loan Inputs'!$B$14=12,DATE(YEAR('Loan Inputs'!$B$8),MONTH('Loan Inputs'!$B$8)+A1264,DAY('Loan Inputs'!$B$8)),'Loan Inputs'!$B$8+A1264*IF('Loan Inputs'!$B$14=26,14,7)))</f>
        <v/>
      </c>
      <c r="C1264" s="2" t="str">
        <f t="shared" si="59"/>
        <v/>
      </c>
      <c r="D1264" s="2" t="str">
        <f>IF(A1264="","",MIN('Loan Inputs'!$B$17,C1264+E1264)+H1264)</f>
        <v/>
      </c>
      <c r="E1264" s="2" t="str">
        <f>IF(A1264="","",C1264*'Loan Inputs'!$B$15)</f>
        <v/>
      </c>
      <c r="F1264" s="2" t="str">
        <f t="shared" si="57"/>
        <v/>
      </c>
      <c r="G1264" s="2" t="str">
        <f t="shared" si="58"/>
        <v/>
      </c>
      <c r="H1264" s="2" t="str">
        <f>IF(A1264="","",MIN(0,MAX(0,C1264+E1264-'Loan Inputs'!$B$17)))</f>
        <v/>
      </c>
    </row>
    <row r="1265" spans="1:8" ht="22" customHeight="1">
      <c r="A1265" s="1" t="str">
        <f>IF(AND('Loan Inputs'!$B$12,1259&lt;=IF('Loan Inputs'!$B$12,'Loan Inputs'!$B$7,0)*'Loan Inputs'!$B$14+0,ISNUMBER(G1264),G1264&gt;0),1259,"")</f>
        <v/>
      </c>
      <c r="B1265" s="4" t="str">
        <f>IF(A1265="","",IF('Loan Inputs'!$B$14=12,DATE(YEAR('Loan Inputs'!$B$8),MONTH('Loan Inputs'!$B$8)+A1265,DAY('Loan Inputs'!$B$8)),'Loan Inputs'!$B$8+A1265*IF('Loan Inputs'!$B$14=26,14,7)))</f>
        <v/>
      </c>
      <c r="C1265" s="2" t="str">
        <f t="shared" si="59"/>
        <v/>
      </c>
      <c r="D1265" s="2" t="str">
        <f>IF(A1265="","",MIN('Loan Inputs'!$B$17,C1265+E1265)+H1265)</f>
        <v/>
      </c>
      <c r="E1265" s="2" t="str">
        <f>IF(A1265="","",C1265*'Loan Inputs'!$B$15)</f>
        <v/>
      </c>
      <c r="F1265" s="2" t="str">
        <f t="shared" si="57"/>
        <v/>
      </c>
      <c r="G1265" s="2" t="str">
        <f t="shared" si="58"/>
        <v/>
      </c>
      <c r="H1265" s="2" t="str">
        <f>IF(A1265="","",MIN(0,MAX(0,C1265+E1265-'Loan Inputs'!$B$17)))</f>
        <v/>
      </c>
    </row>
    <row r="1266" spans="1:8" ht="22" customHeight="1">
      <c r="A1266" s="1" t="str">
        <f>IF(AND('Loan Inputs'!$B$12,1260&lt;=IF('Loan Inputs'!$B$12,'Loan Inputs'!$B$7,0)*'Loan Inputs'!$B$14+0,ISNUMBER(G1265),G1265&gt;0),1260,"")</f>
        <v/>
      </c>
      <c r="B1266" s="4" t="str">
        <f>IF(A1266="","",IF('Loan Inputs'!$B$14=12,DATE(YEAR('Loan Inputs'!$B$8),MONTH('Loan Inputs'!$B$8)+A1266,DAY('Loan Inputs'!$B$8)),'Loan Inputs'!$B$8+A1266*IF('Loan Inputs'!$B$14=26,14,7)))</f>
        <v/>
      </c>
      <c r="C1266" s="2" t="str">
        <f t="shared" si="59"/>
        <v/>
      </c>
      <c r="D1266" s="2" t="str">
        <f>IF(A1266="","",MIN('Loan Inputs'!$B$17,C1266+E1266)+H1266)</f>
        <v/>
      </c>
      <c r="E1266" s="2" t="str">
        <f>IF(A1266="","",C1266*'Loan Inputs'!$B$15)</f>
        <v/>
      </c>
      <c r="F1266" s="2" t="str">
        <f t="shared" si="57"/>
        <v/>
      </c>
      <c r="G1266" s="2" t="str">
        <f t="shared" si="58"/>
        <v/>
      </c>
      <c r="H1266" s="2" t="str">
        <f>IF(A1266="","",MIN(0,MAX(0,C1266+E1266-'Loan Inputs'!$B$17)))</f>
        <v/>
      </c>
    </row>
    <row r="1267" spans="1:8" ht="22" customHeight="1">
      <c r="A1267" s="1" t="str">
        <f>IF(AND('Loan Inputs'!$B$12,1261&lt;=IF('Loan Inputs'!$B$12,'Loan Inputs'!$B$7,0)*'Loan Inputs'!$B$14+0,ISNUMBER(G1266),G1266&gt;0),1261,"")</f>
        <v/>
      </c>
      <c r="B1267" s="4" t="str">
        <f>IF(A1267="","",IF('Loan Inputs'!$B$14=12,DATE(YEAR('Loan Inputs'!$B$8),MONTH('Loan Inputs'!$B$8)+A1267,DAY('Loan Inputs'!$B$8)),'Loan Inputs'!$B$8+A1267*IF('Loan Inputs'!$B$14=26,14,7)))</f>
        <v/>
      </c>
      <c r="C1267" s="2" t="str">
        <f t="shared" si="59"/>
        <v/>
      </c>
      <c r="D1267" s="2" t="str">
        <f>IF(A1267="","",MIN('Loan Inputs'!$B$17,C1267+E1267)+H1267)</f>
        <v/>
      </c>
      <c r="E1267" s="2" t="str">
        <f>IF(A1267="","",C1267*'Loan Inputs'!$B$15)</f>
        <v/>
      </c>
      <c r="F1267" s="2" t="str">
        <f t="shared" si="57"/>
        <v/>
      </c>
      <c r="G1267" s="2" t="str">
        <f t="shared" si="58"/>
        <v/>
      </c>
      <c r="H1267" s="2" t="str">
        <f>IF(A1267="","",MIN(0,MAX(0,C1267+E1267-'Loan Inputs'!$B$17)))</f>
        <v/>
      </c>
    </row>
    <row r="1268" spans="1:8" ht="22" customHeight="1">
      <c r="A1268" s="1" t="str">
        <f>IF(AND('Loan Inputs'!$B$12,1262&lt;=IF('Loan Inputs'!$B$12,'Loan Inputs'!$B$7,0)*'Loan Inputs'!$B$14+0,ISNUMBER(G1267),G1267&gt;0),1262,"")</f>
        <v/>
      </c>
      <c r="B1268" s="4" t="str">
        <f>IF(A1268="","",IF('Loan Inputs'!$B$14=12,DATE(YEAR('Loan Inputs'!$B$8),MONTH('Loan Inputs'!$B$8)+A1268,DAY('Loan Inputs'!$B$8)),'Loan Inputs'!$B$8+A1268*IF('Loan Inputs'!$B$14=26,14,7)))</f>
        <v/>
      </c>
      <c r="C1268" s="2" t="str">
        <f t="shared" si="59"/>
        <v/>
      </c>
      <c r="D1268" s="2" t="str">
        <f>IF(A1268="","",MIN('Loan Inputs'!$B$17,C1268+E1268)+H1268)</f>
        <v/>
      </c>
      <c r="E1268" s="2" t="str">
        <f>IF(A1268="","",C1268*'Loan Inputs'!$B$15)</f>
        <v/>
      </c>
      <c r="F1268" s="2" t="str">
        <f t="shared" si="57"/>
        <v/>
      </c>
      <c r="G1268" s="2" t="str">
        <f t="shared" si="58"/>
        <v/>
      </c>
      <c r="H1268" s="2" t="str">
        <f>IF(A1268="","",MIN(0,MAX(0,C1268+E1268-'Loan Inputs'!$B$17)))</f>
        <v/>
      </c>
    </row>
    <row r="1269" spans="1:8" ht="22" customHeight="1">
      <c r="A1269" s="1" t="str">
        <f>IF(AND('Loan Inputs'!$B$12,1263&lt;=IF('Loan Inputs'!$B$12,'Loan Inputs'!$B$7,0)*'Loan Inputs'!$B$14+0,ISNUMBER(G1268),G1268&gt;0),1263,"")</f>
        <v/>
      </c>
      <c r="B1269" s="4" t="str">
        <f>IF(A1269="","",IF('Loan Inputs'!$B$14=12,DATE(YEAR('Loan Inputs'!$B$8),MONTH('Loan Inputs'!$B$8)+A1269,DAY('Loan Inputs'!$B$8)),'Loan Inputs'!$B$8+A1269*IF('Loan Inputs'!$B$14=26,14,7)))</f>
        <v/>
      </c>
      <c r="C1269" s="2" t="str">
        <f t="shared" si="59"/>
        <v/>
      </c>
      <c r="D1269" s="2" t="str">
        <f>IF(A1269="","",MIN('Loan Inputs'!$B$17,C1269+E1269)+H1269)</f>
        <v/>
      </c>
      <c r="E1269" s="2" t="str">
        <f>IF(A1269="","",C1269*'Loan Inputs'!$B$15)</f>
        <v/>
      </c>
      <c r="F1269" s="2" t="str">
        <f t="shared" si="57"/>
        <v/>
      </c>
      <c r="G1269" s="2" t="str">
        <f t="shared" si="58"/>
        <v/>
      </c>
      <c r="H1269" s="2" t="str">
        <f>IF(A1269="","",MIN(0,MAX(0,C1269+E1269-'Loan Inputs'!$B$17)))</f>
        <v/>
      </c>
    </row>
    <row r="1270" spans="1:8" ht="22" customHeight="1">
      <c r="A1270" s="1" t="str">
        <f>IF(AND('Loan Inputs'!$B$12,1264&lt;=IF('Loan Inputs'!$B$12,'Loan Inputs'!$B$7,0)*'Loan Inputs'!$B$14+0,ISNUMBER(G1269),G1269&gt;0),1264,"")</f>
        <v/>
      </c>
      <c r="B1270" s="4" t="str">
        <f>IF(A1270="","",IF('Loan Inputs'!$B$14=12,DATE(YEAR('Loan Inputs'!$B$8),MONTH('Loan Inputs'!$B$8)+A1270,DAY('Loan Inputs'!$B$8)),'Loan Inputs'!$B$8+A1270*IF('Loan Inputs'!$B$14=26,14,7)))</f>
        <v/>
      </c>
      <c r="C1270" s="2" t="str">
        <f t="shared" si="59"/>
        <v/>
      </c>
      <c r="D1270" s="2" t="str">
        <f>IF(A1270="","",MIN('Loan Inputs'!$B$17,C1270+E1270)+H1270)</f>
        <v/>
      </c>
      <c r="E1270" s="2" t="str">
        <f>IF(A1270="","",C1270*'Loan Inputs'!$B$15)</f>
        <v/>
      </c>
      <c r="F1270" s="2" t="str">
        <f t="shared" si="57"/>
        <v/>
      </c>
      <c r="G1270" s="2" t="str">
        <f t="shared" si="58"/>
        <v/>
      </c>
      <c r="H1270" s="2" t="str">
        <f>IF(A1270="","",MIN(0,MAX(0,C1270+E1270-'Loan Inputs'!$B$17)))</f>
        <v/>
      </c>
    </row>
    <row r="1271" spans="1:8" ht="22" customHeight="1">
      <c r="A1271" s="1" t="str">
        <f>IF(AND('Loan Inputs'!$B$12,1265&lt;=IF('Loan Inputs'!$B$12,'Loan Inputs'!$B$7,0)*'Loan Inputs'!$B$14+0,ISNUMBER(G1270),G1270&gt;0),1265,"")</f>
        <v/>
      </c>
      <c r="B1271" s="4" t="str">
        <f>IF(A1271="","",IF('Loan Inputs'!$B$14=12,DATE(YEAR('Loan Inputs'!$B$8),MONTH('Loan Inputs'!$B$8)+A1271,DAY('Loan Inputs'!$B$8)),'Loan Inputs'!$B$8+A1271*IF('Loan Inputs'!$B$14=26,14,7)))</f>
        <v/>
      </c>
      <c r="C1271" s="2" t="str">
        <f t="shared" si="59"/>
        <v/>
      </c>
      <c r="D1271" s="2" t="str">
        <f>IF(A1271="","",MIN('Loan Inputs'!$B$17,C1271+E1271)+H1271)</f>
        <v/>
      </c>
      <c r="E1271" s="2" t="str">
        <f>IF(A1271="","",C1271*'Loan Inputs'!$B$15)</f>
        <v/>
      </c>
      <c r="F1271" s="2" t="str">
        <f t="shared" si="57"/>
        <v/>
      </c>
      <c r="G1271" s="2" t="str">
        <f t="shared" si="58"/>
        <v/>
      </c>
      <c r="H1271" s="2" t="str">
        <f>IF(A1271="","",MIN(0,MAX(0,C1271+E1271-'Loan Inputs'!$B$17)))</f>
        <v/>
      </c>
    </row>
    <row r="1272" spans="1:8" ht="22" customHeight="1">
      <c r="A1272" s="1" t="str">
        <f>IF(AND('Loan Inputs'!$B$12,1266&lt;=IF('Loan Inputs'!$B$12,'Loan Inputs'!$B$7,0)*'Loan Inputs'!$B$14+0,ISNUMBER(G1271),G1271&gt;0),1266,"")</f>
        <v/>
      </c>
      <c r="B1272" s="4" t="str">
        <f>IF(A1272="","",IF('Loan Inputs'!$B$14=12,DATE(YEAR('Loan Inputs'!$B$8),MONTH('Loan Inputs'!$B$8)+A1272,DAY('Loan Inputs'!$B$8)),'Loan Inputs'!$B$8+A1272*IF('Loan Inputs'!$B$14=26,14,7)))</f>
        <v/>
      </c>
      <c r="C1272" s="2" t="str">
        <f t="shared" si="59"/>
        <v/>
      </c>
      <c r="D1272" s="2" t="str">
        <f>IF(A1272="","",MIN('Loan Inputs'!$B$17,C1272+E1272)+H1272)</f>
        <v/>
      </c>
      <c r="E1272" s="2" t="str">
        <f>IF(A1272="","",C1272*'Loan Inputs'!$B$15)</f>
        <v/>
      </c>
      <c r="F1272" s="2" t="str">
        <f t="shared" si="57"/>
        <v/>
      </c>
      <c r="G1272" s="2" t="str">
        <f t="shared" si="58"/>
        <v/>
      </c>
      <c r="H1272" s="2" t="str">
        <f>IF(A1272="","",MIN(0,MAX(0,C1272+E1272-'Loan Inputs'!$B$17)))</f>
        <v/>
      </c>
    </row>
    <row r="1273" spans="1:8" ht="22" customHeight="1">
      <c r="A1273" s="1" t="str">
        <f>IF(AND('Loan Inputs'!$B$12,1267&lt;=IF('Loan Inputs'!$B$12,'Loan Inputs'!$B$7,0)*'Loan Inputs'!$B$14+0,ISNUMBER(G1272),G1272&gt;0),1267,"")</f>
        <v/>
      </c>
      <c r="B1273" s="4" t="str">
        <f>IF(A1273="","",IF('Loan Inputs'!$B$14=12,DATE(YEAR('Loan Inputs'!$B$8),MONTH('Loan Inputs'!$B$8)+A1273,DAY('Loan Inputs'!$B$8)),'Loan Inputs'!$B$8+A1273*IF('Loan Inputs'!$B$14=26,14,7)))</f>
        <v/>
      </c>
      <c r="C1273" s="2" t="str">
        <f t="shared" si="59"/>
        <v/>
      </c>
      <c r="D1273" s="2" t="str">
        <f>IF(A1273="","",MIN('Loan Inputs'!$B$17,C1273+E1273)+H1273)</f>
        <v/>
      </c>
      <c r="E1273" s="2" t="str">
        <f>IF(A1273="","",C1273*'Loan Inputs'!$B$15)</f>
        <v/>
      </c>
      <c r="F1273" s="2" t="str">
        <f t="shared" si="57"/>
        <v/>
      </c>
      <c r="G1273" s="2" t="str">
        <f t="shared" si="58"/>
        <v/>
      </c>
      <c r="H1273" s="2" t="str">
        <f>IF(A1273="","",MIN(0,MAX(0,C1273+E1273-'Loan Inputs'!$B$17)))</f>
        <v/>
      </c>
    </row>
    <row r="1274" spans="1:8" ht="22" customHeight="1">
      <c r="A1274" s="1" t="str">
        <f>IF(AND('Loan Inputs'!$B$12,1268&lt;=IF('Loan Inputs'!$B$12,'Loan Inputs'!$B$7,0)*'Loan Inputs'!$B$14+0,ISNUMBER(G1273),G1273&gt;0),1268,"")</f>
        <v/>
      </c>
      <c r="B1274" s="4" t="str">
        <f>IF(A1274="","",IF('Loan Inputs'!$B$14=12,DATE(YEAR('Loan Inputs'!$B$8),MONTH('Loan Inputs'!$B$8)+A1274,DAY('Loan Inputs'!$B$8)),'Loan Inputs'!$B$8+A1274*IF('Loan Inputs'!$B$14=26,14,7)))</f>
        <v/>
      </c>
      <c r="C1274" s="2" t="str">
        <f t="shared" si="59"/>
        <v/>
      </c>
      <c r="D1274" s="2" t="str">
        <f>IF(A1274="","",MIN('Loan Inputs'!$B$17,C1274+E1274)+H1274)</f>
        <v/>
      </c>
      <c r="E1274" s="2" t="str">
        <f>IF(A1274="","",C1274*'Loan Inputs'!$B$15)</f>
        <v/>
      </c>
      <c r="F1274" s="2" t="str">
        <f t="shared" si="57"/>
        <v/>
      </c>
      <c r="G1274" s="2" t="str">
        <f t="shared" si="58"/>
        <v/>
      </c>
      <c r="H1274" s="2" t="str">
        <f>IF(A1274="","",MIN(0,MAX(0,C1274+E1274-'Loan Inputs'!$B$17)))</f>
        <v/>
      </c>
    </row>
    <row r="1275" spans="1:8" ht="22" customHeight="1">
      <c r="A1275" s="1" t="str">
        <f>IF(AND('Loan Inputs'!$B$12,1269&lt;=IF('Loan Inputs'!$B$12,'Loan Inputs'!$B$7,0)*'Loan Inputs'!$B$14+0,ISNUMBER(G1274),G1274&gt;0),1269,"")</f>
        <v/>
      </c>
      <c r="B1275" s="4" t="str">
        <f>IF(A1275="","",IF('Loan Inputs'!$B$14=12,DATE(YEAR('Loan Inputs'!$B$8),MONTH('Loan Inputs'!$B$8)+A1275,DAY('Loan Inputs'!$B$8)),'Loan Inputs'!$B$8+A1275*IF('Loan Inputs'!$B$14=26,14,7)))</f>
        <v/>
      </c>
      <c r="C1275" s="2" t="str">
        <f t="shared" si="59"/>
        <v/>
      </c>
      <c r="D1275" s="2" t="str">
        <f>IF(A1275="","",MIN('Loan Inputs'!$B$17,C1275+E1275)+H1275)</f>
        <v/>
      </c>
      <c r="E1275" s="2" t="str">
        <f>IF(A1275="","",C1275*'Loan Inputs'!$B$15)</f>
        <v/>
      </c>
      <c r="F1275" s="2" t="str">
        <f t="shared" si="57"/>
        <v/>
      </c>
      <c r="G1275" s="2" t="str">
        <f t="shared" si="58"/>
        <v/>
      </c>
      <c r="H1275" s="2" t="str">
        <f>IF(A1275="","",MIN(0,MAX(0,C1275+E1275-'Loan Inputs'!$B$17)))</f>
        <v/>
      </c>
    </row>
    <row r="1276" spans="1:8" ht="22" customHeight="1">
      <c r="A1276" s="1" t="str">
        <f>IF(AND('Loan Inputs'!$B$12,1270&lt;=IF('Loan Inputs'!$B$12,'Loan Inputs'!$B$7,0)*'Loan Inputs'!$B$14+0,ISNUMBER(G1275),G1275&gt;0),1270,"")</f>
        <v/>
      </c>
      <c r="B1276" s="4" t="str">
        <f>IF(A1276="","",IF('Loan Inputs'!$B$14=12,DATE(YEAR('Loan Inputs'!$B$8),MONTH('Loan Inputs'!$B$8)+A1276,DAY('Loan Inputs'!$B$8)),'Loan Inputs'!$B$8+A1276*IF('Loan Inputs'!$B$14=26,14,7)))</f>
        <v/>
      </c>
      <c r="C1276" s="2" t="str">
        <f t="shared" si="59"/>
        <v/>
      </c>
      <c r="D1276" s="2" t="str">
        <f>IF(A1276="","",MIN('Loan Inputs'!$B$17,C1276+E1276)+H1276)</f>
        <v/>
      </c>
      <c r="E1276" s="2" t="str">
        <f>IF(A1276="","",C1276*'Loan Inputs'!$B$15)</f>
        <v/>
      </c>
      <c r="F1276" s="2" t="str">
        <f t="shared" si="57"/>
        <v/>
      </c>
      <c r="G1276" s="2" t="str">
        <f t="shared" si="58"/>
        <v/>
      </c>
      <c r="H1276" s="2" t="str">
        <f>IF(A1276="","",MIN(0,MAX(0,C1276+E1276-'Loan Inputs'!$B$17)))</f>
        <v/>
      </c>
    </row>
    <row r="1277" spans="1:8" ht="22" customHeight="1">
      <c r="A1277" s="1" t="str">
        <f>IF(AND('Loan Inputs'!$B$12,1271&lt;=IF('Loan Inputs'!$B$12,'Loan Inputs'!$B$7,0)*'Loan Inputs'!$B$14+0,ISNUMBER(G1276),G1276&gt;0),1271,"")</f>
        <v/>
      </c>
      <c r="B1277" s="4" t="str">
        <f>IF(A1277="","",IF('Loan Inputs'!$B$14=12,DATE(YEAR('Loan Inputs'!$B$8),MONTH('Loan Inputs'!$B$8)+A1277,DAY('Loan Inputs'!$B$8)),'Loan Inputs'!$B$8+A1277*IF('Loan Inputs'!$B$14=26,14,7)))</f>
        <v/>
      </c>
      <c r="C1277" s="2" t="str">
        <f t="shared" si="59"/>
        <v/>
      </c>
      <c r="D1277" s="2" t="str">
        <f>IF(A1277="","",MIN('Loan Inputs'!$B$17,C1277+E1277)+H1277)</f>
        <v/>
      </c>
      <c r="E1277" s="2" t="str">
        <f>IF(A1277="","",C1277*'Loan Inputs'!$B$15)</f>
        <v/>
      </c>
      <c r="F1277" s="2" t="str">
        <f t="shared" si="57"/>
        <v/>
      </c>
      <c r="G1277" s="2" t="str">
        <f t="shared" si="58"/>
        <v/>
      </c>
      <c r="H1277" s="2" t="str">
        <f>IF(A1277="","",MIN(0,MAX(0,C1277+E1277-'Loan Inputs'!$B$17)))</f>
        <v/>
      </c>
    </row>
    <row r="1278" spans="1:8" ht="22" customHeight="1">
      <c r="A1278" s="1" t="str">
        <f>IF(AND('Loan Inputs'!$B$12,1272&lt;=IF('Loan Inputs'!$B$12,'Loan Inputs'!$B$7,0)*'Loan Inputs'!$B$14+0,ISNUMBER(G1277),G1277&gt;0),1272,"")</f>
        <v/>
      </c>
      <c r="B1278" s="4" t="str">
        <f>IF(A1278="","",IF('Loan Inputs'!$B$14=12,DATE(YEAR('Loan Inputs'!$B$8),MONTH('Loan Inputs'!$B$8)+A1278,DAY('Loan Inputs'!$B$8)),'Loan Inputs'!$B$8+A1278*IF('Loan Inputs'!$B$14=26,14,7)))</f>
        <v/>
      </c>
      <c r="C1278" s="2" t="str">
        <f t="shared" si="59"/>
        <v/>
      </c>
      <c r="D1278" s="2" t="str">
        <f>IF(A1278="","",MIN('Loan Inputs'!$B$17,C1278+E1278)+H1278)</f>
        <v/>
      </c>
      <c r="E1278" s="2" t="str">
        <f>IF(A1278="","",C1278*'Loan Inputs'!$B$15)</f>
        <v/>
      </c>
      <c r="F1278" s="2" t="str">
        <f t="shared" si="57"/>
        <v/>
      </c>
      <c r="G1278" s="2" t="str">
        <f t="shared" si="58"/>
        <v/>
      </c>
      <c r="H1278" s="2" t="str">
        <f>IF(A1278="","",MIN(0,MAX(0,C1278+E1278-'Loan Inputs'!$B$17)))</f>
        <v/>
      </c>
    </row>
    <row r="1279" spans="1:8" ht="22" customHeight="1">
      <c r="A1279" s="1" t="str">
        <f>IF(AND('Loan Inputs'!$B$12,1273&lt;=IF('Loan Inputs'!$B$12,'Loan Inputs'!$B$7,0)*'Loan Inputs'!$B$14+0,ISNUMBER(G1278),G1278&gt;0),1273,"")</f>
        <v/>
      </c>
      <c r="B1279" s="4" t="str">
        <f>IF(A1279="","",IF('Loan Inputs'!$B$14=12,DATE(YEAR('Loan Inputs'!$B$8),MONTH('Loan Inputs'!$B$8)+A1279,DAY('Loan Inputs'!$B$8)),'Loan Inputs'!$B$8+A1279*IF('Loan Inputs'!$B$14=26,14,7)))</f>
        <v/>
      </c>
      <c r="C1279" s="2" t="str">
        <f t="shared" si="59"/>
        <v/>
      </c>
      <c r="D1279" s="2" t="str">
        <f>IF(A1279="","",MIN('Loan Inputs'!$B$17,C1279+E1279)+H1279)</f>
        <v/>
      </c>
      <c r="E1279" s="2" t="str">
        <f>IF(A1279="","",C1279*'Loan Inputs'!$B$15)</f>
        <v/>
      </c>
      <c r="F1279" s="2" t="str">
        <f t="shared" si="57"/>
        <v/>
      </c>
      <c r="G1279" s="2" t="str">
        <f t="shared" si="58"/>
        <v/>
      </c>
      <c r="H1279" s="2" t="str">
        <f>IF(A1279="","",MIN(0,MAX(0,C1279+E1279-'Loan Inputs'!$B$17)))</f>
        <v/>
      </c>
    </row>
    <row r="1280" spans="1:8" ht="22" customHeight="1">
      <c r="A1280" s="1" t="str">
        <f>IF(AND('Loan Inputs'!$B$12,1274&lt;=IF('Loan Inputs'!$B$12,'Loan Inputs'!$B$7,0)*'Loan Inputs'!$B$14+0,ISNUMBER(G1279),G1279&gt;0),1274,"")</f>
        <v/>
      </c>
      <c r="B1280" s="4" t="str">
        <f>IF(A1280="","",IF('Loan Inputs'!$B$14=12,DATE(YEAR('Loan Inputs'!$B$8),MONTH('Loan Inputs'!$B$8)+A1280,DAY('Loan Inputs'!$B$8)),'Loan Inputs'!$B$8+A1280*IF('Loan Inputs'!$B$14=26,14,7)))</f>
        <v/>
      </c>
      <c r="C1280" s="2" t="str">
        <f t="shared" si="59"/>
        <v/>
      </c>
      <c r="D1280" s="2" t="str">
        <f>IF(A1280="","",MIN('Loan Inputs'!$B$17,C1280+E1280)+H1280)</f>
        <v/>
      </c>
      <c r="E1280" s="2" t="str">
        <f>IF(A1280="","",C1280*'Loan Inputs'!$B$15)</f>
        <v/>
      </c>
      <c r="F1280" s="2" t="str">
        <f t="shared" si="57"/>
        <v/>
      </c>
      <c r="G1280" s="2" t="str">
        <f t="shared" si="58"/>
        <v/>
      </c>
      <c r="H1280" s="2" t="str">
        <f>IF(A1280="","",MIN(0,MAX(0,C1280+E1280-'Loan Inputs'!$B$17)))</f>
        <v/>
      </c>
    </row>
    <row r="1281" spans="1:8" ht="22" customHeight="1">
      <c r="A1281" s="1" t="str">
        <f>IF(AND('Loan Inputs'!$B$12,1275&lt;=IF('Loan Inputs'!$B$12,'Loan Inputs'!$B$7,0)*'Loan Inputs'!$B$14+0,ISNUMBER(G1280),G1280&gt;0),1275,"")</f>
        <v/>
      </c>
      <c r="B1281" s="4" t="str">
        <f>IF(A1281="","",IF('Loan Inputs'!$B$14=12,DATE(YEAR('Loan Inputs'!$B$8),MONTH('Loan Inputs'!$B$8)+A1281,DAY('Loan Inputs'!$B$8)),'Loan Inputs'!$B$8+A1281*IF('Loan Inputs'!$B$14=26,14,7)))</f>
        <v/>
      </c>
      <c r="C1281" s="2" t="str">
        <f t="shared" si="59"/>
        <v/>
      </c>
      <c r="D1281" s="2" t="str">
        <f>IF(A1281="","",MIN('Loan Inputs'!$B$17,C1281+E1281)+H1281)</f>
        <v/>
      </c>
      <c r="E1281" s="2" t="str">
        <f>IF(A1281="","",C1281*'Loan Inputs'!$B$15)</f>
        <v/>
      </c>
      <c r="F1281" s="2" t="str">
        <f t="shared" si="57"/>
        <v/>
      </c>
      <c r="G1281" s="2" t="str">
        <f t="shared" si="58"/>
        <v/>
      </c>
      <c r="H1281" s="2" t="str">
        <f>IF(A1281="","",MIN(0,MAX(0,C1281+E1281-'Loan Inputs'!$B$17)))</f>
        <v/>
      </c>
    </row>
    <row r="1282" spans="1:8" ht="22" customHeight="1">
      <c r="A1282" s="1" t="str">
        <f>IF(AND('Loan Inputs'!$B$12,1276&lt;=IF('Loan Inputs'!$B$12,'Loan Inputs'!$B$7,0)*'Loan Inputs'!$B$14+0,ISNUMBER(G1281),G1281&gt;0),1276,"")</f>
        <v/>
      </c>
      <c r="B1282" s="4" t="str">
        <f>IF(A1282="","",IF('Loan Inputs'!$B$14=12,DATE(YEAR('Loan Inputs'!$B$8),MONTH('Loan Inputs'!$B$8)+A1282,DAY('Loan Inputs'!$B$8)),'Loan Inputs'!$B$8+A1282*IF('Loan Inputs'!$B$14=26,14,7)))</f>
        <v/>
      </c>
      <c r="C1282" s="2" t="str">
        <f t="shared" si="59"/>
        <v/>
      </c>
      <c r="D1282" s="2" t="str">
        <f>IF(A1282="","",MIN('Loan Inputs'!$B$17,C1282+E1282)+H1282)</f>
        <v/>
      </c>
      <c r="E1282" s="2" t="str">
        <f>IF(A1282="","",C1282*'Loan Inputs'!$B$15)</f>
        <v/>
      </c>
      <c r="F1282" s="2" t="str">
        <f t="shared" si="57"/>
        <v/>
      </c>
      <c r="G1282" s="2" t="str">
        <f t="shared" si="58"/>
        <v/>
      </c>
      <c r="H1282" s="2" t="str">
        <f>IF(A1282="","",MIN(0,MAX(0,C1282+E1282-'Loan Inputs'!$B$17)))</f>
        <v/>
      </c>
    </row>
    <row r="1283" spans="1:8" ht="22" customHeight="1">
      <c r="A1283" s="1" t="str">
        <f>IF(AND('Loan Inputs'!$B$12,1277&lt;=IF('Loan Inputs'!$B$12,'Loan Inputs'!$B$7,0)*'Loan Inputs'!$B$14+0,ISNUMBER(G1282),G1282&gt;0),1277,"")</f>
        <v/>
      </c>
      <c r="B1283" s="4" t="str">
        <f>IF(A1283="","",IF('Loan Inputs'!$B$14=12,DATE(YEAR('Loan Inputs'!$B$8),MONTH('Loan Inputs'!$B$8)+A1283,DAY('Loan Inputs'!$B$8)),'Loan Inputs'!$B$8+A1283*IF('Loan Inputs'!$B$14=26,14,7)))</f>
        <v/>
      </c>
      <c r="C1283" s="2" t="str">
        <f t="shared" si="59"/>
        <v/>
      </c>
      <c r="D1283" s="2" t="str">
        <f>IF(A1283="","",MIN('Loan Inputs'!$B$17,C1283+E1283)+H1283)</f>
        <v/>
      </c>
      <c r="E1283" s="2" t="str">
        <f>IF(A1283="","",C1283*'Loan Inputs'!$B$15)</f>
        <v/>
      </c>
      <c r="F1283" s="2" t="str">
        <f t="shared" si="57"/>
        <v/>
      </c>
      <c r="G1283" s="2" t="str">
        <f t="shared" si="58"/>
        <v/>
      </c>
      <c r="H1283" s="2" t="str">
        <f>IF(A1283="","",MIN(0,MAX(0,C1283+E1283-'Loan Inputs'!$B$17)))</f>
        <v/>
      </c>
    </row>
    <row r="1284" spans="1:8" ht="22" customHeight="1">
      <c r="A1284" s="1" t="str">
        <f>IF(AND('Loan Inputs'!$B$12,1278&lt;=IF('Loan Inputs'!$B$12,'Loan Inputs'!$B$7,0)*'Loan Inputs'!$B$14+0,ISNUMBER(G1283),G1283&gt;0),1278,"")</f>
        <v/>
      </c>
      <c r="B1284" s="4" t="str">
        <f>IF(A1284="","",IF('Loan Inputs'!$B$14=12,DATE(YEAR('Loan Inputs'!$B$8),MONTH('Loan Inputs'!$B$8)+A1284,DAY('Loan Inputs'!$B$8)),'Loan Inputs'!$B$8+A1284*IF('Loan Inputs'!$B$14=26,14,7)))</f>
        <v/>
      </c>
      <c r="C1284" s="2" t="str">
        <f t="shared" si="59"/>
        <v/>
      </c>
      <c r="D1284" s="2" t="str">
        <f>IF(A1284="","",MIN('Loan Inputs'!$B$17,C1284+E1284)+H1284)</f>
        <v/>
      </c>
      <c r="E1284" s="2" t="str">
        <f>IF(A1284="","",C1284*'Loan Inputs'!$B$15)</f>
        <v/>
      </c>
      <c r="F1284" s="2" t="str">
        <f t="shared" si="57"/>
        <v/>
      </c>
      <c r="G1284" s="2" t="str">
        <f t="shared" si="58"/>
        <v/>
      </c>
      <c r="H1284" s="2" t="str">
        <f>IF(A1284="","",MIN(0,MAX(0,C1284+E1284-'Loan Inputs'!$B$17)))</f>
        <v/>
      </c>
    </row>
    <row r="1285" spans="1:8" ht="22" customHeight="1">
      <c r="A1285" s="1" t="str">
        <f>IF(AND('Loan Inputs'!$B$12,1279&lt;=IF('Loan Inputs'!$B$12,'Loan Inputs'!$B$7,0)*'Loan Inputs'!$B$14+0,ISNUMBER(G1284),G1284&gt;0),1279,"")</f>
        <v/>
      </c>
      <c r="B1285" s="4" t="str">
        <f>IF(A1285="","",IF('Loan Inputs'!$B$14=12,DATE(YEAR('Loan Inputs'!$B$8),MONTH('Loan Inputs'!$B$8)+A1285,DAY('Loan Inputs'!$B$8)),'Loan Inputs'!$B$8+A1285*IF('Loan Inputs'!$B$14=26,14,7)))</f>
        <v/>
      </c>
      <c r="C1285" s="2" t="str">
        <f t="shared" si="59"/>
        <v/>
      </c>
      <c r="D1285" s="2" t="str">
        <f>IF(A1285="","",MIN('Loan Inputs'!$B$17,C1285+E1285)+H1285)</f>
        <v/>
      </c>
      <c r="E1285" s="2" t="str">
        <f>IF(A1285="","",C1285*'Loan Inputs'!$B$15)</f>
        <v/>
      </c>
      <c r="F1285" s="2" t="str">
        <f t="shared" si="57"/>
        <v/>
      </c>
      <c r="G1285" s="2" t="str">
        <f t="shared" si="58"/>
        <v/>
      </c>
      <c r="H1285" s="2" t="str">
        <f>IF(A1285="","",MIN(0,MAX(0,C1285+E1285-'Loan Inputs'!$B$17)))</f>
        <v/>
      </c>
    </row>
    <row r="1286" spans="1:8" ht="22" customHeight="1">
      <c r="A1286" s="1" t="str">
        <f>IF(AND('Loan Inputs'!$B$12,1280&lt;=IF('Loan Inputs'!$B$12,'Loan Inputs'!$B$7,0)*'Loan Inputs'!$B$14+0,ISNUMBER(G1285),G1285&gt;0),1280,"")</f>
        <v/>
      </c>
      <c r="B1286" s="4" t="str">
        <f>IF(A1286="","",IF('Loan Inputs'!$B$14=12,DATE(YEAR('Loan Inputs'!$B$8),MONTH('Loan Inputs'!$B$8)+A1286,DAY('Loan Inputs'!$B$8)),'Loan Inputs'!$B$8+A1286*IF('Loan Inputs'!$B$14=26,14,7)))</f>
        <v/>
      </c>
      <c r="C1286" s="2" t="str">
        <f t="shared" si="59"/>
        <v/>
      </c>
      <c r="D1286" s="2" t="str">
        <f>IF(A1286="","",MIN('Loan Inputs'!$B$17,C1286+E1286)+H1286)</f>
        <v/>
      </c>
      <c r="E1286" s="2" t="str">
        <f>IF(A1286="","",C1286*'Loan Inputs'!$B$15)</f>
        <v/>
      </c>
      <c r="F1286" s="2" t="str">
        <f t="shared" si="57"/>
        <v/>
      </c>
      <c r="G1286" s="2" t="str">
        <f t="shared" si="58"/>
        <v/>
      </c>
      <c r="H1286" s="2" t="str">
        <f>IF(A1286="","",MIN(0,MAX(0,C1286+E1286-'Loan Inputs'!$B$17)))</f>
        <v/>
      </c>
    </row>
    <row r="1287" spans="1:8" ht="22" customHeight="1">
      <c r="A1287" s="1" t="str">
        <f>IF(AND('Loan Inputs'!$B$12,1281&lt;=IF('Loan Inputs'!$B$12,'Loan Inputs'!$B$7,0)*'Loan Inputs'!$B$14+0,ISNUMBER(G1286),G1286&gt;0),1281,"")</f>
        <v/>
      </c>
      <c r="B1287" s="4" t="str">
        <f>IF(A1287="","",IF('Loan Inputs'!$B$14=12,DATE(YEAR('Loan Inputs'!$B$8),MONTH('Loan Inputs'!$B$8)+A1287,DAY('Loan Inputs'!$B$8)),'Loan Inputs'!$B$8+A1287*IF('Loan Inputs'!$B$14=26,14,7)))</f>
        <v/>
      </c>
      <c r="C1287" s="2" t="str">
        <f t="shared" si="59"/>
        <v/>
      </c>
      <c r="D1287" s="2" t="str">
        <f>IF(A1287="","",MIN('Loan Inputs'!$B$17,C1287+E1287)+H1287)</f>
        <v/>
      </c>
      <c r="E1287" s="2" t="str">
        <f>IF(A1287="","",C1287*'Loan Inputs'!$B$15)</f>
        <v/>
      </c>
      <c r="F1287" s="2" t="str">
        <f t="shared" ref="F1287:F1350" si="60">IF(A1287="","",MIN(C1287,D1287-E1287))</f>
        <v/>
      </c>
      <c r="G1287" s="2" t="str">
        <f t="shared" ref="G1287:G1350" si="61">IF(A1287="","",IF(C1287-F1287&lt;0.01,0,MAX(0,C1287-F1287)))</f>
        <v/>
      </c>
      <c r="H1287" s="2" t="str">
        <f>IF(A1287="","",MIN(0,MAX(0,C1287+E1287-'Loan Inputs'!$B$17)))</f>
        <v/>
      </c>
    </row>
    <row r="1288" spans="1:8" ht="22" customHeight="1">
      <c r="A1288" s="1" t="str">
        <f>IF(AND('Loan Inputs'!$B$12,1282&lt;=IF('Loan Inputs'!$B$12,'Loan Inputs'!$B$7,0)*'Loan Inputs'!$B$14+0,ISNUMBER(G1287),G1287&gt;0),1282,"")</f>
        <v/>
      </c>
      <c r="B1288" s="4" t="str">
        <f>IF(A1288="","",IF('Loan Inputs'!$B$14=12,DATE(YEAR('Loan Inputs'!$B$8),MONTH('Loan Inputs'!$B$8)+A1288,DAY('Loan Inputs'!$B$8)),'Loan Inputs'!$B$8+A1288*IF('Loan Inputs'!$B$14=26,14,7)))</f>
        <v/>
      </c>
      <c r="C1288" s="2" t="str">
        <f t="shared" ref="C1288:C1351" si="62">IF(A1288="","",G1287)</f>
        <v/>
      </c>
      <c r="D1288" s="2" t="str">
        <f>IF(A1288="","",MIN('Loan Inputs'!$B$17,C1288+E1288)+H1288)</f>
        <v/>
      </c>
      <c r="E1288" s="2" t="str">
        <f>IF(A1288="","",C1288*'Loan Inputs'!$B$15)</f>
        <v/>
      </c>
      <c r="F1288" s="2" t="str">
        <f t="shared" si="60"/>
        <v/>
      </c>
      <c r="G1288" s="2" t="str">
        <f t="shared" si="61"/>
        <v/>
      </c>
      <c r="H1288" s="2" t="str">
        <f>IF(A1288="","",MIN(0,MAX(0,C1288+E1288-'Loan Inputs'!$B$17)))</f>
        <v/>
      </c>
    </row>
    <row r="1289" spans="1:8" ht="22" customHeight="1">
      <c r="A1289" s="1" t="str">
        <f>IF(AND('Loan Inputs'!$B$12,1283&lt;=IF('Loan Inputs'!$B$12,'Loan Inputs'!$B$7,0)*'Loan Inputs'!$B$14+0,ISNUMBER(G1288),G1288&gt;0),1283,"")</f>
        <v/>
      </c>
      <c r="B1289" s="4" t="str">
        <f>IF(A1289="","",IF('Loan Inputs'!$B$14=12,DATE(YEAR('Loan Inputs'!$B$8),MONTH('Loan Inputs'!$B$8)+A1289,DAY('Loan Inputs'!$B$8)),'Loan Inputs'!$B$8+A1289*IF('Loan Inputs'!$B$14=26,14,7)))</f>
        <v/>
      </c>
      <c r="C1289" s="2" t="str">
        <f t="shared" si="62"/>
        <v/>
      </c>
      <c r="D1289" s="2" t="str">
        <f>IF(A1289="","",MIN('Loan Inputs'!$B$17,C1289+E1289)+H1289)</f>
        <v/>
      </c>
      <c r="E1289" s="2" t="str">
        <f>IF(A1289="","",C1289*'Loan Inputs'!$B$15)</f>
        <v/>
      </c>
      <c r="F1289" s="2" t="str">
        <f t="shared" si="60"/>
        <v/>
      </c>
      <c r="G1289" s="2" t="str">
        <f t="shared" si="61"/>
        <v/>
      </c>
      <c r="H1289" s="2" t="str">
        <f>IF(A1289="","",MIN(0,MAX(0,C1289+E1289-'Loan Inputs'!$B$17)))</f>
        <v/>
      </c>
    </row>
    <row r="1290" spans="1:8" ht="22" customHeight="1">
      <c r="A1290" s="1" t="str">
        <f>IF(AND('Loan Inputs'!$B$12,1284&lt;=IF('Loan Inputs'!$B$12,'Loan Inputs'!$B$7,0)*'Loan Inputs'!$B$14+0,ISNUMBER(G1289),G1289&gt;0),1284,"")</f>
        <v/>
      </c>
      <c r="B1290" s="4" t="str">
        <f>IF(A1290="","",IF('Loan Inputs'!$B$14=12,DATE(YEAR('Loan Inputs'!$B$8),MONTH('Loan Inputs'!$B$8)+A1290,DAY('Loan Inputs'!$B$8)),'Loan Inputs'!$B$8+A1290*IF('Loan Inputs'!$B$14=26,14,7)))</f>
        <v/>
      </c>
      <c r="C1290" s="2" t="str">
        <f t="shared" si="62"/>
        <v/>
      </c>
      <c r="D1290" s="2" t="str">
        <f>IF(A1290="","",MIN('Loan Inputs'!$B$17,C1290+E1290)+H1290)</f>
        <v/>
      </c>
      <c r="E1290" s="2" t="str">
        <f>IF(A1290="","",C1290*'Loan Inputs'!$B$15)</f>
        <v/>
      </c>
      <c r="F1290" s="2" t="str">
        <f t="shared" si="60"/>
        <v/>
      </c>
      <c r="G1290" s="2" t="str">
        <f t="shared" si="61"/>
        <v/>
      </c>
      <c r="H1290" s="2" t="str">
        <f>IF(A1290="","",MIN(0,MAX(0,C1290+E1290-'Loan Inputs'!$B$17)))</f>
        <v/>
      </c>
    </row>
    <row r="1291" spans="1:8" ht="22" customHeight="1">
      <c r="A1291" s="1" t="str">
        <f>IF(AND('Loan Inputs'!$B$12,1285&lt;=IF('Loan Inputs'!$B$12,'Loan Inputs'!$B$7,0)*'Loan Inputs'!$B$14+0,ISNUMBER(G1290),G1290&gt;0),1285,"")</f>
        <v/>
      </c>
      <c r="B1291" s="4" t="str">
        <f>IF(A1291="","",IF('Loan Inputs'!$B$14=12,DATE(YEAR('Loan Inputs'!$B$8),MONTH('Loan Inputs'!$B$8)+A1291,DAY('Loan Inputs'!$B$8)),'Loan Inputs'!$B$8+A1291*IF('Loan Inputs'!$B$14=26,14,7)))</f>
        <v/>
      </c>
      <c r="C1291" s="2" t="str">
        <f t="shared" si="62"/>
        <v/>
      </c>
      <c r="D1291" s="2" t="str">
        <f>IF(A1291="","",MIN('Loan Inputs'!$B$17,C1291+E1291)+H1291)</f>
        <v/>
      </c>
      <c r="E1291" s="2" t="str">
        <f>IF(A1291="","",C1291*'Loan Inputs'!$B$15)</f>
        <v/>
      </c>
      <c r="F1291" s="2" t="str">
        <f t="shared" si="60"/>
        <v/>
      </c>
      <c r="G1291" s="2" t="str">
        <f t="shared" si="61"/>
        <v/>
      </c>
      <c r="H1291" s="2" t="str">
        <f>IF(A1291="","",MIN(0,MAX(0,C1291+E1291-'Loan Inputs'!$B$17)))</f>
        <v/>
      </c>
    </row>
    <row r="1292" spans="1:8" ht="22" customHeight="1">
      <c r="A1292" s="1" t="str">
        <f>IF(AND('Loan Inputs'!$B$12,1286&lt;=IF('Loan Inputs'!$B$12,'Loan Inputs'!$B$7,0)*'Loan Inputs'!$B$14+0,ISNUMBER(G1291),G1291&gt;0),1286,"")</f>
        <v/>
      </c>
      <c r="B1292" s="4" t="str">
        <f>IF(A1292="","",IF('Loan Inputs'!$B$14=12,DATE(YEAR('Loan Inputs'!$B$8),MONTH('Loan Inputs'!$B$8)+A1292,DAY('Loan Inputs'!$B$8)),'Loan Inputs'!$B$8+A1292*IF('Loan Inputs'!$B$14=26,14,7)))</f>
        <v/>
      </c>
      <c r="C1292" s="2" t="str">
        <f t="shared" si="62"/>
        <v/>
      </c>
      <c r="D1292" s="2" t="str">
        <f>IF(A1292="","",MIN('Loan Inputs'!$B$17,C1292+E1292)+H1292)</f>
        <v/>
      </c>
      <c r="E1292" s="2" t="str">
        <f>IF(A1292="","",C1292*'Loan Inputs'!$B$15)</f>
        <v/>
      </c>
      <c r="F1292" s="2" t="str">
        <f t="shared" si="60"/>
        <v/>
      </c>
      <c r="G1292" s="2" t="str">
        <f t="shared" si="61"/>
        <v/>
      </c>
      <c r="H1292" s="2" t="str">
        <f>IF(A1292="","",MIN(0,MAX(0,C1292+E1292-'Loan Inputs'!$B$17)))</f>
        <v/>
      </c>
    </row>
    <row r="1293" spans="1:8" ht="22" customHeight="1">
      <c r="A1293" s="1" t="str">
        <f>IF(AND('Loan Inputs'!$B$12,1287&lt;=IF('Loan Inputs'!$B$12,'Loan Inputs'!$B$7,0)*'Loan Inputs'!$B$14+0,ISNUMBER(G1292),G1292&gt;0),1287,"")</f>
        <v/>
      </c>
      <c r="B1293" s="4" t="str">
        <f>IF(A1293="","",IF('Loan Inputs'!$B$14=12,DATE(YEAR('Loan Inputs'!$B$8),MONTH('Loan Inputs'!$B$8)+A1293,DAY('Loan Inputs'!$B$8)),'Loan Inputs'!$B$8+A1293*IF('Loan Inputs'!$B$14=26,14,7)))</f>
        <v/>
      </c>
      <c r="C1293" s="2" t="str">
        <f t="shared" si="62"/>
        <v/>
      </c>
      <c r="D1293" s="2" t="str">
        <f>IF(A1293="","",MIN('Loan Inputs'!$B$17,C1293+E1293)+H1293)</f>
        <v/>
      </c>
      <c r="E1293" s="2" t="str">
        <f>IF(A1293="","",C1293*'Loan Inputs'!$B$15)</f>
        <v/>
      </c>
      <c r="F1293" s="2" t="str">
        <f t="shared" si="60"/>
        <v/>
      </c>
      <c r="G1293" s="2" t="str">
        <f t="shared" si="61"/>
        <v/>
      </c>
      <c r="H1293" s="2" t="str">
        <f>IF(A1293="","",MIN(0,MAX(0,C1293+E1293-'Loan Inputs'!$B$17)))</f>
        <v/>
      </c>
    </row>
    <row r="1294" spans="1:8" ht="22" customHeight="1">
      <c r="A1294" s="1" t="str">
        <f>IF(AND('Loan Inputs'!$B$12,1288&lt;=IF('Loan Inputs'!$B$12,'Loan Inputs'!$B$7,0)*'Loan Inputs'!$B$14+0,ISNUMBER(G1293),G1293&gt;0),1288,"")</f>
        <v/>
      </c>
      <c r="B1294" s="4" t="str">
        <f>IF(A1294="","",IF('Loan Inputs'!$B$14=12,DATE(YEAR('Loan Inputs'!$B$8),MONTH('Loan Inputs'!$B$8)+A1294,DAY('Loan Inputs'!$B$8)),'Loan Inputs'!$B$8+A1294*IF('Loan Inputs'!$B$14=26,14,7)))</f>
        <v/>
      </c>
      <c r="C1294" s="2" t="str">
        <f t="shared" si="62"/>
        <v/>
      </c>
      <c r="D1294" s="2" t="str">
        <f>IF(A1294="","",MIN('Loan Inputs'!$B$17,C1294+E1294)+H1294)</f>
        <v/>
      </c>
      <c r="E1294" s="2" t="str">
        <f>IF(A1294="","",C1294*'Loan Inputs'!$B$15)</f>
        <v/>
      </c>
      <c r="F1294" s="2" t="str">
        <f t="shared" si="60"/>
        <v/>
      </c>
      <c r="G1294" s="2" t="str">
        <f t="shared" si="61"/>
        <v/>
      </c>
      <c r="H1294" s="2" t="str">
        <f>IF(A1294="","",MIN(0,MAX(0,C1294+E1294-'Loan Inputs'!$B$17)))</f>
        <v/>
      </c>
    </row>
    <row r="1295" spans="1:8" ht="22" customHeight="1">
      <c r="A1295" s="1" t="str">
        <f>IF(AND('Loan Inputs'!$B$12,1289&lt;=IF('Loan Inputs'!$B$12,'Loan Inputs'!$B$7,0)*'Loan Inputs'!$B$14+0,ISNUMBER(G1294),G1294&gt;0),1289,"")</f>
        <v/>
      </c>
      <c r="B1295" s="4" t="str">
        <f>IF(A1295="","",IF('Loan Inputs'!$B$14=12,DATE(YEAR('Loan Inputs'!$B$8),MONTH('Loan Inputs'!$B$8)+A1295,DAY('Loan Inputs'!$B$8)),'Loan Inputs'!$B$8+A1295*IF('Loan Inputs'!$B$14=26,14,7)))</f>
        <v/>
      </c>
      <c r="C1295" s="2" t="str">
        <f t="shared" si="62"/>
        <v/>
      </c>
      <c r="D1295" s="2" t="str">
        <f>IF(A1295="","",MIN('Loan Inputs'!$B$17,C1295+E1295)+H1295)</f>
        <v/>
      </c>
      <c r="E1295" s="2" t="str">
        <f>IF(A1295="","",C1295*'Loan Inputs'!$B$15)</f>
        <v/>
      </c>
      <c r="F1295" s="2" t="str">
        <f t="shared" si="60"/>
        <v/>
      </c>
      <c r="G1295" s="2" t="str">
        <f t="shared" si="61"/>
        <v/>
      </c>
      <c r="H1295" s="2" t="str">
        <f>IF(A1295="","",MIN(0,MAX(0,C1295+E1295-'Loan Inputs'!$B$17)))</f>
        <v/>
      </c>
    </row>
    <row r="1296" spans="1:8" ht="22" customHeight="1">
      <c r="A1296" s="1" t="str">
        <f>IF(AND('Loan Inputs'!$B$12,1290&lt;=IF('Loan Inputs'!$B$12,'Loan Inputs'!$B$7,0)*'Loan Inputs'!$B$14+0,ISNUMBER(G1295),G1295&gt;0),1290,"")</f>
        <v/>
      </c>
      <c r="B1296" s="4" t="str">
        <f>IF(A1296="","",IF('Loan Inputs'!$B$14=12,DATE(YEAR('Loan Inputs'!$B$8),MONTH('Loan Inputs'!$B$8)+A1296,DAY('Loan Inputs'!$B$8)),'Loan Inputs'!$B$8+A1296*IF('Loan Inputs'!$B$14=26,14,7)))</f>
        <v/>
      </c>
      <c r="C1296" s="2" t="str">
        <f t="shared" si="62"/>
        <v/>
      </c>
      <c r="D1296" s="2" t="str">
        <f>IF(A1296="","",MIN('Loan Inputs'!$B$17,C1296+E1296)+H1296)</f>
        <v/>
      </c>
      <c r="E1296" s="2" t="str">
        <f>IF(A1296="","",C1296*'Loan Inputs'!$B$15)</f>
        <v/>
      </c>
      <c r="F1296" s="2" t="str">
        <f t="shared" si="60"/>
        <v/>
      </c>
      <c r="G1296" s="2" t="str">
        <f t="shared" si="61"/>
        <v/>
      </c>
      <c r="H1296" s="2" t="str">
        <f>IF(A1296="","",MIN(0,MAX(0,C1296+E1296-'Loan Inputs'!$B$17)))</f>
        <v/>
      </c>
    </row>
    <row r="1297" spans="1:8" ht="22" customHeight="1">
      <c r="A1297" s="1" t="str">
        <f>IF(AND('Loan Inputs'!$B$12,1291&lt;=IF('Loan Inputs'!$B$12,'Loan Inputs'!$B$7,0)*'Loan Inputs'!$B$14+0,ISNUMBER(G1296),G1296&gt;0),1291,"")</f>
        <v/>
      </c>
      <c r="B1297" s="4" t="str">
        <f>IF(A1297="","",IF('Loan Inputs'!$B$14=12,DATE(YEAR('Loan Inputs'!$B$8),MONTH('Loan Inputs'!$B$8)+A1297,DAY('Loan Inputs'!$B$8)),'Loan Inputs'!$B$8+A1297*IF('Loan Inputs'!$B$14=26,14,7)))</f>
        <v/>
      </c>
      <c r="C1297" s="2" t="str">
        <f t="shared" si="62"/>
        <v/>
      </c>
      <c r="D1297" s="2" t="str">
        <f>IF(A1297="","",MIN('Loan Inputs'!$B$17,C1297+E1297)+H1297)</f>
        <v/>
      </c>
      <c r="E1297" s="2" t="str">
        <f>IF(A1297="","",C1297*'Loan Inputs'!$B$15)</f>
        <v/>
      </c>
      <c r="F1297" s="2" t="str">
        <f t="shared" si="60"/>
        <v/>
      </c>
      <c r="G1297" s="2" t="str">
        <f t="shared" si="61"/>
        <v/>
      </c>
      <c r="H1297" s="2" t="str">
        <f>IF(A1297="","",MIN(0,MAX(0,C1297+E1297-'Loan Inputs'!$B$17)))</f>
        <v/>
      </c>
    </row>
    <row r="1298" spans="1:8" ht="22" customHeight="1">
      <c r="A1298" s="1" t="str">
        <f>IF(AND('Loan Inputs'!$B$12,1292&lt;=IF('Loan Inputs'!$B$12,'Loan Inputs'!$B$7,0)*'Loan Inputs'!$B$14+0,ISNUMBER(G1297),G1297&gt;0),1292,"")</f>
        <v/>
      </c>
      <c r="B1298" s="4" t="str">
        <f>IF(A1298="","",IF('Loan Inputs'!$B$14=12,DATE(YEAR('Loan Inputs'!$B$8),MONTH('Loan Inputs'!$B$8)+A1298,DAY('Loan Inputs'!$B$8)),'Loan Inputs'!$B$8+A1298*IF('Loan Inputs'!$B$14=26,14,7)))</f>
        <v/>
      </c>
      <c r="C1298" s="2" t="str">
        <f t="shared" si="62"/>
        <v/>
      </c>
      <c r="D1298" s="2" t="str">
        <f>IF(A1298="","",MIN('Loan Inputs'!$B$17,C1298+E1298)+H1298)</f>
        <v/>
      </c>
      <c r="E1298" s="2" t="str">
        <f>IF(A1298="","",C1298*'Loan Inputs'!$B$15)</f>
        <v/>
      </c>
      <c r="F1298" s="2" t="str">
        <f t="shared" si="60"/>
        <v/>
      </c>
      <c r="G1298" s="2" t="str">
        <f t="shared" si="61"/>
        <v/>
      </c>
      <c r="H1298" s="2" t="str">
        <f>IF(A1298="","",MIN(0,MAX(0,C1298+E1298-'Loan Inputs'!$B$17)))</f>
        <v/>
      </c>
    </row>
    <row r="1299" spans="1:8" ht="22" customHeight="1">
      <c r="A1299" s="1" t="str">
        <f>IF(AND('Loan Inputs'!$B$12,1293&lt;=IF('Loan Inputs'!$B$12,'Loan Inputs'!$B$7,0)*'Loan Inputs'!$B$14+0,ISNUMBER(G1298),G1298&gt;0),1293,"")</f>
        <v/>
      </c>
      <c r="B1299" s="4" t="str">
        <f>IF(A1299="","",IF('Loan Inputs'!$B$14=12,DATE(YEAR('Loan Inputs'!$B$8),MONTH('Loan Inputs'!$B$8)+A1299,DAY('Loan Inputs'!$B$8)),'Loan Inputs'!$B$8+A1299*IF('Loan Inputs'!$B$14=26,14,7)))</f>
        <v/>
      </c>
      <c r="C1299" s="2" t="str">
        <f t="shared" si="62"/>
        <v/>
      </c>
      <c r="D1299" s="2" t="str">
        <f>IF(A1299="","",MIN('Loan Inputs'!$B$17,C1299+E1299)+H1299)</f>
        <v/>
      </c>
      <c r="E1299" s="2" t="str">
        <f>IF(A1299="","",C1299*'Loan Inputs'!$B$15)</f>
        <v/>
      </c>
      <c r="F1299" s="2" t="str">
        <f t="shared" si="60"/>
        <v/>
      </c>
      <c r="G1299" s="2" t="str">
        <f t="shared" si="61"/>
        <v/>
      </c>
      <c r="H1299" s="2" t="str">
        <f>IF(A1299="","",MIN(0,MAX(0,C1299+E1299-'Loan Inputs'!$B$17)))</f>
        <v/>
      </c>
    </row>
    <row r="1300" spans="1:8" ht="22" customHeight="1">
      <c r="A1300" s="1" t="str">
        <f>IF(AND('Loan Inputs'!$B$12,1294&lt;=IF('Loan Inputs'!$B$12,'Loan Inputs'!$B$7,0)*'Loan Inputs'!$B$14+0,ISNUMBER(G1299),G1299&gt;0),1294,"")</f>
        <v/>
      </c>
      <c r="B1300" s="4" t="str">
        <f>IF(A1300="","",IF('Loan Inputs'!$B$14=12,DATE(YEAR('Loan Inputs'!$B$8),MONTH('Loan Inputs'!$B$8)+A1300,DAY('Loan Inputs'!$B$8)),'Loan Inputs'!$B$8+A1300*IF('Loan Inputs'!$B$14=26,14,7)))</f>
        <v/>
      </c>
      <c r="C1300" s="2" t="str">
        <f t="shared" si="62"/>
        <v/>
      </c>
      <c r="D1300" s="2" t="str">
        <f>IF(A1300="","",MIN('Loan Inputs'!$B$17,C1300+E1300)+H1300)</f>
        <v/>
      </c>
      <c r="E1300" s="2" t="str">
        <f>IF(A1300="","",C1300*'Loan Inputs'!$B$15)</f>
        <v/>
      </c>
      <c r="F1300" s="2" t="str">
        <f t="shared" si="60"/>
        <v/>
      </c>
      <c r="G1300" s="2" t="str">
        <f t="shared" si="61"/>
        <v/>
      </c>
      <c r="H1300" s="2" t="str">
        <f>IF(A1300="","",MIN(0,MAX(0,C1300+E1300-'Loan Inputs'!$B$17)))</f>
        <v/>
      </c>
    </row>
    <row r="1301" spans="1:8" ht="22" customHeight="1">
      <c r="A1301" s="1" t="str">
        <f>IF(AND('Loan Inputs'!$B$12,1295&lt;=IF('Loan Inputs'!$B$12,'Loan Inputs'!$B$7,0)*'Loan Inputs'!$B$14+0,ISNUMBER(G1300),G1300&gt;0),1295,"")</f>
        <v/>
      </c>
      <c r="B1301" s="4" t="str">
        <f>IF(A1301="","",IF('Loan Inputs'!$B$14=12,DATE(YEAR('Loan Inputs'!$B$8),MONTH('Loan Inputs'!$B$8)+A1301,DAY('Loan Inputs'!$B$8)),'Loan Inputs'!$B$8+A1301*IF('Loan Inputs'!$B$14=26,14,7)))</f>
        <v/>
      </c>
      <c r="C1301" s="2" t="str">
        <f t="shared" si="62"/>
        <v/>
      </c>
      <c r="D1301" s="2" t="str">
        <f>IF(A1301="","",MIN('Loan Inputs'!$B$17,C1301+E1301)+H1301)</f>
        <v/>
      </c>
      <c r="E1301" s="2" t="str">
        <f>IF(A1301="","",C1301*'Loan Inputs'!$B$15)</f>
        <v/>
      </c>
      <c r="F1301" s="2" t="str">
        <f t="shared" si="60"/>
        <v/>
      </c>
      <c r="G1301" s="2" t="str">
        <f t="shared" si="61"/>
        <v/>
      </c>
      <c r="H1301" s="2" t="str">
        <f>IF(A1301="","",MIN(0,MAX(0,C1301+E1301-'Loan Inputs'!$B$17)))</f>
        <v/>
      </c>
    </row>
    <row r="1302" spans="1:8" ht="22" customHeight="1">
      <c r="A1302" s="1" t="str">
        <f>IF(AND('Loan Inputs'!$B$12,1296&lt;=IF('Loan Inputs'!$B$12,'Loan Inputs'!$B$7,0)*'Loan Inputs'!$B$14+0,ISNUMBER(G1301),G1301&gt;0),1296,"")</f>
        <v/>
      </c>
      <c r="B1302" s="4" t="str">
        <f>IF(A1302="","",IF('Loan Inputs'!$B$14=12,DATE(YEAR('Loan Inputs'!$B$8),MONTH('Loan Inputs'!$B$8)+A1302,DAY('Loan Inputs'!$B$8)),'Loan Inputs'!$B$8+A1302*IF('Loan Inputs'!$B$14=26,14,7)))</f>
        <v/>
      </c>
      <c r="C1302" s="2" t="str">
        <f t="shared" si="62"/>
        <v/>
      </c>
      <c r="D1302" s="2" t="str">
        <f>IF(A1302="","",MIN('Loan Inputs'!$B$17,C1302+E1302)+H1302)</f>
        <v/>
      </c>
      <c r="E1302" s="2" t="str">
        <f>IF(A1302="","",C1302*'Loan Inputs'!$B$15)</f>
        <v/>
      </c>
      <c r="F1302" s="2" t="str">
        <f t="shared" si="60"/>
        <v/>
      </c>
      <c r="G1302" s="2" t="str">
        <f t="shared" si="61"/>
        <v/>
      </c>
      <c r="H1302" s="2" t="str">
        <f>IF(A1302="","",MIN(0,MAX(0,C1302+E1302-'Loan Inputs'!$B$17)))</f>
        <v/>
      </c>
    </row>
    <row r="1303" spans="1:8" ht="22" customHeight="1">
      <c r="A1303" s="1" t="str">
        <f>IF(AND('Loan Inputs'!$B$12,1297&lt;=IF('Loan Inputs'!$B$12,'Loan Inputs'!$B$7,0)*'Loan Inputs'!$B$14+0,ISNUMBER(G1302),G1302&gt;0),1297,"")</f>
        <v/>
      </c>
      <c r="B1303" s="4" t="str">
        <f>IF(A1303="","",IF('Loan Inputs'!$B$14=12,DATE(YEAR('Loan Inputs'!$B$8),MONTH('Loan Inputs'!$B$8)+A1303,DAY('Loan Inputs'!$B$8)),'Loan Inputs'!$B$8+A1303*IF('Loan Inputs'!$B$14=26,14,7)))</f>
        <v/>
      </c>
      <c r="C1303" s="2" t="str">
        <f t="shared" si="62"/>
        <v/>
      </c>
      <c r="D1303" s="2" t="str">
        <f>IF(A1303="","",MIN('Loan Inputs'!$B$17,C1303+E1303)+H1303)</f>
        <v/>
      </c>
      <c r="E1303" s="2" t="str">
        <f>IF(A1303="","",C1303*'Loan Inputs'!$B$15)</f>
        <v/>
      </c>
      <c r="F1303" s="2" t="str">
        <f t="shared" si="60"/>
        <v/>
      </c>
      <c r="G1303" s="2" t="str">
        <f t="shared" si="61"/>
        <v/>
      </c>
      <c r="H1303" s="2" t="str">
        <f>IF(A1303="","",MIN(0,MAX(0,C1303+E1303-'Loan Inputs'!$B$17)))</f>
        <v/>
      </c>
    </row>
    <row r="1304" spans="1:8" ht="22" customHeight="1">
      <c r="A1304" s="1" t="str">
        <f>IF(AND('Loan Inputs'!$B$12,1298&lt;=IF('Loan Inputs'!$B$12,'Loan Inputs'!$B$7,0)*'Loan Inputs'!$B$14+0,ISNUMBER(G1303),G1303&gt;0),1298,"")</f>
        <v/>
      </c>
      <c r="B1304" s="4" t="str">
        <f>IF(A1304="","",IF('Loan Inputs'!$B$14=12,DATE(YEAR('Loan Inputs'!$B$8),MONTH('Loan Inputs'!$B$8)+A1304,DAY('Loan Inputs'!$B$8)),'Loan Inputs'!$B$8+A1304*IF('Loan Inputs'!$B$14=26,14,7)))</f>
        <v/>
      </c>
      <c r="C1304" s="2" t="str">
        <f t="shared" si="62"/>
        <v/>
      </c>
      <c r="D1304" s="2" t="str">
        <f>IF(A1304="","",MIN('Loan Inputs'!$B$17,C1304+E1304)+H1304)</f>
        <v/>
      </c>
      <c r="E1304" s="2" t="str">
        <f>IF(A1304="","",C1304*'Loan Inputs'!$B$15)</f>
        <v/>
      </c>
      <c r="F1304" s="2" t="str">
        <f t="shared" si="60"/>
        <v/>
      </c>
      <c r="G1304" s="2" t="str">
        <f t="shared" si="61"/>
        <v/>
      </c>
      <c r="H1304" s="2" t="str">
        <f>IF(A1304="","",MIN(0,MAX(0,C1304+E1304-'Loan Inputs'!$B$17)))</f>
        <v/>
      </c>
    </row>
    <row r="1305" spans="1:8" ht="22" customHeight="1">
      <c r="A1305" s="1" t="str">
        <f>IF(AND('Loan Inputs'!$B$12,1299&lt;=IF('Loan Inputs'!$B$12,'Loan Inputs'!$B$7,0)*'Loan Inputs'!$B$14+0,ISNUMBER(G1304),G1304&gt;0),1299,"")</f>
        <v/>
      </c>
      <c r="B1305" s="4" t="str">
        <f>IF(A1305="","",IF('Loan Inputs'!$B$14=12,DATE(YEAR('Loan Inputs'!$B$8),MONTH('Loan Inputs'!$B$8)+A1305,DAY('Loan Inputs'!$B$8)),'Loan Inputs'!$B$8+A1305*IF('Loan Inputs'!$B$14=26,14,7)))</f>
        <v/>
      </c>
      <c r="C1305" s="2" t="str">
        <f t="shared" si="62"/>
        <v/>
      </c>
      <c r="D1305" s="2" t="str">
        <f>IF(A1305="","",MIN('Loan Inputs'!$B$17,C1305+E1305)+H1305)</f>
        <v/>
      </c>
      <c r="E1305" s="2" t="str">
        <f>IF(A1305="","",C1305*'Loan Inputs'!$B$15)</f>
        <v/>
      </c>
      <c r="F1305" s="2" t="str">
        <f t="shared" si="60"/>
        <v/>
      </c>
      <c r="G1305" s="2" t="str">
        <f t="shared" si="61"/>
        <v/>
      </c>
      <c r="H1305" s="2" t="str">
        <f>IF(A1305="","",MIN(0,MAX(0,C1305+E1305-'Loan Inputs'!$B$17)))</f>
        <v/>
      </c>
    </row>
    <row r="1306" spans="1:8" ht="22" customHeight="1">
      <c r="A1306" s="1" t="str">
        <f>IF(AND('Loan Inputs'!$B$12,1300&lt;=IF('Loan Inputs'!$B$12,'Loan Inputs'!$B$7,0)*'Loan Inputs'!$B$14+0,ISNUMBER(G1305),G1305&gt;0),1300,"")</f>
        <v/>
      </c>
      <c r="B1306" s="4" t="str">
        <f>IF(A1306="","",IF('Loan Inputs'!$B$14=12,DATE(YEAR('Loan Inputs'!$B$8),MONTH('Loan Inputs'!$B$8)+A1306,DAY('Loan Inputs'!$B$8)),'Loan Inputs'!$B$8+A1306*IF('Loan Inputs'!$B$14=26,14,7)))</f>
        <v/>
      </c>
      <c r="C1306" s="2" t="str">
        <f t="shared" si="62"/>
        <v/>
      </c>
      <c r="D1306" s="2" t="str">
        <f>IF(A1306="","",MIN('Loan Inputs'!$B$17,C1306+E1306)+H1306)</f>
        <v/>
      </c>
      <c r="E1306" s="2" t="str">
        <f>IF(A1306="","",C1306*'Loan Inputs'!$B$15)</f>
        <v/>
      </c>
      <c r="F1306" s="2" t="str">
        <f t="shared" si="60"/>
        <v/>
      </c>
      <c r="G1306" s="2" t="str">
        <f t="shared" si="61"/>
        <v/>
      </c>
      <c r="H1306" s="2" t="str">
        <f>IF(A1306="","",MIN(0,MAX(0,C1306+E1306-'Loan Inputs'!$B$17)))</f>
        <v/>
      </c>
    </row>
    <row r="1307" spans="1:8" ht="22" customHeight="1">
      <c r="A1307" s="1" t="str">
        <f>IF(AND('Loan Inputs'!$B$12,1301&lt;=IF('Loan Inputs'!$B$12,'Loan Inputs'!$B$7,0)*'Loan Inputs'!$B$14+0,ISNUMBER(G1306),G1306&gt;0),1301,"")</f>
        <v/>
      </c>
      <c r="B1307" s="4" t="str">
        <f>IF(A1307="","",IF('Loan Inputs'!$B$14=12,DATE(YEAR('Loan Inputs'!$B$8),MONTH('Loan Inputs'!$B$8)+A1307,DAY('Loan Inputs'!$B$8)),'Loan Inputs'!$B$8+A1307*IF('Loan Inputs'!$B$14=26,14,7)))</f>
        <v/>
      </c>
      <c r="C1307" s="2" t="str">
        <f t="shared" si="62"/>
        <v/>
      </c>
      <c r="D1307" s="2" t="str">
        <f>IF(A1307="","",MIN('Loan Inputs'!$B$17,C1307+E1307)+H1307)</f>
        <v/>
      </c>
      <c r="E1307" s="2" t="str">
        <f>IF(A1307="","",C1307*'Loan Inputs'!$B$15)</f>
        <v/>
      </c>
      <c r="F1307" s="2" t="str">
        <f t="shared" si="60"/>
        <v/>
      </c>
      <c r="G1307" s="2" t="str">
        <f t="shared" si="61"/>
        <v/>
      </c>
      <c r="H1307" s="2" t="str">
        <f>IF(A1307="","",MIN(0,MAX(0,C1307+E1307-'Loan Inputs'!$B$17)))</f>
        <v/>
      </c>
    </row>
    <row r="1308" spans="1:8" ht="22" customHeight="1">
      <c r="A1308" s="1" t="str">
        <f>IF(AND('Loan Inputs'!$B$12,1302&lt;=IF('Loan Inputs'!$B$12,'Loan Inputs'!$B$7,0)*'Loan Inputs'!$B$14+0,ISNUMBER(G1307),G1307&gt;0),1302,"")</f>
        <v/>
      </c>
      <c r="B1308" s="4" t="str">
        <f>IF(A1308="","",IF('Loan Inputs'!$B$14=12,DATE(YEAR('Loan Inputs'!$B$8),MONTH('Loan Inputs'!$B$8)+A1308,DAY('Loan Inputs'!$B$8)),'Loan Inputs'!$B$8+A1308*IF('Loan Inputs'!$B$14=26,14,7)))</f>
        <v/>
      </c>
      <c r="C1308" s="2" t="str">
        <f t="shared" si="62"/>
        <v/>
      </c>
      <c r="D1308" s="2" t="str">
        <f>IF(A1308="","",MIN('Loan Inputs'!$B$17,C1308+E1308)+H1308)</f>
        <v/>
      </c>
      <c r="E1308" s="2" t="str">
        <f>IF(A1308="","",C1308*'Loan Inputs'!$B$15)</f>
        <v/>
      </c>
      <c r="F1308" s="2" t="str">
        <f t="shared" si="60"/>
        <v/>
      </c>
      <c r="G1308" s="2" t="str">
        <f t="shared" si="61"/>
        <v/>
      </c>
      <c r="H1308" s="2" t="str">
        <f>IF(A1308="","",MIN(0,MAX(0,C1308+E1308-'Loan Inputs'!$B$17)))</f>
        <v/>
      </c>
    </row>
    <row r="1309" spans="1:8" ht="22" customHeight="1">
      <c r="A1309" s="1" t="str">
        <f>IF(AND('Loan Inputs'!$B$12,1303&lt;=IF('Loan Inputs'!$B$12,'Loan Inputs'!$B$7,0)*'Loan Inputs'!$B$14+0,ISNUMBER(G1308),G1308&gt;0),1303,"")</f>
        <v/>
      </c>
      <c r="B1309" s="4" t="str">
        <f>IF(A1309="","",IF('Loan Inputs'!$B$14=12,DATE(YEAR('Loan Inputs'!$B$8),MONTH('Loan Inputs'!$B$8)+A1309,DAY('Loan Inputs'!$B$8)),'Loan Inputs'!$B$8+A1309*IF('Loan Inputs'!$B$14=26,14,7)))</f>
        <v/>
      </c>
      <c r="C1309" s="2" t="str">
        <f t="shared" si="62"/>
        <v/>
      </c>
      <c r="D1309" s="2" t="str">
        <f>IF(A1309="","",MIN('Loan Inputs'!$B$17,C1309+E1309)+H1309)</f>
        <v/>
      </c>
      <c r="E1309" s="2" t="str">
        <f>IF(A1309="","",C1309*'Loan Inputs'!$B$15)</f>
        <v/>
      </c>
      <c r="F1309" s="2" t="str">
        <f t="shared" si="60"/>
        <v/>
      </c>
      <c r="G1309" s="2" t="str">
        <f t="shared" si="61"/>
        <v/>
      </c>
      <c r="H1309" s="2" t="str">
        <f>IF(A1309="","",MIN(0,MAX(0,C1309+E1309-'Loan Inputs'!$B$17)))</f>
        <v/>
      </c>
    </row>
    <row r="1310" spans="1:8" ht="22" customHeight="1">
      <c r="A1310" s="1" t="str">
        <f>IF(AND('Loan Inputs'!$B$12,1304&lt;=IF('Loan Inputs'!$B$12,'Loan Inputs'!$B$7,0)*'Loan Inputs'!$B$14+0,ISNUMBER(G1309),G1309&gt;0),1304,"")</f>
        <v/>
      </c>
      <c r="B1310" s="4" t="str">
        <f>IF(A1310="","",IF('Loan Inputs'!$B$14=12,DATE(YEAR('Loan Inputs'!$B$8),MONTH('Loan Inputs'!$B$8)+A1310,DAY('Loan Inputs'!$B$8)),'Loan Inputs'!$B$8+A1310*IF('Loan Inputs'!$B$14=26,14,7)))</f>
        <v/>
      </c>
      <c r="C1310" s="2" t="str">
        <f t="shared" si="62"/>
        <v/>
      </c>
      <c r="D1310" s="2" t="str">
        <f>IF(A1310="","",MIN('Loan Inputs'!$B$17,C1310+E1310)+H1310)</f>
        <v/>
      </c>
      <c r="E1310" s="2" t="str">
        <f>IF(A1310="","",C1310*'Loan Inputs'!$B$15)</f>
        <v/>
      </c>
      <c r="F1310" s="2" t="str">
        <f t="shared" si="60"/>
        <v/>
      </c>
      <c r="G1310" s="2" t="str">
        <f t="shared" si="61"/>
        <v/>
      </c>
      <c r="H1310" s="2" t="str">
        <f>IF(A1310="","",MIN(0,MAX(0,C1310+E1310-'Loan Inputs'!$B$17)))</f>
        <v/>
      </c>
    </row>
    <row r="1311" spans="1:8" ht="22" customHeight="1">
      <c r="A1311" s="1" t="str">
        <f>IF(AND('Loan Inputs'!$B$12,1305&lt;=IF('Loan Inputs'!$B$12,'Loan Inputs'!$B$7,0)*'Loan Inputs'!$B$14+0,ISNUMBER(G1310),G1310&gt;0),1305,"")</f>
        <v/>
      </c>
      <c r="B1311" s="4" t="str">
        <f>IF(A1311="","",IF('Loan Inputs'!$B$14=12,DATE(YEAR('Loan Inputs'!$B$8),MONTH('Loan Inputs'!$B$8)+A1311,DAY('Loan Inputs'!$B$8)),'Loan Inputs'!$B$8+A1311*IF('Loan Inputs'!$B$14=26,14,7)))</f>
        <v/>
      </c>
      <c r="C1311" s="2" t="str">
        <f t="shared" si="62"/>
        <v/>
      </c>
      <c r="D1311" s="2" t="str">
        <f>IF(A1311="","",MIN('Loan Inputs'!$B$17,C1311+E1311)+H1311)</f>
        <v/>
      </c>
      <c r="E1311" s="2" t="str">
        <f>IF(A1311="","",C1311*'Loan Inputs'!$B$15)</f>
        <v/>
      </c>
      <c r="F1311" s="2" t="str">
        <f t="shared" si="60"/>
        <v/>
      </c>
      <c r="G1311" s="2" t="str">
        <f t="shared" si="61"/>
        <v/>
      </c>
      <c r="H1311" s="2" t="str">
        <f>IF(A1311="","",MIN(0,MAX(0,C1311+E1311-'Loan Inputs'!$B$17)))</f>
        <v/>
      </c>
    </row>
    <row r="1312" spans="1:8" ht="22" customHeight="1">
      <c r="A1312" s="1" t="str">
        <f>IF(AND('Loan Inputs'!$B$12,1306&lt;=IF('Loan Inputs'!$B$12,'Loan Inputs'!$B$7,0)*'Loan Inputs'!$B$14+0,ISNUMBER(G1311),G1311&gt;0),1306,"")</f>
        <v/>
      </c>
      <c r="B1312" s="4" t="str">
        <f>IF(A1312="","",IF('Loan Inputs'!$B$14=12,DATE(YEAR('Loan Inputs'!$B$8),MONTH('Loan Inputs'!$B$8)+A1312,DAY('Loan Inputs'!$B$8)),'Loan Inputs'!$B$8+A1312*IF('Loan Inputs'!$B$14=26,14,7)))</f>
        <v/>
      </c>
      <c r="C1312" s="2" t="str">
        <f t="shared" si="62"/>
        <v/>
      </c>
      <c r="D1312" s="2" t="str">
        <f>IF(A1312="","",MIN('Loan Inputs'!$B$17,C1312+E1312)+H1312)</f>
        <v/>
      </c>
      <c r="E1312" s="2" t="str">
        <f>IF(A1312="","",C1312*'Loan Inputs'!$B$15)</f>
        <v/>
      </c>
      <c r="F1312" s="2" t="str">
        <f t="shared" si="60"/>
        <v/>
      </c>
      <c r="G1312" s="2" t="str">
        <f t="shared" si="61"/>
        <v/>
      </c>
      <c r="H1312" s="2" t="str">
        <f>IF(A1312="","",MIN(0,MAX(0,C1312+E1312-'Loan Inputs'!$B$17)))</f>
        <v/>
      </c>
    </row>
    <row r="1313" spans="1:8" ht="22" customHeight="1">
      <c r="A1313" s="1" t="str">
        <f>IF(AND('Loan Inputs'!$B$12,1307&lt;=IF('Loan Inputs'!$B$12,'Loan Inputs'!$B$7,0)*'Loan Inputs'!$B$14+0,ISNUMBER(G1312),G1312&gt;0),1307,"")</f>
        <v/>
      </c>
      <c r="B1313" s="4" t="str">
        <f>IF(A1313="","",IF('Loan Inputs'!$B$14=12,DATE(YEAR('Loan Inputs'!$B$8),MONTH('Loan Inputs'!$B$8)+A1313,DAY('Loan Inputs'!$B$8)),'Loan Inputs'!$B$8+A1313*IF('Loan Inputs'!$B$14=26,14,7)))</f>
        <v/>
      </c>
      <c r="C1313" s="2" t="str">
        <f t="shared" si="62"/>
        <v/>
      </c>
      <c r="D1313" s="2" t="str">
        <f>IF(A1313="","",MIN('Loan Inputs'!$B$17,C1313+E1313)+H1313)</f>
        <v/>
      </c>
      <c r="E1313" s="2" t="str">
        <f>IF(A1313="","",C1313*'Loan Inputs'!$B$15)</f>
        <v/>
      </c>
      <c r="F1313" s="2" t="str">
        <f t="shared" si="60"/>
        <v/>
      </c>
      <c r="G1313" s="2" t="str">
        <f t="shared" si="61"/>
        <v/>
      </c>
      <c r="H1313" s="2" t="str">
        <f>IF(A1313="","",MIN(0,MAX(0,C1313+E1313-'Loan Inputs'!$B$17)))</f>
        <v/>
      </c>
    </row>
    <row r="1314" spans="1:8" ht="22" customHeight="1">
      <c r="A1314" s="1" t="str">
        <f>IF(AND('Loan Inputs'!$B$12,1308&lt;=IF('Loan Inputs'!$B$12,'Loan Inputs'!$B$7,0)*'Loan Inputs'!$B$14+0,ISNUMBER(G1313),G1313&gt;0),1308,"")</f>
        <v/>
      </c>
      <c r="B1314" s="4" t="str">
        <f>IF(A1314="","",IF('Loan Inputs'!$B$14=12,DATE(YEAR('Loan Inputs'!$B$8),MONTH('Loan Inputs'!$B$8)+A1314,DAY('Loan Inputs'!$B$8)),'Loan Inputs'!$B$8+A1314*IF('Loan Inputs'!$B$14=26,14,7)))</f>
        <v/>
      </c>
      <c r="C1314" s="2" t="str">
        <f t="shared" si="62"/>
        <v/>
      </c>
      <c r="D1314" s="2" t="str">
        <f>IF(A1314="","",MIN('Loan Inputs'!$B$17,C1314+E1314)+H1314)</f>
        <v/>
      </c>
      <c r="E1314" s="2" t="str">
        <f>IF(A1314="","",C1314*'Loan Inputs'!$B$15)</f>
        <v/>
      </c>
      <c r="F1314" s="2" t="str">
        <f t="shared" si="60"/>
        <v/>
      </c>
      <c r="G1314" s="2" t="str">
        <f t="shared" si="61"/>
        <v/>
      </c>
      <c r="H1314" s="2" t="str">
        <f>IF(A1314="","",MIN(0,MAX(0,C1314+E1314-'Loan Inputs'!$B$17)))</f>
        <v/>
      </c>
    </row>
    <row r="1315" spans="1:8" ht="22" customHeight="1">
      <c r="A1315" s="1" t="str">
        <f>IF(AND('Loan Inputs'!$B$12,1309&lt;=IF('Loan Inputs'!$B$12,'Loan Inputs'!$B$7,0)*'Loan Inputs'!$B$14+0,ISNUMBER(G1314),G1314&gt;0),1309,"")</f>
        <v/>
      </c>
      <c r="B1315" s="4" t="str">
        <f>IF(A1315="","",IF('Loan Inputs'!$B$14=12,DATE(YEAR('Loan Inputs'!$B$8),MONTH('Loan Inputs'!$B$8)+A1315,DAY('Loan Inputs'!$B$8)),'Loan Inputs'!$B$8+A1315*IF('Loan Inputs'!$B$14=26,14,7)))</f>
        <v/>
      </c>
      <c r="C1315" s="2" t="str">
        <f t="shared" si="62"/>
        <v/>
      </c>
      <c r="D1315" s="2" t="str">
        <f>IF(A1315="","",MIN('Loan Inputs'!$B$17,C1315+E1315)+H1315)</f>
        <v/>
      </c>
      <c r="E1315" s="2" t="str">
        <f>IF(A1315="","",C1315*'Loan Inputs'!$B$15)</f>
        <v/>
      </c>
      <c r="F1315" s="2" t="str">
        <f t="shared" si="60"/>
        <v/>
      </c>
      <c r="G1315" s="2" t="str">
        <f t="shared" si="61"/>
        <v/>
      </c>
      <c r="H1315" s="2" t="str">
        <f>IF(A1315="","",MIN(0,MAX(0,C1315+E1315-'Loan Inputs'!$B$17)))</f>
        <v/>
      </c>
    </row>
    <row r="1316" spans="1:8" ht="22" customHeight="1">
      <c r="A1316" s="1" t="str">
        <f>IF(AND('Loan Inputs'!$B$12,1310&lt;=IF('Loan Inputs'!$B$12,'Loan Inputs'!$B$7,0)*'Loan Inputs'!$B$14+0,ISNUMBER(G1315),G1315&gt;0),1310,"")</f>
        <v/>
      </c>
      <c r="B1316" s="4" t="str">
        <f>IF(A1316="","",IF('Loan Inputs'!$B$14=12,DATE(YEAR('Loan Inputs'!$B$8),MONTH('Loan Inputs'!$B$8)+A1316,DAY('Loan Inputs'!$B$8)),'Loan Inputs'!$B$8+A1316*IF('Loan Inputs'!$B$14=26,14,7)))</f>
        <v/>
      </c>
      <c r="C1316" s="2" t="str">
        <f t="shared" si="62"/>
        <v/>
      </c>
      <c r="D1316" s="2" t="str">
        <f>IF(A1316="","",MIN('Loan Inputs'!$B$17,C1316+E1316)+H1316)</f>
        <v/>
      </c>
      <c r="E1316" s="2" t="str">
        <f>IF(A1316="","",C1316*'Loan Inputs'!$B$15)</f>
        <v/>
      </c>
      <c r="F1316" s="2" t="str">
        <f t="shared" si="60"/>
        <v/>
      </c>
      <c r="G1316" s="2" t="str">
        <f t="shared" si="61"/>
        <v/>
      </c>
      <c r="H1316" s="2" t="str">
        <f>IF(A1316="","",MIN(0,MAX(0,C1316+E1316-'Loan Inputs'!$B$17)))</f>
        <v/>
      </c>
    </row>
    <row r="1317" spans="1:8" ht="22" customHeight="1">
      <c r="A1317" s="1" t="str">
        <f>IF(AND('Loan Inputs'!$B$12,1311&lt;=IF('Loan Inputs'!$B$12,'Loan Inputs'!$B$7,0)*'Loan Inputs'!$B$14+0,ISNUMBER(G1316),G1316&gt;0),1311,"")</f>
        <v/>
      </c>
      <c r="B1317" s="4" t="str">
        <f>IF(A1317="","",IF('Loan Inputs'!$B$14=12,DATE(YEAR('Loan Inputs'!$B$8),MONTH('Loan Inputs'!$B$8)+A1317,DAY('Loan Inputs'!$B$8)),'Loan Inputs'!$B$8+A1317*IF('Loan Inputs'!$B$14=26,14,7)))</f>
        <v/>
      </c>
      <c r="C1317" s="2" t="str">
        <f t="shared" si="62"/>
        <v/>
      </c>
      <c r="D1317" s="2" t="str">
        <f>IF(A1317="","",MIN('Loan Inputs'!$B$17,C1317+E1317)+H1317)</f>
        <v/>
      </c>
      <c r="E1317" s="2" t="str">
        <f>IF(A1317="","",C1317*'Loan Inputs'!$B$15)</f>
        <v/>
      </c>
      <c r="F1317" s="2" t="str">
        <f t="shared" si="60"/>
        <v/>
      </c>
      <c r="G1317" s="2" t="str">
        <f t="shared" si="61"/>
        <v/>
      </c>
      <c r="H1317" s="2" t="str">
        <f>IF(A1317="","",MIN(0,MAX(0,C1317+E1317-'Loan Inputs'!$B$17)))</f>
        <v/>
      </c>
    </row>
    <row r="1318" spans="1:8" ht="22" customHeight="1">
      <c r="A1318" s="1" t="str">
        <f>IF(AND('Loan Inputs'!$B$12,1312&lt;=IF('Loan Inputs'!$B$12,'Loan Inputs'!$B$7,0)*'Loan Inputs'!$B$14+0,ISNUMBER(G1317),G1317&gt;0),1312,"")</f>
        <v/>
      </c>
      <c r="B1318" s="4" t="str">
        <f>IF(A1318="","",IF('Loan Inputs'!$B$14=12,DATE(YEAR('Loan Inputs'!$B$8),MONTH('Loan Inputs'!$B$8)+A1318,DAY('Loan Inputs'!$B$8)),'Loan Inputs'!$B$8+A1318*IF('Loan Inputs'!$B$14=26,14,7)))</f>
        <v/>
      </c>
      <c r="C1318" s="2" t="str">
        <f t="shared" si="62"/>
        <v/>
      </c>
      <c r="D1318" s="2" t="str">
        <f>IF(A1318="","",MIN('Loan Inputs'!$B$17,C1318+E1318)+H1318)</f>
        <v/>
      </c>
      <c r="E1318" s="2" t="str">
        <f>IF(A1318="","",C1318*'Loan Inputs'!$B$15)</f>
        <v/>
      </c>
      <c r="F1318" s="2" t="str">
        <f t="shared" si="60"/>
        <v/>
      </c>
      <c r="G1318" s="2" t="str">
        <f t="shared" si="61"/>
        <v/>
      </c>
      <c r="H1318" s="2" t="str">
        <f>IF(A1318="","",MIN(0,MAX(0,C1318+E1318-'Loan Inputs'!$B$17)))</f>
        <v/>
      </c>
    </row>
    <row r="1319" spans="1:8" ht="22" customHeight="1">
      <c r="A1319" s="1" t="str">
        <f>IF(AND('Loan Inputs'!$B$12,1313&lt;=IF('Loan Inputs'!$B$12,'Loan Inputs'!$B$7,0)*'Loan Inputs'!$B$14+0,ISNUMBER(G1318),G1318&gt;0),1313,"")</f>
        <v/>
      </c>
      <c r="B1319" s="4" t="str">
        <f>IF(A1319="","",IF('Loan Inputs'!$B$14=12,DATE(YEAR('Loan Inputs'!$B$8),MONTH('Loan Inputs'!$B$8)+A1319,DAY('Loan Inputs'!$B$8)),'Loan Inputs'!$B$8+A1319*IF('Loan Inputs'!$B$14=26,14,7)))</f>
        <v/>
      </c>
      <c r="C1319" s="2" t="str">
        <f t="shared" si="62"/>
        <v/>
      </c>
      <c r="D1319" s="2" t="str">
        <f>IF(A1319="","",MIN('Loan Inputs'!$B$17,C1319+E1319)+H1319)</f>
        <v/>
      </c>
      <c r="E1319" s="2" t="str">
        <f>IF(A1319="","",C1319*'Loan Inputs'!$B$15)</f>
        <v/>
      </c>
      <c r="F1319" s="2" t="str">
        <f t="shared" si="60"/>
        <v/>
      </c>
      <c r="G1319" s="2" t="str">
        <f t="shared" si="61"/>
        <v/>
      </c>
      <c r="H1319" s="2" t="str">
        <f>IF(A1319="","",MIN(0,MAX(0,C1319+E1319-'Loan Inputs'!$B$17)))</f>
        <v/>
      </c>
    </row>
    <row r="1320" spans="1:8" ht="22" customHeight="1">
      <c r="A1320" s="1" t="str">
        <f>IF(AND('Loan Inputs'!$B$12,1314&lt;=IF('Loan Inputs'!$B$12,'Loan Inputs'!$B$7,0)*'Loan Inputs'!$B$14+0,ISNUMBER(G1319),G1319&gt;0),1314,"")</f>
        <v/>
      </c>
      <c r="B1320" s="4" t="str">
        <f>IF(A1320="","",IF('Loan Inputs'!$B$14=12,DATE(YEAR('Loan Inputs'!$B$8),MONTH('Loan Inputs'!$B$8)+A1320,DAY('Loan Inputs'!$B$8)),'Loan Inputs'!$B$8+A1320*IF('Loan Inputs'!$B$14=26,14,7)))</f>
        <v/>
      </c>
      <c r="C1320" s="2" t="str">
        <f t="shared" si="62"/>
        <v/>
      </c>
      <c r="D1320" s="2" t="str">
        <f>IF(A1320="","",MIN('Loan Inputs'!$B$17,C1320+E1320)+H1320)</f>
        <v/>
      </c>
      <c r="E1320" s="2" t="str">
        <f>IF(A1320="","",C1320*'Loan Inputs'!$B$15)</f>
        <v/>
      </c>
      <c r="F1320" s="2" t="str">
        <f t="shared" si="60"/>
        <v/>
      </c>
      <c r="G1320" s="2" t="str">
        <f t="shared" si="61"/>
        <v/>
      </c>
      <c r="H1320" s="2" t="str">
        <f>IF(A1320="","",MIN(0,MAX(0,C1320+E1320-'Loan Inputs'!$B$17)))</f>
        <v/>
      </c>
    </row>
    <row r="1321" spans="1:8" ht="22" customHeight="1">
      <c r="A1321" s="1" t="str">
        <f>IF(AND('Loan Inputs'!$B$12,1315&lt;=IF('Loan Inputs'!$B$12,'Loan Inputs'!$B$7,0)*'Loan Inputs'!$B$14+0,ISNUMBER(G1320),G1320&gt;0),1315,"")</f>
        <v/>
      </c>
      <c r="B1321" s="4" t="str">
        <f>IF(A1321="","",IF('Loan Inputs'!$B$14=12,DATE(YEAR('Loan Inputs'!$B$8),MONTH('Loan Inputs'!$B$8)+A1321,DAY('Loan Inputs'!$B$8)),'Loan Inputs'!$B$8+A1321*IF('Loan Inputs'!$B$14=26,14,7)))</f>
        <v/>
      </c>
      <c r="C1321" s="2" t="str">
        <f t="shared" si="62"/>
        <v/>
      </c>
      <c r="D1321" s="2" t="str">
        <f>IF(A1321="","",MIN('Loan Inputs'!$B$17,C1321+E1321)+H1321)</f>
        <v/>
      </c>
      <c r="E1321" s="2" t="str">
        <f>IF(A1321="","",C1321*'Loan Inputs'!$B$15)</f>
        <v/>
      </c>
      <c r="F1321" s="2" t="str">
        <f t="shared" si="60"/>
        <v/>
      </c>
      <c r="G1321" s="2" t="str">
        <f t="shared" si="61"/>
        <v/>
      </c>
      <c r="H1321" s="2" t="str">
        <f>IF(A1321="","",MIN(0,MAX(0,C1321+E1321-'Loan Inputs'!$B$17)))</f>
        <v/>
      </c>
    </row>
    <row r="1322" spans="1:8" ht="22" customHeight="1">
      <c r="A1322" s="1" t="str">
        <f>IF(AND('Loan Inputs'!$B$12,1316&lt;=IF('Loan Inputs'!$B$12,'Loan Inputs'!$B$7,0)*'Loan Inputs'!$B$14+0,ISNUMBER(G1321),G1321&gt;0),1316,"")</f>
        <v/>
      </c>
      <c r="B1322" s="4" t="str">
        <f>IF(A1322="","",IF('Loan Inputs'!$B$14=12,DATE(YEAR('Loan Inputs'!$B$8),MONTH('Loan Inputs'!$B$8)+A1322,DAY('Loan Inputs'!$B$8)),'Loan Inputs'!$B$8+A1322*IF('Loan Inputs'!$B$14=26,14,7)))</f>
        <v/>
      </c>
      <c r="C1322" s="2" t="str">
        <f t="shared" si="62"/>
        <v/>
      </c>
      <c r="D1322" s="2" t="str">
        <f>IF(A1322="","",MIN('Loan Inputs'!$B$17,C1322+E1322)+H1322)</f>
        <v/>
      </c>
      <c r="E1322" s="2" t="str">
        <f>IF(A1322="","",C1322*'Loan Inputs'!$B$15)</f>
        <v/>
      </c>
      <c r="F1322" s="2" t="str">
        <f t="shared" si="60"/>
        <v/>
      </c>
      <c r="G1322" s="2" t="str">
        <f t="shared" si="61"/>
        <v/>
      </c>
      <c r="H1322" s="2" t="str">
        <f>IF(A1322="","",MIN(0,MAX(0,C1322+E1322-'Loan Inputs'!$B$17)))</f>
        <v/>
      </c>
    </row>
    <row r="1323" spans="1:8" ht="22" customHeight="1">
      <c r="A1323" s="1" t="str">
        <f>IF(AND('Loan Inputs'!$B$12,1317&lt;=IF('Loan Inputs'!$B$12,'Loan Inputs'!$B$7,0)*'Loan Inputs'!$B$14+0,ISNUMBER(G1322),G1322&gt;0),1317,"")</f>
        <v/>
      </c>
      <c r="B1323" s="4" t="str">
        <f>IF(A1323="","",IF('Loan Inputs'!$B$14=12,DATE(YEAR('Loan Inputs'!$B$8),MONTH('Loan Inputs'!$B$8)+A1323,DAY('Loan Inputs'!$B$8)),'Loan Inputs'!$B$8+A1323*IF('Loan Inputs'!$B$14=26,14,7)))</f>
        <v/>
      </c>
      <c r="C1323" s="2" t="str">
        <f t="shared" si="62"/>
        <v/>
      </c>
      <c r="D1323" s="2" t="str">
        <f>IF(A1323="","",MIN('Loan Inputs'!$B$17,C1323+E1323)+H1323)</f>
        <v/>
      </c>
      <c r="E1323" s="2" t="str">
        <f>IF(A1323="","",C1323*'Loan Inputs'!$B$15)</f>
        <v/>
      </c>
      <c r="F1323" s="2" t="str">
        <f t="shared" si="60"/>
        <v/>
      </c>
      <c r="G1323" s="2" t="str">
        <f t="shared" si="61"/>
        <v/>
      </c>
      <c r="H1323" s="2" t="str">
        <f>IF(A1323="","",MIN(0,MAX(0,C1323+E1323-'Loan Inputs'!$B$17)))</f>
        <v/>
      </c>
    </row>
    <row r="1324" spans="1:8" ht="22" customHeight="1">
      <c r="A1324" s="1" t="str">
        <f>IF(AND('Loan Inputs'!$B$12,1318&lt;=IF('Loan Inputs'!$B$12,'Loan Inputs'!$B$7,0)*'Loan Inputs'!$B$14+0,ISNUMBER(G1323),G1323&gt;0),1318,"")</f>
        <v/>
      </c>
      <c r="B1324" s="4" t="str">
        <f>IF(A1324="","",IF('Loan Inputs'!$B$14=12,DATE(YEAR('Loan Inputs'!$B$8),MONTH('Loan Inputs'!$B$8)+A1324,DAY('Loan Inputs'!$B$8)),'Loan Inputs'!$B$8+A1324*IF('Loan Inputs'!$B$14=26,14,7)))</f>
        <v/>
      </c>
      <c r="C1324" s="2" t="str">
        <f t="shared" si="62"/>
        <v/>
      </c>
      <c r="D1324" s="2" t="str">
        <f>IF(A1324="","",MIN('Loan Inputs'!$B$17,C1324+E1324)+H1324)</f>
        <v/>
      </c>
      <c r="E1324" s="2" t="str">
        <f>IF(A1324="","",C1324*'Loan Inputs'!$B$15)</f>
        <v/>
      </c>
      <c r="F1324" s="2" t="str">
        <f t="shared" si="60"/>
        <v/>
      </c>
      <c r="G1324" s="2" t="str">
        <f t="shared" si="61"/>
        <v/>
      </c>
      <c r="H1324" s="2" t="str">
        <f>IF(A1324="","",MIN(0,MAX(0,C1324+E1324-'Loan Inputs'!$B$17)))</f>
        <v/>
      </c>
    </row>
    <row r="1325" spans="1:8" ht="22" customHeight="1">
      <c r="A1325" s="1" t="str">
        <f>IF(AND('Loan Inputs'!$B$12,1319&lt;=IF('Loan Inputs'!$B$12,'Loan Inputs'!$B$7,0)*'Loan Inputs'!$B$14+0,ISNUMBER(G1324),G1324&gt;0),1319,"")</f>
        <v/>
      </c>
      <c r="B1325" s="4" t="str">
        <f>IF(A1325="","",IF('Loan Inputs'!$B$14=12,DATE(YEAR('Loan Inputs'!$B$8),MONTH('Loan Inputs'!$B$8)+A1325,DAY('Loan Inputs'!$B$8)),'Loan Inputs'!$B$8+A1325*IF('Loan Inputs'!$B$14=26,14,7)))</f>
        <v/>
      </c>
      <c r="C1325" s="2" t="str">
        <f t="shared" si="62"/>
        <v/>
      </c>
      <c r="D1325" s="2" t="str">
        <f>IF(A1325="","",MIN('Loan Inputs'!$B$17,C1325+E1325)+H1325)</f>
        <v/>
      </c>
      <c r="E1325" s="2" t="str">
        <f>IF(A1325="","",C1325*'Loan Inputs'!$B$15)</f>
        <v/>
      </c>
      <c r="F1325" s="2" t="str">
        <f t="shared" si="60"/>
        <v/>
      </c>
      <c r="G1325" s="2" t="str">
        <f t="shared" si="61"/>
        <v/>
      </c>
      <c r="H1325" s="2" t="str">
        <f>IF(A1325="","",MIN(0,MAX(0,C1325+E1325-'Loan Inputs'!$B$17)))</f>
        <v/>
      </c>
    </row>
    <row r="1326" spans="1:8" ht="22" customHeight="1">
      <c r="A1326" s="1" t="str">
        <f>IF(AND('Loan Inputs'!$B$12,1320&lt;=IF('Loan Inputs'!$B$12,'Loan Inputs'!$B$7,0)*'Loan Inputs'!$B$14+0,ISNUMBER(G1325),G1325&gt;0),1320,"")</f>
        <v/>
      </c>
      <c r="B1326" s="4" t="str">
        <f>IF(A1326="","",IF('Loan Inputs'!$B$14=12,DATE(YEAR('Loan Inputs'!$B$8),MONTH('Loan Inputs'!$B$8)+A1326,DAY('Loan Inputs'!$B$8)),'Loan Inputs'!$B$8+A1326*IF('Loan Inputs'!$B$14=26,14,7)))</f>
        <v/>
      </c>
      <c r="C1326" s="2" t="str">
        <f t="shared" si="62"/>
        <v/>
      </c>
      <c r="D1326" s="2" t="str">
        <f>IF(A1326="","",MIN('Loan Inputs'!$B$17,C1326+E1326)+H1326)</f>
        <v/>
      </c>
      <c r="E1326" s="2" t="str">
        <f>IF(A1326="","",C1326*'Loan Inputs'!$B$15)</f>
        <v/>
      </c>
      <c r="F1326" s="2" t="str">
        <f t="shared" si="60"/>
        <v/>
      </c>
      <c r="G1326" s="2" t="str">
        <f t="shared" si="61"/>
        <v/>
      </c>
      <c r="H1326" s="2" t="str">
        <f>IF(A1326="","",MIN(0,MAX(0,C1326+E1326-'Loan Inputs'!$B$17)))</f>
        <v/>
      </c>
    </row>
    <row r="1327" spans="1:8" ht="22" customHeight="1">
      <c r="A1327" s="1" t="str">
        <f>IF(AND('Loan Inputs'!$B$12,1321&lt;=IF('Loan Inputs'!$B$12,'Loan Inputs'!$B$7,0)*'Loan Inputs'!$B$14+0,ISNUMBER(G1326),G1326&gt;0),1321,"")</f>
        <v/>
      </c>
      <c r="B1327" s="4" t="str">
        <f>IF(A1327="","",IF('Loan Inputs'!$B$14=12,DATE(YEAR('Loan Inputs'!$B$8),MONTH('Loan Inputs'!$B$8)+A1327,DAY('Loan Inputs'!$B$8)),'Loan Inputs'!$B$8+A1327*IF('Loan Inputs'!$B$14=26,14,7)))</f>
        <v/>
      </c>
      <c r="C1327" s="2" t="str">
        <f t="shared" si="62"/>
        <v/>
      </c>
      <c r="D1327" s="2" t="str">
        <f>IF(A1327="","",MIN('Loan Inputs'!$B$17,C1327+E1327)+H1327)</f>
        <v/>
      </c>
      <c r="E1327" s="2" t="str">
        <f>IF(A1327="","",C1327*'Loan Inputs'!$B$15)</f>
        <v/>
      </c>
      <c r="F1327" s="2" t="str">
        <f t="shared" si="60"/>
        <v/>
      </c>
      <c r="G1327" s="2" t="str">
        <f t="shared" si="61"/>
        <v/>
      </c>
      <c r="H1327" s="2" t="str">
        <f>IF(A1327="","",MIN(0,MAX(0,C1327+E1327-'Loan Inputs'!$B$17)))</f>
        <v/>
      </c>
    </row>
    <row r="1328" spans="1:8" ht="22" customHeight="1">
      <c r="A1328" s="1" t="str">
        <f>IF(AND('Loan Inputs'!$B$12,1322&lt;=IF('Loan Inputs'!$B$12,'Loan Inputs'!$B$7,0)*'Loan Inputs'!$B$14+0,ISNUMBER(G1327),G1327&gt;0),1322,"")</f>
        <v/>
      </c>
      <c r="B1328" s="4" t="str">
        <f>IF(A1328="","",IF('Loan Inputs'!$B$14=12,DATE(YEAR('Loan Inputs'!$B$8),MONTH('Loan Inputs'!$B$8)+A1328,DAY('Loan Inputs'!$B$8)),'Loan Inputs'!$B$8+A1328*IF('Loan Inputs'!$B$14=26,14,7)))</f>
        <v/>
      </c>
      <c r="C1328" s="2" t="str">
        <f t="shared" si="62"/>
        <v/>
      </c>
      <c r="D1328" s="2" t="str">
        <f>IF(A1328="","",MIN('Loan Inputs'!$B$17,C1328+E1328)+H1328)</f>
        <v/>
      </c>
      <c r="E1328" s="2" t="str">
        <f>IF(A1328="","",C1328*'Loan Inputs'!$B$15)</f>
        <v/>
      </c>
      <c r="F1328" s="2" t="str">
        <f t="shared" si="60"/>
        <v/>
      </c>
      <c r="G1328" s="2" t="str">
        <f t="shared" si="61"/>
        <v/>
      </c>
      <c r="H1328" s="2" t="str">
        <f>IF(A1328="","",MIN(0,MAX(0,C1328+E1328-'Loan Inputs'!$B$17)))</f>
        <v/>
      </c>
    </row>
    <row r="1329" spans="1:8" ht="22" customHeight="1">
      <c r="A1329" s="1" t="str">
        <f>IF(AND('Loan Inputs'!$B$12,1323&lt;=IF('Loan Inputs'!$B$12,'Loan Inputs'!$B$7,0)*'Loan Inputs'!$B$14+0,ISNUMBER(G1328),G1328&gt;0),1323,"")</f>
        <v/>
      </c>
      <c r="B1329" s="4" t="str">
        <f>IF(A1329="","",IF('Loan Inputs'!$B$14=12,DATE(YEAR('Loan Inputs'!$B$8),MONTH('Loan Inputs'!$B$8)+A1329,DAY('Loan Inputs'!$B$8)),'Loan Inputs'!$B$8+A1329*IF('Loan Inputs'!$B$14=26,14,7)))</f>
        <v/>
      </c>
      <c r="C1329" s="2" t="str">
        <f t="shared" si="62"/>
        <v/>
      </c>
      <c r="D1329" s="2" t="str">
        <f>IF(A1329="","",MIN('Loan Inputs'!$B$17,C1329+E1329)+H1329)</f>
        <v/>
      </c>
      <c r="E1329" s="2" t="str">
        <f>IF(A1329="","",C1329*'Loan Inputs'!$B$15)</f>
        <v/>
      </c>
      <c r="F1329" s="2" t="str">
        <f t="shared" si="60"/>
        <v/>
      </c>
      <c r="G1329" s="2" t="str">
        <f t="shared" si="61"/>
        <v/>
      </c>
      <c r="H1329" s="2" t="str">
        <f>IF(A1329="","",MIN(0,MAX(0,C1329+E1329-'Loan Inputs'!$B$17)))</f>
        <v/>
      </c>
    </row>
    <row r="1330" spans="1:8" ht="22" customHeight="1">
      <c r="A1330" s="1" t="str">
        <f>IF(AND('Loan Inputs'!$B$12,1324&lt;=IF('Loan Inputs'!$B$12,'Loan Inputs'!$B$7,0)*'Loan Inputs'!$B$14+0,ISNUMBER(G1329),G1329&gt;0),1324,"")</f>
        <v/>
      </c>
      <c r="B1330" s="4" t="str">
        <f>IF(A1330="","",IF('Loan Inputs'!$B$14=12,DATE(YEAR('Loan Inputs'!$B$8),MONTH('Loan Inputs'!$B$8)+A1330,DAY('Loan Inputs'!$B$8)),'Loan Inputs'!$B$8+A1330*IF('Loan Inputs'!$B$14=26,14,7)))</f>
        <v/>
      </c>
      <c r="C1330" s="2" t="str">
        <f t="shared" si="62"/>
        <v/>
      </c>
      <c r="D1330" s="2" t="str">
        <f>IF(A1330="","",MIN('Loan Inputs'!$B$17,C1330+E1330)+H1330)</f>
        <v/>
      </c>
      <c r="E1330" s="2" t="str">
        <f>IF(A1330="","",C1330*'Loan Inputs'!$B$15)</f>
        <v/>
      </c>
      <c r="F1330" s="2" t="str">
        <f t="shared" si="60"/>
        <v/>
      </c>
      <c r="G1330" s="2" t="str">
        <f t="shared" si="61"/>
        <v/>
      </c>
      <c r="H1330" s="2" t="str">
        <f>IF(A1330="","",MIN(0,MAX(0,C1330+E1330-'Loan Inputs'!$B$17)))</f>
        <v/>
      </c>
    </row>
    <row r="1331" spans="1:8" ht="22" customHeight="1">
      <c r="A1331" s="1" t="str">
        <f>IF(AND('Loan Inputs'!$B$12,1325&lt;=IF('Loan Inputs'!$B$12,'Loan Inputs'!$B$7,0)*'Loan Inputs'!$B$14+0,ISNUMBER(G1330),G1330&gt;0),1325,"")</f>
        <v/>
      </c>
      <c r="B1331" s="4" t="str">
        <f>IF(A1331="","",IF('Loan Inputs'!$B$14=12,DATE(YEAR('Loan Inputs'!$B$8),MONTH('Loan Inputs'!$B$8)+A1331,DAY('Loan Inputs'!$B$8)),'Loan Inputs'!$B$8+A1331*IF('Loan Inputs'!$B$14=26,14,7)))</f>
        <v/>
      </c>
      <c r="C1331" s="2" t="str">
        <f t="shared" si="62"/>
        <v/>
      </c>
      <c r="D1331" s="2" t="str">
        <f>IF(A1331="","",MIN('Loan Inputs'!$B$17,C1331+E1331)+H1331)</f>
        <v/>
      </c>
      <c r="E1331" s="2" t="str">
        <f>IF(A1331="","",C1331*'Loan Inputs'!$B$15)</f>
        <v/>
      </c>
      <c r="F1331" s="2" t="str">
        <f t="shared" si="60"/>
        <v/>
      </c>
      <c r="G1331" s="2" t="str">
        <f t="shared" si="61"/>
        <v/>
      </c>
      <c r="H1331" s="2" t="str">
        <f>IF(A1331="","",MIN(0,MAX(0,C1331+E1331-'Loan Inputs'!$B$17)))</f>
        <v/>
      </c>
    </row>
    <row r="1332" spans="1:8" ht="22" customHeight="1">
      <c r="A1332" s="1" t="str">
        <f>IF(AND('Loan Inputs'!$B$12,1326&lt;=IF('Loan Inputs'!$B$12,'Loan Inputs'!$B$7,0)*'Loan Inputs'!$B$14+0,ISNUMBER(G1331),G1331&gt;0),1326,"")</f>
        <v/>
      </c>
      <c r="B1332" s="4" t="str">
        <f>IF(A1332="","",IF('Loan Inputs'!$B$14=12,DATE(YEAR('Loan Inputs'!$B$8),MONTH('Loan Inputs'!$B$8)+A1332,DAY('Loan Inputs'!$B$8)),'Loan Inputs'!$B$8+A1332*IF('Loan Inputs'!$B$14=26,14,7)))</f>
        <v/>
      </c>
      <c r="C1332" s="2" t="str">
        <f t="shared" si="62"/>
        <v/>
      </c>
      <c r="D1332" s="2" t="str">
        <f>IF(A1332="","",MIN('Loan Inputs'!$B$17,C1332+E1332)+H1332)</f>
        <v/>
      </c>
      <c r="E1332" s="2" t="str">
        <f>IF(A1332="","",C1332*'Loan Inputs'!$B$15)</f>
        <v/>
      </c>
      <c r="F1332" s="2" t="str">
        <f t="shared" si="60"/>
        <v/>
      </c>
      <c r="G1332" s="2" t="str">
        <f t="shared" si="61"/>
        <v/>
      </c>
      <c r="H1332" s="2" t="str">
        <f>IF(A1332="","",MIN(0,MAX(0,C1332+E1332-'Loan Inputs'!$B$17)))</f>
        <v/>
      </c>
    </row>
    <row r="1333" spans="1:8" ht="22" customHeight="1">
      <c r="A1333" s="1" t="str">
        <f>IF(AND('Loan Inputs'!$B$12,1327&lt;=IF('Loan Inputs'!$B$12,'Loan Inputs'!$B$7,0)*'Loan Inputs'!$B$14+0,ISNUMBER(G1332),G1332&gt;0),1327,"")</f>
        <v/>
      </c>
      <c r="B1333" s="4" t="str">
        <f>IF(A1333="","",IF('Loan Inputs'!$B$14=12,DATE(YEAR('Loan Inputs'!$B$8),MONTH('Loan Inputs'!$B$8)+A1333,DAY('Loan Inputs'!$B$8)),'Loan Inputs'!$B$8+A1333*IF('Loan Inputs'!$B$14=26,14,7)))</f>
        <v/>
      </c>
      <c r="C1333" s="2" t="str">
        <f t="shared" si="62"/>
        <v/>
      </c>
      <c r="D1333" s="2" t="str">
        <f>IF(A1333="","",MIN('Loan Inputs'!$B$17,C1333+E1333)+H1333)</f>
        <v/>
      </c>
      <c r="E1333" s="2" t="str">
        <f>IF(A1333="","",C1333*'Loan Inputs'!$B$15)</f>
        <v/>
      </c>
      <c r="F1333" s="2" t="str">
        <f t="shared" si="60"/>
        <v/>
      </c>
      <c r="G1333" s="2" t="str">
        <f t="shared" si="61"/>
        <v/>
      </c>
      <c r="H1333" s="2" t="str">
        <f>IF(A1333="","",MIN(0,MAX(0,C1333+E1333-'Loan Inputs'!$B$17)))</f>
        <v/>
      </c>
    </row>
    <row r="1334" spans="1:8" ht="22" customHeight="1">
      <c r="A1334" s="1" t="str">
        <f>IF(AND('Loan Inputs'!$B$12,1328&lt;=IF('Loan Inputs'!$B$12,'Loan Inputs'!$B$7,0)*'Loan Inputs'!$B$14+0,ISNUMBER(G1333),G1333&gt;0),1328,"")</f>
        <v/>
      </c>
      <c r="B1334" s="4" t="str">
        <f>IF(A1334="","",IF('Loan Inputs'!$B$14=12,DATE(YEAR('Loan Inputs'!$B$8),MONTH('Loan Inputs'!$B$8)+A1334,DAY('Loan Inputs'!$B$8)),'Loan Inputs'!$B$8+A1334*IF('Loan Inputs'!$B$14=26,14,7)))</f>
        <v/>
      </c>
      <c r="C1334" s="2" t="str">
        <f t="shared" si="62"/>
        <v/>
      </c>
      <c r="D1334" s="2" t="str">
        <f>IF(A1334="","",MIN('Loan Inputs'!$B$17,C1334+E1334)+H1334)</f>
        <v/>
      </c>
      <c r="E1334" s="2" t="str">
        <f>IF(A1334="","",C1334*'Loan Inputs'!$B$15)</f>
        <v/>
      </c>
      <c r="F1334" s="2" t="str">
        <f t="shared" si="60"/>
        <v/>
      </c>
      <c r="G1334" s="2" t="str">
        <f t="shared" si="61"/>
        <v/>
      </c>
      <c r="H1334" s="2" t="str">
        <f>IF(A1334="","",MIN(0,MAX(0,C1334+E1334-'Loan Inputs'!$B$17)))</f>
        <v/>
      </c>
    </row>
    <row r="1335" spans="1:8" ht="22" customHeight="1">
      <c r="A1335" s="1" t="str">
        <f>IF(AND('Loan Inputs'!$B$12,1329&lt;=IF('Loan Inputs'!$B$12,'Loan Inputs'!$B$7,0)*'Loan Inputs'!$B$14+0,ISNUMBER(G1334),G1334&gt;0),1329,"")</f>
        <v/>
      </c>
      <c r="B1335" s="4" t="str">
        <f>IF(A1335="","",IF('Loan Inputs'!$B$14=12,DATE(YEAR('Loan Inputs'!$B$8),MONTH('Loan Inputs'!$B$8)+A1335,DAY('Loan Inputs'!$B$8)),'Loan Inputs'!$B$8+A1335*IF('Loan Inputs'!$B$14=26,14,7)))</f>
        <v/>
      </c>
      <c r="C1335" s="2" t="str">
        <f t="shared" si="62"/>
        <v/>
      </c>
      <c r="D1335" s="2" t="str">
        <f>IF(A1335="","",MIN('Loan Inputs'!$B$17,C1335+E1335)+H1335)</f>
        <v/>
      </c>
      <c r="E1335" s="2" t="str">
        <f>IF(A1335="","",C1335*'Loan Inputs'!$B$15)</f>
        <v/>
      </c>
      <c r="F1335" s="2" t="str">
        <f t="shared" si="60"/>
        <v/>
      </c>
      <c r="G1335" s="2" t="str">
        <f t="shared" si="61"/>
        <v/>
      </c>
      <c r="H1335" s="2" t="str">
        <f>IF(A1335="","",MIN(0,MAX(0,C1335+E1335-'Loan Inputs'!$B$17)))</f>
        <v/>
      </c>
    </row>
    <row r="1336" spans="1:8" ht="22" customHeight="1">
      <c r="A1336" s="1" t="str">
        <f>IF(AND('Loan Inputs'!$B$12,1330&lt;=IF('Loan Inputs'!$B$12,'Loan Inputs'!$B$7,0)*'Loan Inputs'!$B$14+0,ISNUMBER(G1335),G1335&gt;0),1330,"")</f>
        <v/>
      </c>
      <c r="B1336" s="4" t="str">
        <f>IF(A1336="","",IF('Loan Inputs'!$B$14=12,DATE(YEAR('Loan Inputs'!$B$8),MONTH('Loan Inputs'!$B$8)+A1336,DAY('Loan Inputs'!$B$8)),'Loan Inputs'!$B$8+A1336*IF('Loan Inputs'!$B$14=26,14,7)))</f>
        <v/>
      </c>
      <c r="C1336" s="2" t="str">
        <f t="shared" si="62"/>
        <v/>
      </c>
      <c r="D1336" s="2" t="str">
        <f>IF(A1336="","",MIN('Loan Inputs'!$B$17,C1336+E1336)+H1336)</f>
        <v/>
      </c>
      <c r="E1336" s="2" t="str">
        <f>IF(A1336="","",C1336*'Loan Inputs'!$B$15)</f>
        <v/>
      </c>
      <c r="F1336" s="2" t="str">
        <f t="shared" si="60"/>
        <v/>
      </c>
      <c r="G1336" s="2" t="str">
        <f t="shared" si="61"/>
        <v/>
      </c>
      <c r="H1336" s="2" t="str">
        <f>IF(A1336="","",MIN(0,MAX(0,C1336+E1336-'Loan Inputs'!$B$17)))</f>
        <v/>
      </c>
    </row>
    <row r="1337" spans="1:8" ht="22" customHeight="1">
      <c r="A1337" s="1" t="str">
        <f>IF(AND('Loan Inputs'!$B$12,1331&lt;=IF('Loan Inputs'!$B$12,'Loan Inputs'!$B$7,0)*'Loan Inputs'!$B$14+0,ISNUMBER(G1336),G1336&gt;0),1331,"")</f>
        <v/>
      </c>
      <c r="B1337" s="4" t="str">
        <f>IF(A1337="","",IF('Loan Inputs'!$B$14=12,DATE(YEAR('Loan Inputs'!$B$8),MONTH('Loan Inputs'!$B$8)+A1337,DAY('Loan Inputs'!$B$8)),'Loan Inputs'!$B$8+A1337*IF('Loan Inputs'!$B$14=26,14,7)))</f>
        <v/>
      </c>
      <c r="C1337" s="2" t="str">
        <f t="shared" si="62"/>
        <v/>
      </c>
      <c r="D1337" s="2" t="str">
        <f>IF(A1337="","",MIN('Loan Inputs'!$B$17,C1337+E1337)+H1337)</f>
        <v/>
      </c>
      <c r="E1337" s="2" t="str">
        <f>IF(A1337="","",C1337*'Loan Inputs'!$B$15)</f>
        <v/>
      </c>
      <c r="F1337" s="2" t="str">
        <f t="shared" si="60"/>
        <v/>
      </c>
      <c r="G1337" s="2" t="str">
        <f t="shared" si="61"/>
        <v/>
      </c>
      <c r="H1337" s="2" t="str">
        <f>IF(A1337="","",MIN(0,MAX(0,C1337+E1337-'Loan Inputs'!$B$17)))</f>
        <v/>
      </c>
    </row>
    <row r="1338" spans="1:8" ht="22" customHeight="1">
      <c r="A1338" s="1" t="str">
        <f>IF(AND('Loan Inputs'!$B$12,1332&lt;=IF('Loan Inputs'!$B$12,'Loan Inputs'!$B$7,0)*'Loan Inputs'!$B$14+0,ISNUMBER(G1337),G1337&gt;0),1332,"")</f>
        <v/>
      </c>
      <c r="B1338" s="4" t="str">
        <f>IF(A1338="","",IF('Loan Inputs'!$B$14=12,DATE(YEAR('Loan Inputs'!$B$8),MONTH('Loan Inputs'!$B$8)+A1338,DAY('Loan Inputs'!$B$8)),'Loan Inputs'!$B$8+A1338*IF('Loan Inputs'!$B$14=26,14,7)))</f>
        <v/>
      </c>
      <c r="C1338" s="2" t="str">
        <f t="shared" si="62"/>
        <v/>
      </c>
      <c r="D1338" s="2" t="str">
        <f>IF(A1338="","",MIN('Loan Inputs'!$B$17,C1338+E1338)+H1338)</f>
        <v/>
      </c>
      <c r="E1338" s="2" t="str">
        <f>IF(A1338="","",C1338*'Loan Inputs'!$B$15)</f>
        <v/>
      </c>
      <c r="F1338" s="2" t="str">
        <f t="shared" si="60"/>
        <v/>
      </c>
      <c r="G1338" s="2" t="str">
        <f t="shared" si="61"/>
        <v/>
      </c>
      <c r="H1338" s="2" t="str">
        <f>IF(A1338="","",MIN(0,MAX(0,C1338+E1338-'Loan Inputs'!$B$17)))</f>
        <v/>
      </c>
    </row>
    <row r="1339" spans="1:8" ht="22" customHeight="1">
      <c r="A1339" s="1" t="str">
        <f>IF(AND('Loan Inputs'!$B$12,1333&lt;=IF('Loan Inputs'!$B$12,'Loan Inputs'!$B$7,0)*'Loan Inputs'!$B$14+0,ISNUMBER(G1338),G1338&gt;0),1333,"")</f>
        <v/>
      </c>
      <c r="B1339" s="4" t="str">
        <f>IF(A1339="","",IF('Loan Inputs'!$B$14=12,DATE(YEAR('Loan Inputs'!$B$8),MONTH('Loan Inputs'!$B$8)+A1339,DAY('Loan Inputs'!$B$8)),'Loan Inputs'!$B$8+A1339*IF('Loan Inputs'!$B$14=26,14,7)))</f>
        <v/>
      </c>
      <c r="C1339" s="2" t="str">
        <f t="shared" si="62"/>
        <v/>
      </c>
      <c r="D1339" s="2" t="str">
        <f>IF(A1339="","",MIN('Loan Inputs'!$B$17,C1339+E1339)+H1339)</f>
        <v/>
      </c>
      <c r="E1339" s="2" t="str">
        <f>IF(A1339="","",C1339*'Loan Inputs'!$B$15)</f>
        <v/>
      </c>
      <c r="F1339" s="2" t="str">
        <f t="shared" si="60"/>
        <v/>
      </c>
      <c r="G1339" s="2" t="str">
        <f t="shared" si="61"/>
        <v/>
      </c>
      <c r="H1339" s="2" t="str">
        <f>IF(A1339="","",MIN(0,MAX(0,C1339+E1339-'Loan Inputs'!$B$17)))</f>
        <v/>
      </c>
    </row>
    <row r="1340" spans="1:8" ht="22" customHeight="1">
      <c r="A1340" s="1" t="str">
        <f>IF(AND('Loan Inputs'!$B$12,1334&lt;=IF('Loan Inputs'!$B$12,'Loan Inputs'!$B$7,0)*'Loan Inputs'!$B$14+0,ISNUMBER(G1339),G1339&gt;0),1334,"")</f>
        <v/>
      </c>
      <c r="B1340" s="4" t="str">
        <f>IF(A1340="","",IF('Loan Inputs'!$B$14=12,DATE(YEAR('Loan Inputs'!$B$8),MONTH('Loan Inputs'!$B$8)+A1340,DAY('Loan Inputs'!$B$8)),'Loan Inputs'!$B$8+A1340*IF('Loan Inputs'!$B$14=26,14,7)))</f>
        <v/>
      </c>
      <c r="C1340" s="2" t="str">
        <f t="shared" si="62"/>
        <v/>
      </c>
      <c r="D1340" s="2" t="str">
        <f>IF(A1340="","",MIN('Loan Inputs'!$B$17,C1340+E1340)+H1340)</f>
        <v/>
      </c>
      <c r="E1340" s="2" t="str">
        <f>IF(A1340="","",C1340*'Loan Inputs'!$B$15)</f>
        <v/>
      </c>
      <c r="F1340" s="2" t="str">
        <f t="shared" si="60"/>
        <v/>
      </c>
      <c r="G1340" s="2" t="str">
        <f t="shared" si="61"/>
        <v/>
      </c>
      <c r="H1340" s="2" t="str">
        <f>IF(A1340="","",MIN(0,MAX(0,C1340+E1340-'Loan Inputs'!$B$17)))</f>
        <v/>
      </c>
    </row>
    <row r="1341" spans="1:8" ht="22" customHeight="1">
      <c r="A1341" s="1" t="str">
        <f>IF(AND('Loan Inputs'!$B$12,1335&lt;=IF('Loan Inputs'!$B$12,'Loan Inputs'!$B$7,0)*'Loan Inputs'!$B$14+0,ISNUMBER(G1340),G1340&gt;0),1335,"")</f>
        <v/>
      </c>
      <c r="B1341" s="4" t="str">
        <f>IF(A1341="","",IF('Loan Inputs'!$B$14=12,DATE(YEAR('Loan Inputs'!$B$8),MONTH('Loan Inputs'!$B$8)+A1341,DAY('Loan Inputs'!$B$8)),'Loan Inputs'!$B$8+A1341*IF('Loan Inputs'!$B$14=26,14,7)))</f>
        <v/>
      </c>
      <c r="C1341" s="2" t="str">
        <f t="shared" si="62"/>
        <v/>
      </c>
      <c r="D1341" s="2" t="str">
        <f>IF(A1341="","",MIN('Loan Inputs'!$B$17,C1341+E1341)+H1341)</f>
        <v/>
      </c>
      <c r="E1341" s="2" t="str">
        <f>IF(A1341="","",C1341*'Loan Inputs'!$B$15)</f>
        <v/>
      </c>
      <c r="F1341" s="2" t="str">
        <f t="shared" si="60"/>
        <v/>
      </c>
      <c r="G1341" s="2" t="str">
        <f t="shared" si="61"/>
        <v/>
      </c>
      <c r="H1341" s="2" t="str">
        <f>IF(A1341="","",MIN(0,MAX(0,C1341+E1341-'Loan Inputs'!$B$17)))</f>
        <v/>
      </c>
    </row>
    <row r="1342" spans="1:8" ht="22" customHeight="1">
      <c r="A1342" s="1" t="str">
        <f>IF(AND('Loan Inputs'!$B$12,1336&lt;=IF('Loan Inputs'!$B$12,'Loan Inputs'!$B$7,0)*'Loan Inputs'!$B$14+0,ISNUMBER(G1341),G1341&gt;0),1336,"")</f>
        <v/>
      </c>
      <c r="B1342" s="4" t="str">
        <f>IF(A1342="","",IF('Loan Inputs'!$B$14=12,DATE(YEAR('Loan Inputs'!$B$8),MONTH('Loan Inputs'!$B$8)+A1342,DAY('Loan Inputs'!$B$8)),'Loan Inputs'!$B$8+A1342*IF('Loan Inputs'!$B$14=26,14,7)))</f>
        <v/>
      </c>
      <c r="C1342" s="2" t="str">
        <f t="shared" si="62"/>
        <v/>
      </c>
      <c r="D1342" s="2" t="str">
        <f>IF(A1342="","",MIN('Loan Inputs'!$B$17,C1342+E1342)+H1342)</f>
        <v/>
      </c>
      <c r="E1342" s="2" t="str">
        <f>IF(A1342="","",C1342*'Loan Inputs'!$B$15)</f>
        <v/>
      </c>
      <c r="F1342" s="2" t="str">
        <f t="shared" si="60"/>
        <v/>
      </c>
      <c r="G1342" s="2" t="str">
        <f t="shared" si="61"/>
        <v/>
      </c>
      <c r="H1342" s="2" t="str">
        <f>IF(A1342="","",MIN(0,MAX(0,C1342+E1342-'Loan Inputs'!$B$17)))</f>
        <v/>
      </c>
    </row>
    <row r="1343" spans="1:8" ht="22" customHeight="1">
      <c r="A1343" s="1" t="str">
        <f>IF(AND('Loan Inputs'!$B$12,1337&lt;=IF('Loan Inputs'!$B$12,'Loan Inputs'!$B$7,0)*'Loan Inputs'!$B$14+0,ISNUMBER(G1342),G1342&gt;0),1337,"")</f>
        <v/>
      </c>
      <c r="B1343" s="4" t="str">
        <f>IF(A1343="","",IF('Loan Inputs'!$B$14=12,DATE(YEAR('Loan Inputs'!$B$8),MONTH('Loan Inputs'!$B$8)+A1343,DAY('Loan Inputs'!$B$8)),'Loan Inputs'!$B$8+A1343*IF('Loan Inputs'!$B$14=26,14,7)))</f>
        <v/>
      </c>
      <c r="C1343" s="2" t="str">
        <f t="shared" si="62"/>
        <v/>
      </c>
      <c r="D1343" s="2" t="str">
        <f>IF(A1343="","",MIN('Loan Inputs'!$B$17,C1343+E1343)+H1343)</f>
        <v/>
      </c>
      <c r="E1343" s="2" t="str">
        <f>IF(A1343="","",C1343*'Loan Inputs'!$B$15)</f>
        <v/>
      </c>
      <c r="F1343" s="2" t="str">
        <f t="shared" si="60"/>
        <v/>
      </c>
      <c r="G1343" s="2" t="str">
        <f t="shared" si="61"/>
        <v/>
      </c>
      <c r="H1343" s="2" t="str">
        <f>IF(A1343="","",MIN(0,MAX(0,C1343+E1343-'Loan Inputs'!$B$17)))</f>
        <v/>
      </c>
    </row>
    <row r="1344" spans="1:8" ht="22" customHeight="1">
      <c r="A1344" s="1" t="str">
        <f>IF(AND('Loan Inputs'!$B$12,1338&lt;=IF('Loan Inputs'!$B$12,'Loan Inputs'!$B$7,0)*'Loan Inputs'!$B$14+0,ISNUMBER(G1343),G1343&gt;0),1338,"")</f>
        <v/>
      </c>
      <c r="B1344" s="4" t="str">
        <f>IF(A1344="","",IF('Loan Inputs'!$B$14=12,DATE(YEAR('Loan Inputs'!$B$8),MONTH('Loan Inputs'!$B$8)+A1344,DAY('Loan Inputs'!$B$8)),'Loan Inputs'!$B$8+A1344*IF('Loan Inputs'!$B$14=26,14,7)))</f>
        <v/>
      </c>
      <c r="C1344" s="2" t="str">
        <f t="shared" si="62"/>
        <v/>
      </c>
      <c r="D1344" s="2" t="str">
        <f>IF(A1344="","",MIN('Loan Inputs'!$B$17,C1344+E1344)+H1344)</f>
        <v/>
      </c>
      <c r="E1344" s="2" t="str">
        <f>IF(A1344="","",C1344*'Loan Inputs'!$B$15)</f>
        <v/>
      </c>
      <c r="F1344" s="2" t="str">
        <f t="shared" si="60"/>
        <v/>
      </c>
      <c r="G1344" s="2" t="str">
        <f t="shared" si="61"/>
        <v/>
      </c>
      <c r="H1344" s="2" t="str">
        <f>IF(A1344="","",MIN(0,MAX(0,C1344+E1344-'Loan Inputs'!$B$17)))</f>
        <v/>
      </c>
    </row>
    <row r="1345" spans="1:8" ht="22" customHeight="1">
      <c r="A1345" s="1" t="str">
        <f>IF(AND('Loan Inputs'!$B$12,1339&lt;=IF('Loan Inputs'!$B$12,'Loan Inputs'!$B$7,0)*'Loan Inputs'!$B$14+0,ISNUMBER(G1344),G1344&gt;0),1339,"")</f>
        <v/>
      </c>
      <c r="B1345" s="4" t="str">
        <f>IF(A1345="","",IF('Loan Inputs'!$B$14=12,DATE(YEAR('Loan Inputs'!$B$8),MONTH('Loan Inputs'!$B$8)+A1345,DAY('Loan Inputs'!$B$8)),'Loan Inputs'!$B$8+A1345*IF('Loan Inputs'!$B$14=26,14,7)))</f>
        <v/>
      </c>
      <c r="C1345" s="2" t="str">
        <f t="shared" si="62"/>
        <v/>
      </c>
      <c r="D1345" s="2" t="str">
        <f>IF(A1345="","",MIN('Loan Inputs'!$B$17,C1345+E1345)+H1345)</f>
        <v/>
      </c>
      <c r="E1345" s="2" t="str">
        <f>IF(A1345="","",C1345*'Loan Inputs'!$B$15)</f>
        <v/>
      </c>
      <c r="F1345" s="2" t="str">
        <f t="shared" si="60"/>
        <v/>
      </c>
      <c r="G1345" s="2" t="str">
        <f t="shared" si="61"/>
        <v/>
      </c>
      <c r="H1345" s="2" t="str">
        <f>IF(A1345="","",MIN(0,MAX(0,C1345+E1345-'Loan Inputs'!$B$17)))</f>
        <v/>
      </c>
    </row>
    <row r="1346" spans="1:8" ht="22" customHeight="1">
      <c r="A1346" s="1" t="str">
        <f>IF(AND('Loan Inputs'!$B$12,1340&lt;=IF('Loan Inputs'!$B$12,'Loan Inputs'!$B$7,0)*'Loan Inputs'!$B$14+0,ISNUMBER(G1345),G1345&gt;0),1340,"")</f>
        <v/>
      </c>
      <c r="B1346" s="4" t="str">
        <f>IF(A1346="","",IF('Loan Inputs'!$B$14=12,DATE(YEAR('Loan Inputs'!$B$8),MONTH('Loan Inputs'!$B$8)+A1346,DAY('Loan Inputs'!$B$8)),'Loan Inputs'!$B$8+A1346*IF('Loan Inputs'!$B$14=26,14,7)))</f>
        <v/>
      </c>
      <c r="C1346" s="2" t="str">
        <f t="shared" si="62"/>
        <v/>
      </c>
      <c r="D1346" s="2" t="str">
        <f>IF(A1346="","",MIN('Loan Inputs'!$B$17,C1346+E1346)+H1346)</f>
        <v/>
      </c>
      <c r="E1346" s="2" t="str">
        <f>IF(A1346="","",C1346*'Loan Inputs'!$B$15)</f>
        <v/>
      </c>
      <c r="F1346" s="2" t="str">
        <f t="shared" si="60"/>
        <v/>
      </c>
      <c r="G1346" s="2" t="str">
        <f t="shared" si="61"/>
        <v/>
      </c>
      <c r="H1346" s="2" t="str">
        <f>IF(A1346="","",MIN(0,MAX(0,C1346+E1346-'Loan Inputs'!$B$17)))</f>
        <v/>
      </c>
    </row>
    <row r="1347" spans="1:8" ht="22" customHeight="1">
      <c r="A1347" s="1" t="str">
        <f>IF(AND('Loan Inputs'!$B$12,1341&lt;=IF('Loan Inputs'!$B$12,'Loan Inputs'!$B$7,0)*'Loan Inputs'!$B$14+0,ISNUMBER(G1346),G1346&gt;0),1341,"")</f>
        <v/>
      </c>
      <c r="B1347" s="4" t="str">
        <f>IF(A1347="","",IF('Loan Inputs'!$B$14=12,DATE(YEAR('Loan Inputs'!$B$8),MONTH('Loan Inputs'!$B$8)+A1347,DAY('Loan Inputs'!$B$8)),'Loan Inputs'!$B$8+A1347*IF('Loan Inputs'!$B$14=26,14,7)))</f>
        <v/>
      </c>
      <c r="C1347" s="2" t="str">
        <f t="shared" si="62"/>
        <v/>
      </c>
      <c r="D1347" s="2" t="str">
        <f>IF(A1347="","",MIN('Loan Inputs'!$B$17,C1347+E1347)+H1347)</f>
        <v/>
      </c>
      <c r="E1347" s="2" t="str">
        <f>IF(A1347="","",C1347*'Loan Inputs'!$B$15)</f>
        <v/>
      </c>
      <c r="F1347" s="2" t="str">
        <f t="shared" si="60"/>
        <v/>
      </c>
      <c r="G1347" s="2" t="str">
        <f t="shared" si="61"/>
        <v/>
      </c>
      <c r="H1347" s="2" t="str">
        <f>IF(A1347="","",MIN(0,MAX(0,C1347+E1347-'Loan Inputs'!$B$17)))</f>
        <v/>
      </c>
    </row>
    <row r="1348" spans="1:8" ht="22" customHeight="1">
      <c r="A1348" s="1" t="str">
        <f>IF(AND('Loan Inputs'!$B$12,1342&lt;=IF('Loan Inputs'!$B$12,'Loan Inputs'!$B$7,0)*'Loan Inputs'!$B$14+0,ISNUMBER(G1347),G1347&gt;0),1342,"")</f>
        <v/>
      </c>
      <c r="B1348" s="4" t="str">
        <f>IF(A1348="","",IF('Loan Inputs'!$B$14=12,DATE(YEAR('Loan Inputs'!$B$8),MONTH('Loan Inputs'!$B$8)+A1348,DAY('Loan Inputs'!$B$8)),'Loan Inputs'!$B$8+A1348*IF('Loan Inputs'!$B$14=26,14,7)))</f>
        <v/>
      </c>
      <c r="C1348" s="2" t="str">
        <f t="shared" si="62"/>
        <v/>
      </c>
      <c r="D1348" s="2" t="str">
        <f>IF(A1348="","",MIN('Loan Inputs'!$B$17,C1348+E1348)+H1348)</f>
        <v/>
      </c>
      <c r="E1348" s="2" t="str">
        <f>IF(A1348="","",C1348*'Loan Inputs'!$B$15)</f>
        <v/>
      </c>
      <c r="F1348" s="2" t="str">
        <f t="shared" si="60"/>
        <v/>
      </c>
      <c r="G1348" s="2" t="str">
        <f t="shared" si="61"/>
        <v/>
      </c>
      <c r="H1348" s="2" t="str">
        <f>IF(A1348="","",MIN(0,MAX(0,C1348+E1348-'Loan Inputs'!$B$17)))</f>
        <v/>
      </c>
    </row>
    <row r="1349" spans="1:8" ht="22" customHeight="1">
      <c r="A1349" s="1" t="str">
        <f>IF(AND('Loan Inputs'!$B$12,1343&lt;=IF('Loan Inputs'!$B$12,'Loan Inputs'!$B$7,0)*'Loan Inputs'!$B$14+0,ISNUMBER(G1348),G1348&gt;0),1343,"")</f>
        <v/>
      </c>
      <c r="B1349" s="4" t="str">
        <f>IF(A1349="","",IF('Loan Inputs'!$B$14=12,DATE(YEAR('Loan Inputs'!$B$8),MONTH('Loan Inputs'!$B$8)+A1349,DAY('Loan Inputs'!$B$8)),'Loan Inputs'!$B$8+A1349*IF('Loan Inputs'!$B$14=26,14,7)))</f>
        <v/>
      </c>
      <c r="C1349" s="2" t="str">
        <f t="shared" si="62"/>
        <v/>
      </c>
      <c r="D1349" s="2" t="str">
        <f>IF(A1349="","",MIN('Loan Inputs'!$B$17,C1349+E1349)+H1349)</f>
        <v/>
      </c>
      <c r="E1349" s="2" t="str">
        <f>IF(A1349="","",C1349*'Loan Inputs'!$B$15)</f>
        <v/>
      </c>
      <c r="F1349" s="2" t="str">
        <f t="shared" si="60"/>
        <v/>
      </c>
      <c r="G1349" s="2" t="str">
        <f t="shared" si="61"/>
        <v/>
      </c>
      <c r="H1349" s="2" t="str">
        <f>IF(A1349="","",MIN(0,MAX(0,C1349+E1349-'Loan Inputs'!$B$17)))</f>
        <v/>
      </c>
    </row>
    <row r="1350" spans="1:8" ht="22" customHeight="1">
      <c r="A1350" s="1" t="str">
        <f>IF(AND('Loan Inputs'!$B$12,1344&lt;=IF('Loan Inputs'!$B$12,'Loan Inputs'!$B$7,0)*'Loan Inputs'!$B$14+0,ISNUMBER(G1349),G1349&gt;0),1344,"")</f>
        <v/>
      </c>
      <c r="B1350" s="4" t="str">
        <f>IF(A1350="","",IF('Loan Inputs'!$B$14=12,DATE(YEAR('Loan Inputs'!$B$8),MONTH('Loan Inputs'!$B$8)+A1350,DAY('Loan Inputs'!$B$8)),'Loan Inputs'!$B$8+A1350*IF('Loan Inputs'!$B$14=26,14,7)))</f>
        <v/>
      </c>
      <c r="C1350" s="2" t="str">
        <f t="shared" si="62"/>
        <v/>
      </c>
      <c r="D1350" s="2" t="str">
        <f>IF(A1350="","",MIN('Loan Inputs'!$B$17,C1350+E1350)+H1350)</f>
        <v/>
      </c>
      <c r="E1350" s="2" t="str">
        <f>IF(A1350="","",C1350*'Loan Inputs'!$B$15)</f>
        <v/>
      </c>
      <c r="F1350" s="2" t="str">
        <f t="shared" si="60"/>
        <v/>
      </c>
      <c r="G1350" s="2" t="str">
        <f t="shared" si="61"/>
        <v/>
      </c>
      <c r="H1350" s="2" t="str">
        <f>IF(A1350="","",MIN(0,MAX(0,C1350+E1350-'Loan Inputs'!$B$17)))</f>
        <v/>
      </c>
    </row>
    <row r="1351" spans="1:8" ht="22" customHeight="1">
      <c r="A1351" s="1" t="str">
        <f>IF(AND('Loan Inputs'!$B$12,1345&lt;=IF('Loan Inputs'!$B$12,'Loan Inputs'!$B$7,0)*'Loan Inputs'!$B$14+0,ISNUMBER(G1350),G1350&gt;0),1345,"")</f>
        <v/>
      </c>
      <c r="B1351" s="4" t="str">
        <f>IF(A1351="","",IF('Loan Inputs'!$B$14=12,DATE(YEAR('Loan Inputs'!$B$8),MONTH('Loan Inputs'!$B$8)+A1351,DAY('Loan Inputs'!$B$8)),'Loan Inputs'!$B$8+A1351*IF('Loan Inputs'!$B$14=26,14,7)))</f>
        <v/>
      </c>
      <c r="C1351" s="2" t="str">
        <f t="shared" si="62"/>
        <v/>
      </c>
      <c r="D1351" s="2" t="str">
        <f>IF(A1351="","",MIN('Loan Inputs'!$B$17,C1351+E1351)+H1351)</f>
        <v/>
      </c>
      <c r="E1351" s="2" t="str">
        <f>IF(A1351="","",C1351*'Loan Inputs'!$B$15)</f>
        <v/>
      </c>
      <c r="F1351" s="2" t="str">
        <f t="shared" ref="F1351:F1414" si="63">IF(A1351="","",MIN(C1351,D1351-E1351))</f>
        <v/>
      </c>
      <c r="G1351" s="2" t="str">
        <f t="shared" ref="G1351:G1414" si="64">IF(A1351="","",IF(C1351-F1351&lt;0.01,0,MAX(0,C1351-F1351)))</f>
        <v/>
      </c>
      <c r="H1351" s="2" t="str">
        <f>IF(A1351="","",MIN(0,MAX(0,C1351+E1351-'Loan Inputs'!$B$17)))</f>
        <v/>
      </c>
    </row>
    <row r="1352" spans="1:8" ht="22" customHeight="1">
      <c r="A1352" s="1" t="str">
        <f>IF(AND('Loan Inputs'!$B$12,1346&lt;=IF('Loan Inputs'!$B$12,'Loan Inputs'!$B$7,0)*'Loan Inputs'!$B$14+0,ISNUMBER(G1351),G1351&gt;0),1346,"")</f>
        <v/>
      </c>
      <c r="B1352" s="4" t="str">
        <f>IF(A1352="","",IF('Loan Inputs'!$B$14=12,DATE(YEAR('Loan Inputs'!$B$8),MONTH('Loan Inputs'!$B$8)+A1352,DAY('Loan Inputs'!$B$8)),'Loan Inputs'!$B$8+A1352*IF('Loan Inputs'!$B$14=26,14,7)))</f>
        <v/>
      </c>
      <c r="C1352" s="2" t="str">
        <f t="shared" ref="C1352:C1415" si="65">IF(A1352="","",G1351)</f>
        <v/>
      </c>
      <c r="D1352" s="2" t="str">
        <f>IF(A1352="","",MIN('Loan Inputs'!$B$17,C1352+E1352)+H1352)</f>
        <v/>
      </c>
      <c r="E1352" s="2" t="str">
        <f>IF(A1352="","",C1352*'Loan Inputs'!$B$15)</f>
        <v/>
      </c>
      <c r="F1352" s="2" t="str">
        <f t="shared" si="63"/>
        <v/>
      </c>
      <c r="G1352" s="2" t="str">
        <f t="shared" si="64"/>
        <v/>
      </c>
      <c r="H1352" s="2" t="str">
        <f>IF(A1352="","",MIN(0,MAX(0,C1352+E1352-'Loan Inputs'!$B$17)))</f>
        <v/>
      </c>
    </row>
    <row r="1353" spans="1:8" ht="22" customHeight="1">
      <c r="A1353" s="1" t="str">
        <f>IF(AND('Loan Inputs'!$B$12,1347&lt;=IF('Loan Inputs'!$B$12,'Loan Inputs'!$B$7,0)*'Loan Inputs'!$B$14+0,ISNUMBER(G1352),G1352&gt;0),1347,"")</f>
        <v/>
      </c>
      <c r="B1353" s="4" t="str">
        <f>IF(A1353="","",IF('Loan Inputs'!$B$14=12,DATE(YEAR('Loan Inputs'!$B$8),MONTH('Loan Inputs'!$B$8)+A1353,DAY('Loan Inputs'!$B$8)),'Loan Inputs'!$B$8+A1353*IF('Loan Inputs'!$B$14=26,14,7)))</f>
        <v/>
      </c>
      <c r="C1353" s="2" t="str">
        <f t="shared" si="65"/>
        <v/>
      </c>
      <c r="D1353" s="2" t="str">
        <f>IF(A1353="","",MIN('Loan Inputs'!$B$17,C1353+E1353)+H1353)</f>
        <v/>
      </c>
      <c r="E1353" s="2" t="str">
        <f>IF(A1353="","",C1353*'Loan Inputs'!$B$15)</f>
        <v/>
      </c>
      <c r="F1353" s="2" t="str">
        <f t="shared" si="63"/>
        <v/>
      </c>
      <c r="G1353" s="2" t="str">
        <f t="shared" si="64"/>
        <v/>
      </c>
      <c r="H1353" s="2" t="str">
        <f>IF(A1353="","",MIN(0,MAX(0,C1353+E1353-'Loan Inputs'!$B$17)))</f>
        <v/>
      </c>
    </row>
    <row r="1354" spans="1:8" ht="22" customHeight="1">
      <c r="A1354" s="1" t="str">
        <f>IF(AND('Loan Inputs'!$B$12,1348&lt;=IF('Loan Inputs'!$B$12,'Loan Inputs'!$B$7,0)*'Loan Inputs'!$B$14+0,ISNUMBER(G1353),G1353&gt;0),1348,"")</f>
        <v/>
      </c>
      <c r="B1354" s="4" t="str">
        <f>IF(A1354="","",IF('Loan Inputs'!$B$14=12,DATE(YEAR('Loan Inputs'!$B$8),MONTH('Loan Inputs'!$B$8)+A1354,DAY('Loan Inputs'!$B$8)),'Loan Inputs'!$B$8+A1354*IF('Loan Inputs'!$B$14=26,14,7)))</f>
        <v/>
      </c>
      <c r="C1354" s="2" t="str">
        <f t="shared" si="65"/>
        <v/>
      </c>
      <c r="D1354" s="2" t="str">
        <f>IF(A1354="","",MIN('Loan Inputs'!$B$17,C1354+E1354)+H1354)</f>
        <v/>
      </c>
      <c r="E1354" s="2" t="str">
        <f>IF(A1354="","",C1354*'Loan Inputs'!$B$15)</f>
        <v/>
      </c>
      <c r="F1354" s="2" t="str">
        <f t="shared" si="63"/>
        <v/>
      </c>
      <c r="G1354" s="2" t="str">
        <f t="shared" si="64"/>
        <v/>
      </c>
      <c r="H1354" s="2" t="str">
        <f>IF(A1354="","",MIN(0,MAX(0,C1354+E1354-'Loan Inputs'!$B$17)))</f>
        <v/>
      </c>
    </row>
    <row r="1355" spans="1:8" ht="22" customHeight="1">
      <c r="A1355" s="1" t="str">
        <f>IF(AND('Loan Inputs'!$B$12,1349&lt;=IF('Loan Inputs'!$B$12,'Loan Inputs'!$B$7,0)*'Loan Inputs'!$B$14+0,ISNUMBER(G1354),G1354&gt;0),1349,"")</f>
        <v/>
      </c>
      <c r="B1355" s="4" t="str">
        <f>IF(A1355="","",IF('Loan Inputs'!$B$14=12,DATE(YEAR('Loan Inputs'!$B$8),MONTH('Loan Inputs'!$B$8)+A1355,DAY('Loan Inputs'!$B$8)),'Loan Inputs'!$B$8+A1355*IF('Loan Inputs'!$B$14=26,14,7)))</f>
        <v/>
      </c>
      <c r="C1355" s="2" t="str">
        <f t="shared" si="65"/>
        <v/>
      </c>
      <c r="D1355" s="2" t="str">
        <f>IF(A1355="","",MIN('Loan Inputs'!$B$17,C1355+E1355)+H1355)</f>
        <v/>
      </c>
      <c r="E1355" s="2" t="str">
        <f>IF(A1355="","",C1355*'Loan Inputs'!$B$15)</f>
        <v/>
      </c>
      <c r="F1355" s="2" t="str">
        <f t="shared" si="63"/>
        <v/>
      </c>
      <c r="G1355" s="2" t="str">
        <f t="shared" si="64"/>
        <v/>
      </c>
      <c r="H1355" s="2" t="str">
        <f>IF(A1355="","",MIN(0,MAX(0,C1355+E1355-'Loan Inputs'!$B$17)))</f>
        <v/>
      </c>
    </row>
    <row r="1356" spans="1:8" ht="22" customHeight="1">
      <c r="A1356" s="1" t="str">
        <f>IF(AND('Loan Inputs'!$B$12,1350&lt;=IF('Loan Inputs'!$B$12,'Loan Inputs'!$B$7,0)*'Loan Inputs'!$B$14+0,ISNUMBER(G1355),G1355&gt;0),1350,"")</f>
        <v/>
      </c>
      <c r="B1356" s="4" t="str">
        <f>IF(A1356="","",IF('Loan Inputs'!$B$14=12,DATE(YEAR('Loan Inputs'!$B$8),MONTH('Loan Inputs'!$B$8)+A1356,DAY('Loan Inputs'!$B$8)),'Loan Inputs'!$B$8+A1356*IF('Loan Inputs'!$B$14=26,14,7)))</f>
        <v/>
      </c>
      <c r="C1356" s="2" t="str">
        <f t="shared" si="65"/>
        <v/>
      </c>
      <c r="D1356" s="2" t="str">
        <f>IF(A1356="","",MIN('Loan Inputs'!$B$17,C1356+E1356)+H1356)</f>
        <v/>
      </c>
      <c r="E1356" s="2" t="str">
        <f>IF(A1356="","",C1356*'Loan Inputs'!$B$15)</f>
        <v/>
      </c>
      <c r="F1356" s="2" t="str">
        <f t="shared" si="63"/>
        <v/>
      </c>
      <c r="G1356" s="2" t="str">
        <f t="shared" si="64"/>
        <v/>
      </c>
      <c r="H1356" s="2" t="str">
        <f>IF(A1356="","",MIN(0,MAX(0,C1356+E1356-'Loan Inputs'!$B$17)))</f>
        <v/>
      </c>
    </row>
    <row r="1357" spans="1:8" ht="22" customHeight="1">
      <c r="A1357" s="1" t="str">
        <f>IF(AND('Loan Inputs'!$B$12,1351&lt;=IF('Loan Inputs'!$B$12,'Loan Inputs'!$B$7,0)*'Loan Inputs'!$B$14+0,ISNUMBER(G1356),G1356&gt;0),1351,"")</f>
        <v/>
      </c>
      <c r="B1357" s="4" t="str">
        <f>IF(A1357="","",IF('Loan Inputs'!$B$14=12,DATE(YEAR('Loan Inputs'!$B$8),MONTH('Loan Inputs'!$B$8)+A1357,DAY('Loan Inputs'!$B$8)),'Loan Inputs'!$B$8+A1357*IF('Loan Inputs'!$B$14=26,14,7)))</f>
        <v/>
      </c>
      <c r="C1357" s="2" t="str">
        <f t="shared" si="65"/>
        <v/>
      </c>
      <c r="D1357" s="2" t="str">
        <f>IF(A1357="","",MIN('Loan Inputs'!$B$17,C1357+E1357)+H1357)</f>
        <v/>
      </c>
      <c r="E1357" s="2" t="str">
        <f>IF(A1357="","",C1357*'Loan Inputs'!$B$15)</f>
        <v/>
      </c>
      <c r="F1357" s="2" t="str">
        <f t="shared" si="63"/>
        <v/>
      </c>
      <c r="G1357" s="2" t="str">
        <f t="shared" si="64"/>
        <v/>
      </c>
      <c r="H1357" s="2" t="str">
        <f>IF(A1357="","",MIN(0,MAX(0,C1357+E1357-'Loan Inputs'!$B$17)))</f>
        <v/>
      </c>
    </row>
    <row r="1358" spans="1:8" ht="22" customHeight="1">
      <c r="A1358" s="1" t="str">
        <f>IF(AND('Loan Inputs'!$B$12,1352&lt;=IF('Loan Inputs'!$B$12,'Loan Inputs'!$B$7,0)*'Loan Inputs'!$B$14+0,ISNUMBER(G1357),G1357&gt;0),1352,"")</f>
        <v/>
      </c>
      <c r="B1358" s="4" t="str">
        <f>IF(A1358="","",IF('Loan Inputs'!$B$14=12,DATE(YEAR('Loan Inputs'!$B$8),MONTH('Loan Inputs'!$B$8)+A1358,DAY('Loan Inputs'!$B$8)),'Loan Inputs'!$B$8+A1358*IF('Loan Inputs'!$B$14=26,14,7)))</f>
        <v/>
      </c>
      <c r="C1358" s="2" t="str">
        <f t="shared" si="65"/>
        <v/>
      </c>
      <c r="D1358" s="2" t="str">
        <f>IF(A1358="","",MIN('Loan Inputs'!$B$17,C1358+E1358)+H1358)</f>
        <v/>
      </c>
      <c r="E1358" s="2" t="str">
        <f>IF(A1358="","",C1358*'Loan Inputs'!$B$15)</f>
        <v/>
      </c>
      <c r="F1358" s="2" t="str">
        <f t="shared" si="63"/>
        <v/>
      </c>
      <c r="G1358" s="2" t="str">
        <f t="shared" si="64"/>
        <v/>
      </c>
      <c r="H1358" s="2" t="str">
        <f>IF(A1358="","",MIN(0,MAX(0,C1358+E1358-'Loan Inputs'!$B$17)))</f>
        <v/>
      </c>
    </row>
    <row r="1359" spans="1:8" ht="22" customHeight="1">
      <c r="A1359" s="1" t="str">
        <f>IF(AND('Loan Inputs'!$B$12,1353&lt;=IF('Loan Inputs'!$B$12,'Loan Inputs'!$B$7,0)*'Loan Inputs'!$B$14+0,ISNUMBER(G1358),G1358&gt;0),1353,"")</f>
        <v/>
      </c>
      <c r="B1359" s="4" t="str">
        <f>IF(A1359="","",IF('Loan Inputs'!$B$14=12,DATE(YEAR('Loan Inputs'!$B$8),MONTH('Loan Inputs'!$B$8)+A1359,DAY('Loan Inputs'!$B$8)),'Loan Inputs'!$B$8+A1359*IF('Loan Inputs'!$B$14=26,14,7)))</f>
        <v/>
      </c>
      <c r="C1359" s="2" t="str">
        <f t="shared" si="65"/>
        <v/>
      </c>
      <c r="D1359" s="2" t="str">
        <f>IF(A1359="","",MIN('Loan Inputs'!$B$17,C1359+E1359)+H1359)</f>
        <v/>
      </c>
      <c r="E1359" s="2" t="str">
        <f>IF(A1359="","",C1359*'Loan Inputs'!$B$15)</f>
        <v/>
      </c>
      <c r="F1359" s="2" t="str">
        <f t="shared" si="63"/>
        <v/>
      </c>
      <c r="G1359" s="2" t="str">
        <f t="shared" si="64"/>
        <v/>
      </c>
      <c r="H1359" s="2" t="str">
        <f>IF(A1359="","",MIN(0,MAX(0,C1359+E1359-'Loan Inputs'!$B$17)))</f>
        <v/>
      </c>
    </row>
    <row r="1360" spans="1:8" ht="22" customHeight="1">
      <c r="A1360" s="1" t="str">
        <f>IF(AND('Loan Inputs'!$B$12,1354&lt;=IF('Loan Inputs'!$B$12,'Loan Inputs'!$B$7,0)*'Loan Inputs'!$B$14+0,ISNUMBER(G1359),G1359&gt;0),1354,"")</f>
        <v/>
      </c>
      <c r="B1360" s="4" t="str">
        <f>IF(A1360="","",IF('Loan Inputs'!$B$14=12,DATE(YEAR('Loan Inputs'!$B$8),MONTH('Loan Inputs'!$B$8)+A1360,DAY('Loan Inputs'!$B$8)),'Loan Inputs'!$B$8+A1360*IF('Loan Inputs'!$B$14=26,14,7)))</f>
        <v/>
      </c>
      <c r="C1360" s="2" t="str">
        <f t="shared" si="65"/>
        <v/>
      </c>
      <c r="D1360" s="2" t="str">
        <f>IF(A1360="","",MIN('Loan Inputs'!$B$17,C1360+E1360)+H1360)</f>
        <v/>
      </c>
      <c r="E1360" s="2" t="str">
        <f>IF(A1360="","",C1360*'Loan Inputs'!$B$15)</f>
        <v/>
      </c>
      <c r="F1360" s="2" t="str">
        <f t="shared" si="63"/>
        <v/>
      </c>
      <c r="G1360" s="2" t="str">
        <f t="shared" si="64"/>
        <v/>
      </c>
      <c r="H1360" s="2" t="str">
        <f>IF(A1360="","",MIN(0,MAX(0,C1360+E1360-'Loan Inputs'!$B$17)))</f>
        <v/>
      </c>
    </row>
    <row r="1361" spans="1:8" ht="22" customHeight="1">
      <c r="A1361" s="1" t="str">
        <f>IF(AND('Loan Inputs'!$B$12,1355&lt;=IF('Loan Inputs'!$B$12,'Loan Inputs'!$B$7,0)*'Loan Inputs'!$B$14+0,ISNUMBER(G1360),G1360&gt;0),1355,"")</f>
        <v/>
      </c>
      <c r="B1361" s="4" t="str">
        <f>IF(A1361="","",IF('Loan Inputs'!$B$14=12,DATE(YEAR('Loan Inputs'!$B$8),MONTH('Loan Inputs'!$B$8)+A1361,DAY('Loan Inputs'!$B$8)),'Loan Inputs'!$B$8+A1361*IF('Loan Inputs'!$B$14=26,14,7)))</f>
        <v/>
      </c>
      <c r="C1361" s="2" t="str">
        <f t="shared" si="65"/>
        <v/>
      </c>
      <c r="D1361" s="2" t="str">
        <f>IF(A1361="","",MIN('Loan Inputs'!$B$17,C1361+E1361)+H1361)</f>
        <v/>
      </c>
      <c r="E1361" s="2" t="str">
        <f>IF(A1361="","",C1361*'Loan Inputs'!$B$15)</f>
        <v/>
      </c>
      <c r="F1361" s="2" t="str">
        <f t="shared" si="63"/>
        <v/>
      </c>
      <c r="G1361" s="2" t="str">
        <f t="shared" si="64"/>
        <v/>
      </c>
      <c r="H1361" s="2" t="str">
        <f>IF(A1361="","",MIN(0,MAX(0,C1361+E1361-'Loan Inputs'!$B$17)))</f>
        <v/>
      </c>
    </row>
    <row r="1362" spans="1:8" ht="22" customHeight="1">
      <c r="A1362" s="1" t="str">
        <f>IF(AND('Loan Inputs'!$B$12,1356&lt;=IF('Loan Inputs'!$B$12,'Loan Inputs'!$B$7,0)*'Loan Inputs'!$B$14+0,ISNUMBER(G1361),G1361&gt;0),1356,"")</f>
        <v/>
      </c>
      <c r="B1362" s="4" t="str">
        <f>IF(A1362="","",IF('Loan Inputs'!$B$14=12,DATE(YEAR('Loan Inputs'!$B$8),MONTH('Loan Inputs'!$B$8)+A1362,DAY('Loan Inputs'!$B$8)),'Loan Inputs'!$B$8+A1362*IF('Loan Inputs'!$B$14=26,14,7)))</f>
        <v/>
      </c>
      <c r="C1362" s="2" t="str">
        <f t="shared" si="65"/>
        <v/>
      </c>
      <c r="D1362" s="2" t="str">
        <f>IF(A1362="","",MIN('Loan Inputs'!$B$17,C1362+E1362)+H1362)</f>
        <v/>
      </c>
      <c r="E1362" s="2" t="str">
        <f>IF(A1362="","",C1362*'Loan Inputs'!$B$15)</f>
        <v/>
      </c>
      <c r="F1362" s="2" t="str">
        <f t="shared" si="63"/>
        <v/>
      </c>
      <c r="G1362" s="2" t="str">
        <f t="shared" si="64"/>
        <v/>
      </c>
      <c r="H1362" s="2" t="str">
        <f>IF(A1362="","",MIN(0,MAX(0,C1362+E1362-'Loan Inputs'!$B$17)))</f>
        <v/>
      </c>
    </row>
    <row r="1363" spans="1:8" ht="22" customHeight="1">
      <c r="A1363" s="1" t="str">
        <f>IF(AND('Loan Inputs'!$B$12,1357&lt;=IF('Loan Inputs'!$B$12,'Loan Inputs'!$B$7,0)*'Loan Inputs'!$B$14+0,ISNUMBER(G1362),G1362&gt;0),1357,"")</f>
        <v/>
      </c>
      <c r="B1363" s="4" t="str">
        <f>IF(A1363="","",IF('Loan Inputs'!$B$14=12,DATE(YEAR('Loan Inputs'!$B$8),MONTH('Loan Inputs'!$B$8)+A1363,DAY('Loan Inputs'!$B$8)),'Loan Inputs'!$B$8+A1363*IF('Loan Inputs'!$B$14=26,14,7)))</f>
        <v/>
      </c>
      <c r="C1363" s="2" t="str">
        <f t="shared" si="65"/>
        <v/>
      </c>
      <c r="D1363" s="2" t="str">
        <f>IF(A1363="","",MIN('Loan Inputs'!$B$17,C1363+E1363)+H1363)</f>
        <v/>
      </c>
      <c r="E1363" s="2" t="str">
        <f>IF(A1363="","",C1363*'Loan Inputs'!$B$15)</f>
        <v/>
      </c>
      <c r="F1363" s="2" t="str">
        <f t="shared" si="63"/>
        <v/>
      </c>
      <c r="G1363" s="2" t="str">
        <f t="shared" si="64"/>
        <v/>
      </c>
      <c r="H1363" s="2" t="str">
        <f>IF(A1363="","",MIN(0,MAX(0,C1363+E1363-'Loan Inputs'!$B$17)))</f>
        <v/>
      </c>
    </row>
    <row r="1364" spans="1:8" ht="22" customHeight="1">
      <c r="A1364" s="1" t="str">
        <f>IF(AND('Loan Inputs'!$B$12,1358&lt;=IF('Loan Inputs'!$B$12,'Loan Inputs'!$B$7,0)*'Loan Inputs'!$B$14+0,ISNUMBER(G1363),G1363&gt;0),1358,"")</f>
        <v/>
      </c>
      <c r="B1364" s="4" t="str">
        <f>IF(A1364="","",IF('Loan Inputs'!$B$14=12,DATE(YEAR('Loan Inputs'!$B$8),MONTH('Loan Inputs'!$B$8)+A1364,DAY('Loan Inputs'!$B$8)),'Loan Inputs'!$B$8+A1364*IF('Loan Inputs'!$B$14=26,14,7)))</f>
        <v/>
      </c>
      <c r="C1364" s="2" t="str">
        <f t="shared" si="65"/>
        <v/>
      </c>
      <c r="D1364" s="2" t="str">
        <f>IF(A1364="","",MIN('Loan Inputs'!$B$17,C1364+E1364)+H1364)</f>
        <v/>
      </c>
      <c r="E1364" s="2" t="str">
        <f>IF(A1364="","",C1364*'Loan Inputs'!$B$15)</f>
        <v/>
      </c>
      <c r="F1364" s="2" t="str">
        <f t="shared" si="63"/>
        <v/>
      </c>
      <c r="G1364" s="2" t="str">
        <f t="shared" si="64"/>
        <v/>
      </c>
      <c r="H1364" s="2" t="str">
        <f>IF(A1364="","",MIN(0,MAX(0,C1364+E1364-'Loan Inputs'!$B$17)))</f>
        <v/>
      </c>
    </row>
    <row r="1365" spans="1:8" ht="22" customHeight="1">
      <c r="A1365" s="1" t="str">
        <f>IF(AND('Loan Inputs'!$B$12,1359&lt;=IF('Loan Inputs'!$B$12,'Loan Inputs'!$B$7,0)*'Loan Inputs'!$B$14+0,ISNUMBER(G1364),G1364&gt;0),1359,"")</f>
        <v/>
      </c>
      <c r="B1365" s="4" t="str">
        <f>IF(A1365="","",IF('Loan Inputs'!$B$14=12,DATE(YEAR('Loan Inputs'!$B$8),MONTH('Loan Inputs'!$B$8)+A1365,DAY('Loan Inputs'!$B$8)),'Loan Inputs'!$B$8+A1365*IF('Loan Inputs'!$B$14=26,14,7)))</f>
        <v/>
      </c>
      <c r="C1365" s="2" t="str">
        <f t="shared" si="65"/>
        <v/>
      </c>
      <c r="D1365" s="2" t="str">
        <f>IF(A1365="","",MIN('Loan Inputs'!$B$17,C1365+E1365)+H1365)</f>
        <v/>
      </c>
      <c r="E1365" s="2" t="str">
        <f>IF(A1365="","",C1365*'Loan Inputs'!$B$15)</f>
        <v/>
      </c>
      <c r="F1365" s="2" t="str">
        <f t="shared" si="63"/>
        <v/>
      </c>
      <c r="G1365" s="2" t="str">
        <f t="shared" si="64"/>
        <v/>
      </c>
      <c r="H1365" s="2" t="str">
        <f>IF(A1365="","",MIN(0,MAX(0,C1365+E1365-'Loan Inputs'!$B$17)))</f>
        <v/>
      </c>
    </row>
    <row r="1366" spans="1:8" ht="22" customHeight="1">
      <c r="A1366" s="1" t="str">
        <f>IF(AND('Loan Inputs'!$B$12,1360&lt;=IF('Loan Inputs'!$B$12,'Loan Inputs'!$B$7,0)*'Loan Inputs'!$B$14+0,ISNUMBER(G1365),G1365&gt;0),1360,"")</f>
        <v/>
      </c>
      <c r="B1366" s="4" t="str">
        <f>IF(A1366="","",IF('Loan Inputs'!$B$14=12,DATE(YEAR('Loan Inputs'!$B$8),MONTH('Loan Inputs'!$B$8)+A1366,DAY('Loan Inputs'!$B$8)),'Loan Inputs'!$B$8+A1366*IF('Loan Inputs'!$B$14=26,14,7)))</f>
        <v/>
      </c>
      <c r="C1366" s="2" t="str">
        <f t="shared" si="65"/>
        <v/>
      </c>
      <c r="D1366" s="2" t="str">
        <f>IF(A1366="","",MIN('Loan Inputs'!$B$17,C1366+E1366)+H1366)</f>
        <v/>
      </c>
      <c r="E1366" s="2" t="str">
        <f>IF(A1366="","",C1366*'Loan Inputs'!$B$15)</f>
        <v/>
      </c>
      <c r="F1366" s="2" t="str">
        <f t="shared" si="63"/>
        <v/>
      </c>
      <c r="G1366" s="2" t="str">
        <f t="shared" si="64"/>
        <v/>
      </c>
      <c r="H1366" s="2" t="str">
        <f>IF(A1366="","",MIN(0,MAX(0,C1366+E1366-'Loan Inputs'!$B$17)))</f>
        <v/>
      </c>
    </row>
    <row r="1367" spans="1:8" ht="22" customHeight="1">
      <c r="A1367" s="1" t="str">
        <f>IF(AND('Loan Inputs'!$B$12,1361&lt;=IF('Loan Inputs'!$B$12,'Loan Inputs'!$B$7,0)*'Loan Inputs'!$B$14+0,ISNUMBER(G1366),G1366&gt;0),1361,"")</f>
        <v/>
      </c>
      <c r="B1367" s="4" t="str">
        <f>IF(A1367="","",IF('Loan Inputs'!$B$14=12,DATE(YEAR('Loan Inputs'!$B$8),MONTH('Loan Inputs'!$B$8)+A1367,DAY('Loan Inputs'!$B$8)),'Loan Inputs'!$B$8+A1367*IF('Loan Inputs'!$B$14=26,14,7)))</f>
        <v/>
      </c>
      <c r="C1367" s="2" t="str">
        <f t="shared" si="65"/>
        <v/>
      </c>
      <c r="D1367" s="2" t="str">
        <f>IF(A1367="","",MIN('Loan Inputs'!$B$17,C1367+E1367)+H1367)</f>
        <v/>
      </c>
      <c r="E1367" s="2" t="str">
        <f>IF(A1367="","",C1367*'Loan Inputs'!$B$15)</f>
        <v/>
      </c>
      <c r="F1367" s="2" t="str">
        <f t="shared" si="63"/>
        <v/>
      </c>
      <c r="G1367" s="2" t="str">
        <f t="shared" si="64"/>
        <v/>
      </c>
      <c r="H1367" s="2" t="str">
        <f>IF(A1367="","",MIN(0,MAX(0,C1367+E1367-'Loan Inputs'!$B$17)))</f>
        <v/>
      </c>
    </row>
    <row r="1368" spans="1:8" ht="22" customHeight="1">
      <c r="A1368" s="1" t="str">
        <f>IF(AND('Loan Inputs'!$B$12,1362&lt;=IF('Loan Inputs'!$B$12,'Loan Inputs'!$B$7,0)*'Loan Inputs'!$B$14+0,ISNUMBER(G1367),G1367&gt;0),1362,"")</f>
        <v/>
      </c>
      <c r="B1368" s="4" t="str">
        <f>IF(A1368="","",IF('Loan Inputs'!$B$14=12,DATE(YEAR('Loan Inputs'!$B$8),MONTH('Loan Inputs'!$B$8)+A1368,DAY('Loan Inputs'!$B$8)),'Loan Inputs'!$B$8+A1368*IF('Loan Inputs'!$B$14=26,14,7)))</f>
        <v/>
      </c>
      <c r="C1368" s="2" t="str">
        <f t="shared" si="65"/>
        <v/>
      </c>
      <c r="D1368" s="2" t="str">
        <f>IF(A1368="","",MIN('Loan Inputs'!$B$17,C1368+E1368)+H1368)</f>
        <v/>
      </c>
      <c r="E1368" s="2" t="str">
        <f>IF(A1368="","",C1368*'Loan Inputs'!$B$15)</f>
        <v/>
      </c>
      <c r="F1368" s="2" t="str">
        <f t="shared" si="63"/>
        <v/>
      </c>
      <c r="G1368" s="2" t="str">
        <f t="shared" si="64"/>
        <v/>
      </c>
      <c r="H1368" s="2" t="str">
        <f>IF(A1368="","",MIN(0,MAX(0,C1368+E1368-'Loan Inputs'!$B$17)))</f>
        <v/>
      </c>
    </row>
    <row r="1369" spans="1:8" ht="22" customHeight="1">
      <c r="A1369" s="1" t="str">
        <f>IF(AND('Loan Inputs'!$B$12,1363&lt;=IF('Loan Inputs'!$B$12,'Loan Inputs'!$B$7,0)*'Loan Inputs'!$B$14+0,ISNUMBER(G1368),G1368&gt;0),1363,"")</f>
        <v/>
      </c>
      <c r="B1369" s="4" t="str">
        <f>IF(A1369="","",IF('Loan Inputs'!$B$14=12,DATE(YEAR('Loan Inputs'!$B$8),MONTH('Loan Inputs'!$B$8)+A1369,DAY('Loan Inputs'!$B$8)),'Loan Inputs'!$B$8+A1369*IF('Loan Inputs'!$B$14=26,14,7)))</f>
        <v/>
      </c>
      <c r="C1369" s="2" t="str">
        <f t="shared" si="65"/>
        <v/>
      </c>
      <c r="D1369" s="2" t="str">
        <f>IF(A1369="","",MIN('Loan Inputs'!$B$17,C1369+E1369)+H1369)</f>
        <v/>
      </c>
      <c r="E1369" s="2" t="str">
        <f>IF(A1369="","",C1369*'Loan Inputs'!$B$15)</f>
        <v/>
      </c>
      <c r="F1369" s="2" t="str">
        <f t="shared" si="63"/>
        <v/>
      </c>
      <c r="G1369" s="2" t="str">
        <f t="shared" si="64"/>
        <v/>
      </c>
      <c r="H1369" s="2" t="str">
        <f>IF(A1369="","",MIN(0,MAX(0,C1369+E1369-'Loan Inputs'!$B$17)))</f>
        <v/>
      </c>
    </row>
    <row r="1370" spans="1:8" ht="22" customHeight="1">
      <c r="A1370" s="1" t="str">
        <f>IF(AND('Loan Inputs'!$B$12,1364&lt;=IF('Loan Inputs'!$B$12,'Loan Inputs'!$B$7,0)*'Loan Inputs'!$B$14+0,ISNUMBER(G1369),G1369&gt;0),1364,"")</f>
        <v/>
      </c>
      <c r="B1370" s="4" t="str">
        <f>IF(A1370="","",IF('Loan Inputs'!$B$14=12,DATE(YEAR('Loan Inputs'!$B$8),MONTH('Loan Inputs'!$B$8)+A1370,DAY('Loan Inputs'!$B$8)),'Loan Inputs'!$B$8+A1370*IF('Loan Inputs'!$B$14=26,14,7)))</f>
        <v/>
      </c>
      <c r="C1370" s="2" t="str">
        <f t="shared" si="65"/>
        <v/>
      </c>
      <c r="D1370" s="2" t="str">
        <f>IF(A1370="","",MIN('Loan Inputs'!$B$17,C1370+E1370)+H1370)</f>
        <v/>
      </c>
      <c r="E1370" s="2" t="str">
        <f>IF(A1370="","",C1370*'Loan Inputs'!$B$15)</f>
        <v/>
      </c>
      <c r="F1370" s="2" t="str">
        <f t="shared" si="63"/>
        <v/>
      </c>
      <c r="G1370" s="2" t="str">
        <f t="shared" si="64"/>
        <v/>
      </c>
      <c r="H1370" s="2" t="str">
        <f>IF(A1370="","",MIN(0,MAX(0,C1370+E1370-'Loan Inputs'!$B$17)))</f>
        <v/>
      </c>
    </row>
    <row r="1371" spans="1:8" ht="22" customHeight="1">
      <c r="A1371" s="1" t="str">
        <f>IF(AND('Loan Inputs'!$B$12,1365&lt;=IF('Loan Inputs'!$B$12,'Loan Inputs'!$B$7,0)*'Loan Inputs'!$B$14+0,ISNUMBER(G1370),G1370&gt;0),1365,"")</f>
        <v/>
      </c>
      <c r="B1371" s="4" t="str">
        <f>IF(A1371="","",IF('Loan Inputs'!$B$14=12,DATE(YEAR('Loan Inputs'!$B$8),MONTH('Loan Inputs'!$B$8)+A1371,DAY('Loan Inputs'!$B$8)),'Loan Inputs'!$B$8+A1371*IF('Loan Inputs'!$B$14=26,14,7)))</f>
        <v/>
      </c>
      <c r="C1371" s="2" t="str">
        <f t="shared" si="65"/>
        <v/>
      </c>
      <c r="D1371" s="2" t="str">
        <f>IF(A1371="","",MIN('Loan Inputs'!$B$17,C1371+E1371)+H1371)</f>
        <v/>
      </c>
      <c r="E1371" s="2" t="str">
        <f>IF(A1371="","",C1371*'Loan Inputs'!$B$15)</f>
        <v/>
      </c>
      <c r="F1371" s="2" t="str">
        <f t="shared" si="63"/>
        <v/>
      </c>
      <c r="G1371" s="2" t="str">
        <f t="shared" si="64"/>
        <v/>
      </c>
      <c r="H1371" s="2" t="str">
        <f>IF(A1371="","",MIN(0,MAX(0,C1371+E1371-'Loan Inputs'!$B$17)))</f>
        <v/>
      </c>
    </row>
    <row r="1372" spans="1:8" ht="22" customHeight="1">
      <c r="A1372" s="1" t="str">
        <f>IF(AND('Loan Inputs'!$B$12,1366&lt;=IF('Loan Inputs'!$B$12,'Loan Inputs'!$B$7,0)*'Loan Inputs'!$B$14+0,ISNUMBER(G1371),G1371&gt;0),1366,"")</f>
        <v/>
      </c>
      <c r="B1372" s="4" t="str">
        <f>IF(A1372="","",IF('Loan Inputs'!$B$14=12,DATE(YEAR('Loan Inputs'!$B$8),MONTH('Loan Inputs'!$B$8)+A1372,DAY('Loan Inputs'!$B$8)),'Loan Inputs'!$B$8+A1372*IF('Loan Inputs'!$B$14=26,14,7)))</f>
        <v/>
      </c>
      <c r="C1372" s="2" t="str">
        <f t="shared" si="65"/>
        <v/>
      </c>
      <c r="D1372" s="2" t="str">
        <f>IF(A1372="","",MIN('Loan Inputs'!$B$17,C1372+E1372)+H1372)</f>
        <v/>
      </c>
      <c r="E1372" s="2" t="str">
        <f>IF(A1372="","",C1372*'Loan Inputs'!$B$15)</f>
        <v/>
      </c>
      <c r="F1372" s="2" t="str">
        <f t="shared" si="63"/>
        <v/>
      </c>
      <c r="G1372" s="2" t="str">
        <f t="shared" si="64"/>
        <v/>
      </c>
      <c r="H1372" s="2" t="str">
        <f>IF(A1372="","",MIN(0,MAX(0,C1372+E1372-'Loan Inputs'!$B$17)))</f>
        <v/>
      </c>
    </row>
    <row r="1373" spans="1:8" ht="22" customHeight="1">
      <c r="A1373" s="1" t="str">
        <f>IF(AND('Loan Inputs'!$B$12,1367&lt;=IF('Loan Inputs'!$B$12,'Loan Inputs'!$B$7,0)*'Loan Inputs'!$B$14+0,ISNUMBER(G1372),G1372&gt;0),1367,"")</f>
        <v/>
      </c>
      <c r="B1373" s="4" t="str">
        <f>IF(A1373="","",IF('Loan Inputs'!$B$14=12,DATE(YEAR('Loan Inputs'!$B$8),MONTH('Loan Inputs'!$B$8)+A1373,DAY('Loan Inputs'!$B$8)),'Loan Inputs'!$B$8+A1373*IF('Loan Inputs'!$B$14=26,14,7)))</f>
        <v/>
      </c>
      <c r="C1373" s="2" t="str">
        <f t="shared" si="65"/>
        <v/>
      </c>
      <c r="D1373" s="2" t="str">
        <f>IF(A1373="","",MIN('Loan Inputs'!$B$17,C1373+E1373)+H1373)</f>
        <v/>
      </c>
      <c r="E1373" s="2" t="str">
        <f>IF(A1373="","",C1373*'Loan Inputs'!$B$15)</f>
        <v/>
      </c>
      <c r="F1373" s="2" t="str">
        <f t="shared" si="63"/>
        <v/>
      </c>
      <c r="G1373" s="2" t="str">
        <f t="shared" si="64"/>
        <v/>
      </c>
      <c r="H1373" s="2" t="str">
        <f>IF(A1373="","",MIN(0,MAX(0,C1373+E1373-'Loan Inputs'!$B$17)))</f>
        <v/>
      </c>
    </row>
    <row r="1374" spans="1:8" ht="22" customHeight="1">
      <c r="A1374" s="1" t="str">
        <f>IF(AND('Loan Inputs'!$B$12,1368&lt;=IF('Loan Inputs'!$B$12,'Loan Inputs'!$B$7,0)*'Loan Inputs'!$B$14+0,ISNUMBER(G1373),G1373&gt;0),1368,"")</f>
        <v/>
      </c>
      <c r="B1374" s="4" t="str">
        <f>IF(A1374="","",IF('Loan Inputs'!$B$14=12,DATE(YEAR('Loan Inputs'!$B$8),MONTH('Loan Inputs'!$B$8)+A1374,DAY('Loan Inputs'!$B$8)),'Loan Inputs'!$B$8+A1374*IF('Loan Inputs'!$B$14=26,14,7)))</f>
        <v/>
      </c>
      <c r="C1374" s="2" t="str">
        <f t="shared" si="65"/>
        <v/>
      </c>
      <c r="D1374" s="2" t="str">
        <f>IF(A1374="","",MIN('Loan Inputs'!$B$17,C1374+E1374)+H1374)</f>
        <v/>
      </c>
      <c r="E1374" s="2" t="str">
        <f>IF(A1374="","",C1374*'Loan Inputs'!$B$15)</f>
        <v/>
      </c>
      <c r="F1374" s="2" t="str">
        <f t="shared" si="63"/>
        <v/>
      </c>
      <c r="G1374" s="2" t="str">
        <f t="shared" si="64"/>
        <v/>
      </c>
      <c r="H1374" s="2" t="str">
        <f>IF(A1374="","",MIN(0,MAX(0,C1374+E1374-'Loan Inputs'!$B$17)))</f>
        <v/>
      </c>
    </row>
    <row r="1375" spans="1:8" ht="22" customHeight="1">
      <c r="A1375" s="1" t="str">
        <f>IF(AND('Loan Inputs'!$B$12,1369&lt;=IF('Loan Inputs'!$B$12,'Loan Inputs'!$B$7,0)*'Loan Inputs'!$B$14+0,ISNUMBER(G1374),G1374&gt;0),1369,"")</f>
        <v/>
      </c>
      <c r="B1375" s="4" t="str">
        <f>IF(A1375="","",IF('Loan Inputs'!$B$14=12,DATE(YEAR('Loan Inputs'!$B$8),MONTH('Loan Inputs'!$B$8)+A1375,DAY('Loan Inputs'!$B$8)),'Loan Inputs'!$B$8+A1375*IF('Loan Inputs'!$B$14=26,14,7)))</f>
        <v/>
      </c>
      <c r="C1375" s="2" t="str">
        <f t="shared" si="65"/>
        <v/>
      </c>
      <c r="D1375" s="2" t="str">
        <f>IF(A1375="","",MIN('Loan Inputs'!$B$17,C1375+E1375)+H1375)</f>
        <v/>
      </c>
      <c r="E1375" s="2" t="str">
        <f>IF(A1375="","",C1375*'Loan Inputs'!$B$15)</f>
        <v/>
      </c>
      <c r="F1375" s="2" t="str">
        <f t="shared" si="63"/>
        <v/>
      </c>
      <c r="G1375" s="2" t="str">
        <f t="shared" si="64"/>
        <v/>
      </c>
      <c r="H1375" s="2" t="str">
        <f>IF(A1375="","",MIN(0,MAX(0,C1375+E1375-'Loan Inputs'!$B$17)))</f>
        <v/>
      </c>
    </row>
    <row r="1376" spans="1:8" ht="22" customHeight="1">
      <c r="A1376" s="1" t="str">
        <f>IF(AND('Loan Inputs'!$B$12,1370&lt;=IF('Loan Inputs'!$B$12,'Loan Inputs'!$B$7,0)*'Loan Inputs'!$B$14+0,ISNUMBER(G1375),G1375&gt;0),1370,"")</f>
        <v/>
      </c>
      <c r="B1376" s="4" t="str">
        <f>IF(A1376="","",IF('Loan Inputs'!$B$14=12,DATE(YEAR('Loan Inputs'!$B$8),MONTH('Loan Inputs'!$B$8)+A1376,DAY('Loan Inputs'!$B$8)),'Loan Inputs'!$B$8+A1376*IF('Loan Inputs'!$B$14=26,14,7)))</f>
        <v/>
      </c>
      <c r="C1376" s="2" t="str">
        <f t="shared" si="65"/>
        <v/>
      </c>
      <c r="D1376" s="2" t="str">
        <f>IF(A1376="","",MIN('Loan Inputs'!$B$17,C1376+E1376)+H1376)</f>
        <v/>
      </c>
      <c r="E1376" s="2" t="str">
        <f>IF(A1376="","",C1376*'Loan Inputs'!$B$15)</f>
        <v/>
      </c>
      <c r="F1376" s="2" t="str">
        <f t="shared" si="63"/>
        <v/>
      </c>
      <c r="G1376" s="2" t="str">
        <f t="shared" si="64"/>
        <v/>
      </c>
      <c r="H1376" s="2" t="str">
        <f>IF(A1376="","",MIN(0,MAX(0,C1376+E1376-'Loan Inputs'!$B$17)))</f>
        <v/>
      </c>
    </row>
    <row r="1377" spans="1:8" ht="22" customHeight="1">
      <c r="A1377" s="1" t="str">
        <f>IF(AND('Loan Inputs'!$B$12,1371&lt;=IF('Loan Inputs'!$B$12,'Loan Inputs'!$B$7,0)*'Loan Inputs'!$B$14+0,ISNUMBER(G1376),G1376&gt;0),1371,"")</f>
        <v/>
      </c>
      <c r="B1377" s="4" t="str">
        <f>IF(A1377="","",IF('Loan Inputs'!$B$14=12,DATE(YEAR('Loan Inputs'!$B$8),MONTH('Loan Inputs'!$B$8)+A1377,DAY('Loan Inputs'!$B$8)),'Loan Inputs'!$B$8+A1377*IF('Loan Inputs'!$B$14=26,14,7)))</f>
        <v/>
      </c>
      <c r="C1377" s="2" t="str">
        <f t="shared" si="65"/>
        <v/>
      </c>
      <c r="D1377" s="2" t="str">
        <f>IF(A1377="","",MIN('Loan Inputs'!$B$17,C1377+E1377)+H1377)</f>
        <v/>
      </c>
      <c r="E1377" s="2" t="str">
        <f>IF(A1377="","",C1377*'Loan Inputs'!$B$15)</f>
        <v/>
      </c>
      <c r="F1377" s="2" t="str">
        <f t="shared" si="63"/>
        <v/>
      </c>
      <c r="G1377" s="2" t="str">
        <f t="shared" si="64"/>
        <v/>
      </c>
      <c r="H1377" s="2" t="str">
        <f>IF(A1377="","",MIN(0,MAX(0,C1377+E1377-'Loan Inputs'!$B$17)))</f>
        <v/>
      </c>
    </row>
    <row r="1378" spans="1:8" ht="22" customHeight="1">
      <c r="A1378" s="1" t="str">
        <f>IF(AND('Loan Inputs'!$B$12,1372&lt;=IF('Loan Inputs'!$B$12,'Loan Inputs'!$B$7,0)*'Loan Inputs'!$B$14+0,ISNUMBER(G1377),G1377&gt;0),1372,"")</f>
        <v/>
      </c>
      <c r="B1378" s="4" t="str">
        <f>IF(A1378="","",IF('Loan Inputs'!$B$14=12,DATE(YEAR('Loan Inputs'!$B$8),MONTH('Loan Inputs'!$B$8)+A1378,DAY('Loan Inputs'!$B$8)),'Loan Inputs'!$B$8+A1378*IF('Loan Inputs'!$B$14=26,14,7)))</f>
        <v/>
      </c>
      <c r="C1378" s="2" t="str">
        <f t="shared" si="65"/>
        <v/>
      </c>
      <c r="D1378" s="2" t="str">
        <f>IF(A1378="","",MIN('Loan Inputs'!$B$17,C1378+E1378)+H1378)</f>
        <v/>
      </c>
      <c r="E1378" s="2" t="str">
        <f>IF(A1378="","",C1378*'Loan Inputs'!$B$15)</f>
        <v/>
      </c>
      <c r="F1378" s="2" t="str">
        <f t="shared" si="63"/>
        <v/>
      </c>
      <c r="G1378" s="2" t="str">
        <f t="shared" si="64"/>
        <v/>
      </c>
      <c r="H1378" s="2" t="str">
        <f>IF(A1378="","",MIN(0,MAX(0,C1378+E1378-'Loan Inputs'!$B$17)))</f>
        <v/>
      </c>
    </row>
    <row r="1379" spans="1:8" ht="22" customHeight="1">
      <c r="A1379" s="1" t="str">
        <f>IF(AND('Loan Inputs'!$B$12,1373&lt;=IF('Loan Inputs'!$B$12,'Loan Inputs'!$B$7,0)*'Loan Inputs'!$B$14+0,ISNUMBER(G1378),G1378&gt;0),1373,"")</f>
        <v/>
      </c>
      <c r="B1379" s="4" t="str">
        <f>IF(A1379="","",IF('Loan Inputs'!$B$14=12,DATE(YEAR('Loan Inputs'!$B$8),MONTH('Loan Inputs'!$B$8)+A1379,DAY('Loan Inputs'!$B$8)),'Loan Inputs'!$B$8+A1379*IF('Loan Inputs'!$B$14=26,14,7)))</f>
        <v/>
      </c>
      <c r="C1379" s="2" t="str">
        <f t="shared" si="65"/>
        <v/>
      </c>
      <c r="D1379" s="2" t="str">
        <f>IF(A1379="","",MIN('Loan Inputs'!$B$17,C1379+E1379)+H1379)</f>
        <v/>
      </c>
      <c r="E1379" s="2" t="str">
        <f>IF(A1379="","",C1379*'Loan Inputs'!$B$15)</f>
        <v/>
      </c>
      <c r="F1379" s="2" t="str">
        <f t="shared" si="63"/>
        <v/>
      </c>
      <c r="G1379" s="2" t="str">
        <f t="shared" si="64"/>
        <v/>
      </c>
      <c r="H1379" s="2" t="str">
        <f>IF(A1379="","",MIN(0,MAX(0,C1379+E1379-'Loan Inputs'!$B$17)))</f>
        <v/>
      </c>
    </row>
    <row r="1380" spans="1:8" ht="22" customHeight="1">
      <c r="A1380" s="1" t="str">
        <f>IF(AND('Loan Inputs'!$B$12,1374&lt;=IF('Loan Inputs'!$B$12,'Loan Inputs'!$B$7,0)*'Loan Inputs'!$B$14+0,ISNUMBER(G1379),G1379&gt;0),1374,"")</f>
        <v/>
      </c>
      <c r="B1380" s="4" t="str">
        <f>IF(A1380="","",IF('Loan Inputs'!$B$14=12,DATE(YEAR('Loan Inputs'!$B$8),MONTH('Loan Inputs'!$B$8)+A1380,DAY('Loan Inputs'!$B$8)),'Loan Inputs'!$B$8+A1380*IF('Loan Inputs'!$B$14=26,14,7)))</f>
        <v/>
      </c>
      <c r="C1380" s="2" t="str">
        <f t="shared" si="65"/>
        <v/>
      </c>
      <c r="D1380" s="2" t="str">
        <f>IF(A1380="","",MIN('Loan Inputs'!$B$17,C1380+E1380)+H1380)</f>
        <v/>
      </c>
      <c r="E1380" s="2" t="str">
        <f>IF(A1380="","",C1380*'Loan Inputs'!$B$15)</f>
        <v/>
      </c>
      <c r="F1380" s="2" t="str">
        <f t="shared" si="63"/>
        <v/>
      </c>
      <c r="G1380" s="2" t="str">
        <f t="shared" si="64"/>
        <v/>
      </c>
      <c r="H1380" s="2" t="str">
        <f>IF(A1380="","",MIN(0,MAX(0,C1380+E1380-'Loan Inputs'!$B$17)))</f>
        <v/>
      </c>
    </row>
    <row r="1381" spans="1:8" ht="22" customHeight="1">
      <c r="A1381" s="1" t="str">
        <f>IF(AND('Loan Inputs'!$B$12,1375&lt;=IF('Loan Inputs'!$B$12,'Loan Inputs'!$B$7,0)*'Loan Inputs'!$B$14+0,ISNUMBER(G1380),G1380&gt;0),1375,"")</f>
        <v/>
      </c>
      <c r="B1381" s="4" t="str">
        <f>IF(A1381="","",IF('Loan Inputs'!$B$14=12,DATE(YEAR('Loan Inputs'!$B$8),MONTH('Loan Inputs'!$B$8)+A1381,DAY('Loan Inputs'!$B$8)),'Loan Inputs'!$B$8+A1381*IF('Loan Inputs'!$B$14=26,14,7)))</f>
        <v/>
      </c>
      <c r="C1381" s="2" t="str">
        <f t="shared" si="65"/>
        <v/>
      </c>
      <c r="D1381" s="2" t="str">
        <f>IF(A1381="","",MIN('Loan Inputs'!$B$17,C1381+E1381)+H1381)</f>
        <v/>
      </c>
      <c r="E1381" s="2" t="str">
        <f>IF(A1381="","",C1381*'Loan Inputs'!$B$15)</f>
        <v/>
      </c>
      <c r="F1381" s="2" t="str">
        <f t="shared" si="63"/>
        <v/>
      </c>
      <c r="G1381" s="2" t="str">
        <f t="shared" si="64"/>
        <v/>
      </c>
      <c r="H1381" s="2" t="str">
        <f>IF(A1381="","",MIN(0,MAX(0,C1381+E1381-'Loan Inputs'!$B$17)))</f>
        <v/>
      </c>
    </row>
    <row r="1382" spans="1:8" ht="22" customHeight="1">
      <c r="A1382" s="1" t="str">
        <f>IF(AND('Loan Inputs'!$B$12,1376&lt;=IF('Loan Inputs'!$B$12,'Loan Inputs'!$B$7,0)*'Loan Inputs'!$B$14+0,ISNUMBER(G1381),G1381&gt;0),1376,"")</f>
        <v/>
      </c>
      <c r="B1382" s="4" t="str">
        <f>IF(A1382="","",IF('Loan Inputs'!$B$14=12,DATE(YEAR('Loan Inputs'!$B$8),MONTH('Loan Inputs'!$B$8)+A1382,DAY('Loan Inputs'!$B$8)),'Loan Inputs'!$B$8+A1382*IF('Loan Inputs'!$B$14=26,14,7)))</f>
        <v/>
      </c>
      <c r="C1382" s="2" t="str">
        <f t="shared" si="65"/>
        <v/>
      </c>
      <c r="D1382" s="2" t="str">
        <f>IF(A1382="","",MIN('Loan Inputs'!$B$17,C1382+E1382)+H1382)</f>
        <v/>
      </c>
      <c r="E1382" s="2" t="str">
        <f>IF(A1382="","",C1382*'Loan Inputs'!$B$15)</f>
        <v/>
      </c>
      <c r="F1382" s="2" t="str">
        <f t="shared" si="63"/>
        <v/>
      </c>
      <c r="G1382" s="2" t="str">
        <f t="shared" si="64"/>
        <v/>
      </c>
      <c r="H1382" s="2" t="str">
        <f>IF(A1382="","",MIN(0,MAX(0,C1382+E1382-'Loan Inputs'!$B$17)))</f>
        <v/>
      </c>
    </row>
    <row r="1383" spans="1:8" ht="22" customHeight="1">
      <c r="A1383" s="1" t="str">
        <f>IF(AND('Loan Inputs'!$B$12,1377&lt;=IF('Loan Inputs'!$B$12,'Loan Inputs'!$B$7,0)*'Loan Inputs'!$B$14+0,ISNUMBER(G1382),G1382&gt;0),1377,"")</f>
        <v/>
      </c>
      <c r="B1383" s="4" t="str">
        <f>IF(A1383="","",IF('Loan Inputs'!$B$14=12,DATE(YEAR('Loan Inputs'!$B$8),MONTH('Loan Inputs'!$B$8)+A1383,DAY('Loan Inputs'!$B$8)),'Loan Inputs'!$B$8+A1383*IF('Loan Inputs'!$B$14=26,14,7)))</f>
        <v/>
      </c>
      <c r="C1383" s="2" t="str">
        <f t="shared" si="65"/>
        <v/>
      </c>
      <c r="D1383" s="2" t="str">
        <f>IF(A1383="","",MIN('Loan Inputs'!$B$17,C1383+E1383)+H1383)</f>
        <v/>
      </c>
      <c r="E1383" s="2" t="str">
        <f>IF(A1383="","",C1383*'Loan Inputs'!$B$15)</f>
        <v/>
      </c>
      <c r="F1383" s="2" t="str">
        <f t="shared" si="63"/>
        <v/>
      </c>
      <c r="G1383" s="2" t="str">
        <f t="shared" si="64"/>
        <v/>
      </c>
      <c r="H1383" s="2" t="str">
        <f>IF(A1383="","",MIN(0,MAX(0,C1383+E1383-'Loan Inputs'!$B$17)))</f>
        <v/>
      </c>
    </row>
    <row r="1384" spans="1:8" ht="22" customHeight="1">
      <c r="A1384" s="1" t="str">
        <f>IF(AND('Loan Inputs'!$B$12,1378&lt;=IF('Loan Inputs'!$B$12,'Loan Inputs'!$B$7,0)*'Loan Inputs'!$B$14+0,ISNUMBER(G1383),G1383&gt;0),1378,"")</f>
        <v/>
      </c>
      <c r="B1384" s="4" t="str">
        <f>IF(A1384="","",IF('Loan Inputs'!$B$14=12,DATE(YEAR('Loan Inputs'!$B$8),MONTH('Loan Inputs'!$B$8)+A1384,DAY('Loan Inputs'!$B$8)),'Loan Inputs'!$B$8+A1384*IF('Loan Inputs'!$B$14=26,14,7)))</f>
        <v/>
      </c>
      <c r="C1384" s="2" t="str">
        <f t="shared" si="65"/>
        <v/>
      </c>
      <c r="D1384" s="2" t="str">
        <f>IF(A1384="","",MIN('Loan Inputs'!$B$17,C1384+E1384)+H1384)</f>
        <v/>
      </c>
      <c r="E1384" s="2" t="str">
        <f>IF(A1384="","",C1384*'Loan Inputs'!$B$15)</f>
        <v/>
      </c>
      <c r="F1384" s="2" t="str">
        <f t="shared" si="63"/>
        <v/>
      </c>
      <c r="G1384" s="2" t="str">
        <f t="shared" si="64"/>
        <v/>
      </c>
      <c r="H1384" s="2" t="str">
        <f>IF(A1384="","",MIN(0,MAX(0,C1384+E1384-'Loan Inputs'!$B$17)))</f>
        <v/>
      </c>
    </row>
    <row r="1385" spans="1:8" ht="22" customHeight="1">
      <c r="A1385" s="1" t="str">
        <f>IF(AND('Loan Inputs'!$B$12,1379&lt;=IF('Loan Inputs'!$B$12,'Loan Inputs'!$B$7,0)*'Loan Inputs'!$B$14+0,ISNUMBER(G1384),G1384&gt;0),1379,"")</f>
        <v/>
      </c>
      <c r="B1385" s="4" t="str">
        <f>IF(A1385="","",IF('Loan Inputs'!$B$14=12,DATE(YEAR('Loan Inputs'!$B$8),MONTH('Loan Inputs'!$B$8)+A1385,DAY('Loan Inputs'!$B$8)),'Loan Inputs'!$B$8+A1385*IF('Loan Inputs'!$B$14=26,14,7)))</f>
        <v/>
      </c>
      <c r="C1385" s="2" t="str">
        <f t="shared" si="65"/>
        <v/>
      </c>
      <c r="D1385" s="2" t="str">
        <f>IF(A1385="","",MIN('Loan Inputs'!$B$17,C1385+E1385)+H1385)</f>
        <v/>
      </c>
      <c r="E1385" s="2" t="str">
        <f>IF(A1385="","",C1385*'Loan Inputs'!$B$15)</f>
        <v/>
      </c>
      <c r="F1385" s="2" t="str">
        <f t="shared" si="63"/>
        <v/>
      </c>
      <c r="G1385" s="2" t="str">
        <f t="shared" si="64"/>
        <v/>
      </c>
      <c r="H1385" s="2" t="str">
        <f>IF(A1385="","",MIN(0,MAX(0,C1385+E1385-'Loan Inputs'!$B$17)))</f>
        <v/>
      </c>
    </row>
    <row r="1386" spans="1:8" ht="22" customHeight="1">
      <c r="A1386" s="1" t="str">
        <f>IF(AND('Loan Inputs'!$B$12,1380&lt;=IF('Loan Inputs'!$B$12,'Loan Inputs'!$B$7,0)*'Loan Inputs'!$B$14+0,ISNUMBER(G1385),G1385&gt;0),1380,"")</f>
        <v/>
      </c>
      <c r="B1386" s="4" t="str">
        <f>IF(A1386="","",IF('Loan Inputs'!$B$14=12,DATE(YEAR('Loan Inputs'!$B$8),MONTH('Loan Inputs'!$B$8)+A1386,DAY('Loan Inputs'!$B$8)),'Loan Inputs'!$B$8+A1386*IF('Loan Inputs'!$B$14=26,14,7)))</f>
        <v/>
      </c>
      <c r="C1386" s="2" t="str">
        <f t="shared" si="65"/>
        <v/>
      </c>
      <c r="D1386" s="2" t="str">
        <f>IF(A1386="","",MIN('Loan Inputs'!$B$17,C1386+E1386)+H1386)</f>
        <v/>
      </c>
      <c r="E1386" s="2" t="str">
        <f>IF(A1386="","",C1386*'Loan Inputs'!$B$15)</f>
        <v/>
      </c>
      <c r="F1386" s="2" t="str">
        <f t="shared" si="63"/>
        <v/>
      </c>
      <c r="G1386" s="2" t="str">
        <f t="shared" si="64"/>
        <v/>
      </c>
      <c r="H1386" s="2" t="str">
        <f>IF(A1386="","",MIN(0,MAX(0,C1386+E1386-'Loan Inputs'!$B$17)))</f>
        <v/>
      </c>
    </row>
    <row r="1387" spans="1:8" ht="22" customHeight="1">
      <c r="A1387" s="1" t="str">
        <f>IF(AND('Loan Inputs'!$B$12,1381&lt;=IF('Loan Inputs'!$B$12,'Loan Inputs'!$B$7,0)*'Loan Inputs'!$B$14+0,ISNUMBER(G1386),G1386&gt;0),1381,"")</f>
        <v/>
      </c>
      <c r="B1387" s="4" t="str">
        <f>IF(A1387="","",IF('Loan Inputs'!$B$14=12,DATE(YEAR('Loan Inputs'!$B$8),MONTH('Loan Inputs'!$B$8)+A1387,DAY('Loan Inputs'!$B$8)),'Loan Inputs'!$B$8+A1387*IF('Loan Inputs'!$B$14=26,14,7)))</f>
        <v/>
      </c>
      <c r="C1387" s="2" t="str">
        <f t="shared" si="65"/>
        <v/>
      </c>
      <c r="D1387" s="2" t="str">
        <f>IF(A1387="","",MIN('Loan Inputs'!$B$17,C1387+E1387)+H1387)</f>
        <v/>
      </c>
      <c r="E1387" s="2" t="str">
        <f>IF(A1387="","",C1387*'Loan Inputs'!$B$15)</f>
        <v/>
      </c>
      <c r="F1387" s="2" t="str">
        <f t="shared" si="63"/>
        <v/>
      </c>
      <c r="G1387" s="2" t="str">
        <f t="shared" si="64"/>
        <v/>
      </c>
      <c r="H1387" s="2" t="str">
        <f>IF(A1387="","",MIN(0,MAX(0,C1387+E1387-'Loan Inputs'!$B$17)))</f>
        <v/>
      </c>
    </row>
    <row r="1388" spans="1:8" ht="22" customHeight="1">
      <c r="A1388" s="1" t="str">
        <f>IF(AND('Loan Inputs'!$B$12,1382&lt;=IF('Loan Inputs'!$B$12,'Loan Inputs'!$B$7,0)*'Loan Inputs'!$B$14+0,ISNUMBER(G1387),G1387&gt;0),1382,"")</f>
        <v/>
      </c>
      <c r="B1388" s="4" t="str">
        <f>IF(A1388="","",IF('Loan Inputs'!$B$14=12,DATE(YEAR('Loan Inputs'!$B$8),MONTH('Loan Inputs'!$B$8)+A1388,DAY('Loan Inputs'!$B$8)),'Loan Inputs'!$B$8+A1388*IF('Loan Inputs'!$B$14=26,14,7)))</f>
        <v/>
      </c>
      <c r="C1388" s="2" t="str">
        <f t="shared" si="65"/>
        <v/>
      </c>
      <c r="D1388" s="2" t="str">
        <f>IF(A1388="","",MIN('Loan Inputs'!$B$17,C1388+E1388)+H1388)</f>
        <v/>
      </c>
      <c r="E1388" s="2" t="str">
        <f>IF(A1388="","",C1388*'Loan Inputs'!$B$15)</f>
        <v/>
      </c>
      <c r="F1388" s="2" t="str">
        <f t="shared" si="63"/>
        <v/>
      </c>
      <c r="G1388" s="2" t="str">
        <f t="shared" si="64"/>
        <v/>
      </c>
      <c r="H1388" s="2" t="str">
        <f>IF(A1388="","",MIN(0,MAX(0,C1388+E1388-'Loan Inputs'!$B$17)))</f>
        <v/>
      </c>
    </row>
    <row r="1389" spans="1:8" ht="22" customHeight="1">
      <c r="A1389" s="1" t="str">
        <f>IF(AND('Loan Inputs'!$B$12,1383&lt;=IF('Loan Inputs'!$B$12,'Loan Inputs'!$B$7,0)*'Loan Inputs'!$B$14+0,ISNUMBER(G1388),G1388&gt;0),1383,"")</f>
        <v/>
      </c>
      <c r="B1389" s="4" t="str">
        <f>IF(A1389="","",IF('Loan Inputs'!$B$14=12,DATE(YEAR('Loan Inputs'!$B$8),MONTH('Loan Inputs'!$B$8)+A1389,DAY('Loan Inputs'!$B$8)),'Loan Inputs'!$B$8+A1389*IF('Loan Inputs'!$B$14=26,14,7)))</f>
        <v/>
      </c>
      <c r="C1389" s="2" t="str">
        <f t="shared" si="65"/>
        <v/>
      </c>
      <c r="D1389" s="2" t="str">
        <f>IF(A1389="","",MIN('Loan Inputs'!$B$17,C1389+E1389)+H1389)</f>
        <v/>
      </c>
      <c r="E1389" s="2" t="str">
        <f>IF(A1389="","",C1389*'Loan Inputs'!$B$15)</f>
        <v/>
      </c>
      <c r="F1389" s="2" t="str">
        <f t="shared" si="63"/>
        <v/>
      </c>
      <c r="G1389" s="2" t="str">
        <f t="shared" si="64"/>
        <v/>
      </c>
      <c r="H1389" s="2" t="str">
        <f>IF(A1389="","",MIN(0,MAX(0,C1389+E1389-'Loan Inputs'!$B$17)))</f>
        <v/>
      </c>
    </row>
    <row r="1390" spans="1:8" ht="22" customHeight="1">
      <c r="A1390" s="1" t="str">
        <f>IF(AND('Loan Inputs'!$B$12,1384&lt;=IF('Loan Inputs'!$B$12,'Loan Inputs'!$B$7,0)*'Loan Inputs'!$B$14+0,ISNUMBER(G1389),G1389&gt;0),1384,"")</f>
        <v/>
      </c>
      <c r="B1390" s="4" t="str">
        <f>IF(A1390="","",IF('Loan Inputs'!$B$14=12,DATE(YEAR('Loan Inputs'!$B$8),MONTH('Loan Inputs'!$B$8)+A1390,DAY('Loan Inputs'!$B$8)),'Loan Inputs'!$B$8+A1390*IF('Loan Inputs'!$B$14=26,14,7)))</f>
        <v/>
      </c>
      <c r="C1390" s="2" t="str">
        <f t="shared" si="65"/>
        <v/>
      </c>
      <c r="D1390" s="2" t="str">
        <f>IF(A1390="","",MIN('Loan Inputs'!$B$17,C1390+E1390)+H1390)</f>
        <v/>
      </c>
      <c r="E1390" s="2" t="str">
        <f>IF(A1390="","",C1390*'Loan Inputs'!$B$15)</f>
        <v/>
      </c>
      <c r="F1390" s="2" t="str">
        <f t="shared" si="63"/>
        <v/>
      </c>
      <c r="G1390" s="2" t="str">
        <f t="shared" si="64"/>
        <v/>
      </c>
      <c r="H1390" s="2" t="str">
        <f>IF(A1390="","",MIN(0,MAX(0,C1390+E1390-'Loan Inputs'!$B$17)))</f>
        <v/>
      </c>
    </row>
    <row r="1391" spans="1:8" ht="22" customHeight="1">
      <c r="A1391" s="1" t="str">
        <f>IF(AND('Loan Inputs'!$B$12,1385&lt;=IF('Loan Inputs'!$B$12,'Loan Inputs'!$B$7,0)*'Loan Inputs'!$B$14+0,ISNUMBER(G1390),G1390&gt;0),1385,"")</f>
        <v/>
      </c>
      <c r="B1391" s="4" t="str">
        <f>IF(A1391="","",IF('Loan Inputs'!$B$14=12,DATE(YEAR('Loan Inputs'!$B$8),MONTH('Loan Inputs'!$B$8)+A1391,DAY('Loan Inputs'!$B$8)),'Loan Inputs'!$B$8+A1391*IF('Loan Inputs'!$B$14=26,14,7)))</f>
        <v/>
      </c>
      <c r="C1391" s="2" t="str">
        <f t="shared" si="65"/>
        <v/>
      </c>
      <c r="D1391" s="2" t="str">
        <f>IF(A1391="","",MIN('Loan Inputs'!$B$17,C1391+E1391)+H1391)</f>
        <v/>
      </c>
      <c r="E1391" s="2" t="str">
        <f>IF(A1391="","",C1391*'Loan Inputs'!$B$15)</f>
        <v/>
      </c>
      <c r="F1391" s="2" t="str">
        <f t="shared" si="63"/>
        <v/>
      </c>
      <c r="G1391" s="2" t="str">
        <f t="shared" si="64"/>
        <v/>
      </c>
      <c r="H1391" s="2" t="str">
        <f>IF(A1391="","",MIN(0,MAX(0,C1391+E1391-'Loan Inputs'!$B$17)))</f>
        <v/>
      </c>
    </row>
    <row r="1392" spans="1:8" ht="22" customHeight="1">
      <c r="A1392" s="1" t="str">
        <f>IF(AND('Loan Inputs'!$B$12,1386&lt;=IF('Loan Inputs'!$B$12,'Loan Inputs'!$B$7,0)*'Loan Inputs'!$B$14+0,ISNUMBER(G1391),G1391&gt;0),1386,"")</f>
        <v/>
      </c>
      <c r="B1392" s="4" t="str">
        <f>IF(A1392="","",IF('Loan Inputs'!$B$14=12,DATE(YEAR('Loan Inputs'!$B$8),MONTH('Loan Inputs'!$B$8)+A1392,DAY('Loan Inputs'!$B$8)),'Loan Inputs'!$B$8+A1392*IF('Loan Inputs'!$B$14=26,14,7)))</f>
        <v/>
      </c>
      <c r="C1392" s="2" t="str">
        <f t="shared" si="65"/>
        <v/>
      </c>
      <c r="D1392" s="2" t="str">
        <f>IF(A1392="","",MIN('Loan Inputs'!$B$17,C1392+E1392)+H1392)</f>
        <v/>
      </c>
      <c r="E1392" s="2" t="str">
        <f>IF(A1392="","",C1392*'Loan Inputs'!$B$15)</f>
        <v/>
      </c>
      <c r="F1392" s="2" t="str">
        <f t="shared" si="63"/>
        <v/>
      </c>
      <c r="G1392" s="2" t="str">
        <f t="shared" si="64"/>
        <v/>
      </c>
      <c r="H1392" s="2" t="str">
        <f>IF(A1392="","",MIN(0,MAX(0,C1392+E1392-'Loan Inputs'!$B$17)))</f>
        <v/>
      </c>
    </row>
    <row r="1393" spans="1:8" ht="22" customHeight="1">
      <c r="A1393" s="1" t="str">
        <f>IF(AND('Loan Inputs'!$B$12,1387&lt;=IF('Loan Inputs'!$B$12,'Loan Inputs'!$B$7,0)*'Loan Inputs'!$B$14+0,ISNUMBER(G1392),G1392&gt;0),1387,"")</f>
        <v/>
      </c>
      <c r="B1393" s="4" t="str">
        <f>IF(A1393="","",IF('Loan Inputs'!$B$14=12,DATE(YEAR('Loan Inputs'!$B$8),MONTH('Loan Inputs'!$B$8)+A1393,DAY('Loan Inputs'!$B$8)),'Loan Inputs'!$B$8+A1393*IF('Loan Inputs'!$B$14=26,14,7)))</f>
        <v/>
      </c>
      <c r="C1393" s="2" t="str">
        <f t="shared" si="65"/>
        <v/>
      </c>
      <c r="D1393" s="2" t="str">
        <f>IF(A1393="","",MIN('Loan Inputs'!$B$17,C1393+E1393)+H1393)</f>
        <v/>
      </c>
      <c r="E1393" s="2" t="str">
        <f>IF(A1393="","",C1393*'Loan Inputs'!$B$15)</f>
        <v/>
      </c>
      <c r="F1393" s="2" t="str">
        <f t="shared" si="63"/>
        <v/>
      </c>
      <c r="G1393" s="2" t="str">
        <f t="shared" si="64"/>
        <v/>
      </c>
      <c r="H1393" s="2" t="str">
        <f>IF(A1393="","",MIN(0,MAX(0,C1393+E1393-'Loan Inputs'!$B$17)))</f>
        <v/>
      </c>
    </row>
    <row r="1394" spans="1:8" ht="22" customHeight="1">
      <c r="A1394" s="1" t="str">
        <f>IF(AND('Loan Inputs'!$B$12,1388&lt;=IF('Loan Inputs'!$B$12,'Loan Inputs'!$B$7,0)*'Loan Inputs'!$B$14+0,ISNUMBER(G1393),G1393&gt;0),1388,"")</f>
        <v/>
      </c>
      <c r="B1394" s="4" t="str">
        <f>IF(A1394="","",IF('Loan Inputs'!$B$14=12,DATE(YEAR('Loan Inputs'!$B$8),MONTH('Loan Inputs'!$B$8)+A1394,DAY('Loan Inputs'!$B$8)),'Loan Inputs'!$B$8+A1394*IF('Loan Inputs'!$B$14=26,14,7)))</f>
        <v/>
      </c>
      <c r="C1394" s="2" t="str">
        <f t="shared" si="65"/>
        <v/>
      </c>
      <c r="D1394" s="2" t="str">
        <f>IF(A1394="","",MIN('Loan Inputs'!$B$17,C1394+E1394)+H1394)</f>
        <v/>
      </c>
      <c r="E1394" s="2" t="str">
        <f>IF(A1394="","",C1394*'Loan Inputs'!$B$15)</f>
        <v/>
      </c>
      <c r="F1394" s="2" t="str">
        <f t="shared" si="63"/>
        <v/>
      </c>
      <c r="G1394" s="2" t="str">
        <f t="shared" si="64"/>
        <v/>
      </c>
      <c r="H1394" s="2" t="str">
        <f>IF(A1394="","",MIN(0,MAX(0,C1394+E1394-'Loan Inputs'!$B$17)))</f>
        <v/>
      </c>
    </row>
    <row r="1395" spans="1:8" ht="22" customHeight="1">
      <c r="A1395" s="1" t="str">
        <f>IF(AND('Loan Inputs'!$B$12,1389&lt;=IF('Loan Inputs'!$B$12,'Loan Inputs'!$B$7,0)*'Loan Inputs'!$B$14+0,ISNUMBER(G1394),G1394&gt;0),1389,"")</f>
        <v/>
      </c>
      <c r="B1395" s="4" t="str">
        <f>IF(A1395="","",IF('Loan Inputs'!$B$14=12,DATE(YEAR('Loan Inputs'!$B$8),MONTH('Loan Inputs'!$B$8)+A1395,DAY('Loan Inputs'!$B$8)),'Loan Inputs'!$B$8+A1395*IF('Loan Inputs'!$B$14=26,14,7)))</f>
        <v/>
      </c>
      <c r="C1395" s="2" t="str">
        <f t="shared" si="65"/>
        <v/>
      </c>
      <c r="D1395" s="2" t="str">
        <f>IF(A1395="","",MIN('Loan Inputs'!$B$17,C1395+E1395)+H1395)</f>
        <v/>
      </c>
      <c r="E1395" s="2" t="str">
        <f>IF(A1395="","",C1395*'Loan Inputs'!$B$15)</f>
        <v/>
      </c>
      <c r="F1395" s="2" t="str">
        <f t="shared" si="63"/>
        <v/>
      </c>
      <c r="G1395" s="2" t="str">
        <f t="shared" si="64"/>
        <v/>
      </c>
      <c r="H1395" s="2" t="str">
        <f>IF(A1395="","",MIN(0,MAX(0,C1395+E1395-'Loan Inputs'!$B$17)))</f>
        <v/>
      </c>
    </row>
    <row r="1396" spans="1:8" ht="22" customHeight="1">
      <c r="A1396" s="1" t="str">
        <f>IF(AND('Loan Inputs'!$B$12,1390&lt;=IF('Loan Inputs'!$B$12,'Loan Inputs'!$B$7,0)*'Loan Inputs'!$B$14+0,ISNUMBER(G1395),G1395&gt;0),1390,"")</f>
        <v/>
      </c>
      <c r="B1396" s="4" t="str">
        <f>IF(A1396="","",IF('Loan Inputs'!$B$14=12,DATE(YEAR('Loan Inputs'!$B$8),MONTH('Loan Inputs'!$B$8)+A1396,DAY('Loan Inputs'!$B$8)),'Loan Inputs'!$B$8+A1396*IF('Loan Inputs'!$B$14=26,14,7)))</f>
        <v/>
      </c>
      <c r="C1396" s="2" t="str">
        <f t="shared" si="65"/>
        <v/>
      </c>
      <c r="D1396" s="2" t="str">
        <f>IF(A1396="","",MIN('Loan Inputs'!$B$17,C1396+E1396)+H1396)</f>
        <v/>
      </c>
      <c r="E1396" s="2" t="str">
        <f>IF(A1396="","",C1396*'Loan Inputs'!$B$15)</f>
        <v/>
      </c>
      <c r="F1396" s="2" t="str">
        <f t="shared" si="63"/>
        <v/>
      </c>
      <c r="G1396" s="2" t="str">
        <f t="shared" si="64"/>
        <v/>
      </c>
      <c r="H1396" s="2" t="str">
        <f>IF(A1396="","",MIN(0,MAX(0,C1396+E1396-'Loan Inputs'!$B$17)))</f>
        <v/>
      </c>
    </row>
    <row r="1397" spans="1:8" ht="22" customHeight="1">
      <c r="A1397" s="1" t="str">
        <f>IF(AND('Loan Inputs'!$B$12,1391&lt;=IF('Loan Inputs'!$B$12,'Loan Inputs'!$B$7,0)*'Loan Inputs'!$B$14+0,ISNUMBER(G1396),G1396&gt;0),1391,"")</f>
        <v/>
      </c>
      <c r="B1397" s="4" t="str">
        <f>IF(A1397="","",IF('Loan Inputs'!$B$14=12,DATE(YEAR('Loan Inputs'!$B$8),MONTH('Loan Inputs'!$B$8)+A1397,DAY('Loan Inputs'!$B$8)),'Loan Inputs'!$B$8+A1397*IF('Loan Inputs'!$B$14=26,14,7)))</f>
        <v/>
      </c>
      <c r="C1397" s="2" t="str">
        <f t="shared" si="65"/>
        <v/>
      </c>
      <c r="D1397" s="2" t="str">
        <f>IF(A1397="","",MIN('Loan Inputs'!$B$17,C1397+E1397)+H1397)</f>
        <v/>
      </c>
      <c r="E1397" s="2" t="str">
        <f>IF(A1397="","",C1397*'Loan Inputs'!$B$15)</f>
        <v/>
      </c>
      <c r="F1397" s="2" t="str">
        <f t="shared" si="63"/>
        <v/>
      </c>
      <c r="G1397" s="2" t="str">
        <f t="shared" si="64"/>
        <v/>
      </c>
      <c r="H1397" s="2" t="str">
        <f>IF(A1397="","",MIN(0,MAX(0,C1397+E1397-'Loan Inputs'!$B$17)))</f>
        <v/>
      </c>
    </row>
    <row r="1398" spans="1:8" ht="22" customHeight="1">
      <c r="A1398" s="1" t="str">
        <f>IF(AND('Loan Inputs'!$B$12,1392&lt;=IF('Loan Inputs'!$B$12,'Loan Inputs'!$B$7,0)*'Loan Inputs'!$B$14+0,ISNUMBER(G1397),G1397&gt;0),1392,"")</f>
        <v/>
      </c>
      <c r="B1398" s="4" t="str">
        <f>IF(A1398="","",IF('Loan Inputs'!$B$14=12,DATE(YEAR('Loan Inputs'!$B$8),MONTH('Loan Inputs'!$B$8)+A1398,DAY('Loan Inputs'!$B$8)),'Loan Inputs'!$B$8+A1398*IF('Loan Inputs'!$B$14=26,14,7)))</f>
        <v/>
      </c>
      <c r="C1398" s="2" t="str">
        <f t="shared" si="65"/>
        <v/>
      </c>
      <c r="D1398" s="2" t="str">
        <f>IF(A1398="","",MIN('Loan Inputs'!$B$17,C1398+E1398)+H1398)</f>
        <v/>
      </c>
      <c r="E1398" s="2" t="str">
        <f>IF(A1398="","",C1398*'Loan Inputs'!$B$15)</f>
        <v/>
      </c>
      <c r="F1398" s="2" t="str">
        <f t="shared" si="63"/>
        <v/>
      </c>
      <c r="G1398" s="2" t="str">
        <f t="shared" si="64"/>
        <v/>
      </c>
      <c r="H1398" s="2" t="str">
        <f>IF(A1398="","",MIN(0,MAX(0,C1398+E1398-'Loan Inputs'!$B$17)))</f>
        <v/>
      </c>
    </row>
    <row r="1399" spans="1:8" ht="22" customHeight="1">
      <c r="A1399" s="1" t="str">
        <f>IF(AND('Loan Inputs'!$B$12,1393&lt;=IF('Loan Inputs'!$B$12,'Loan Inputs'!$B$7,0)*'Loan Inputs'!$B$14+0,ISNUMBER(G1398),G1398&gt;0),1393,"")</f>
        <v/>
      </c>
      <c r="B1399" s="4" t="str">
        <f>IF(A1399="","",IF('Loan Inputs'!$B$14=12,DATE(YEAR('Loan Inputs'!$B$8),MONTH('Loan Inputs'!$B$8)+A1399,DAY('Loan Inputs'!$B$8)),'Loan Inputs'!$B$8+A1399*IF('Loan Inputs'!$B$14=26,14,7)))</f>
        <v/>
      </c>
      <c r="C1399" s="2" t="str">
        <f t="shared" si="65"/>
        <v/>
      </c>
      <c r="D1399" s="2" t="str">
        <f>IF(A1399="","",MIN('Loan Inputs'!$B$17,C1399+E1399)+H1399)</f>
        <v/>
      </c>
      <c r="E1399" s="2" t="str">
        <f>IF(A1399="","",C1399*'Loan Inputs'!$B$15)</f>
        <v/>
      </c>
      <c r="F1399" s="2" t="str">
        <f t="shared" si="63"/>
        <v/>
      </c>
      <c r="G1399" s="2" t="str">
        <f t="shared" si="64"/>
        <v/>
      </c>
      <c r="H1399" s="2" t="str">
        <f>IF(A1399="","",MIN(0,MAX(0,C1399+E1399-'Loan Inputs'!$B$17)))</f>
        <v/>
      </c>
    </row>
    <row r="1400" spans="1:8" ht="22" customHeight="1">
      <c r="A1400" s="1" t="str">
        <f>IF(AND('Loan Inputs'!$B$12,1394&lt;=IF('Loan Inputs'!$B$12,'Loan Inputs'!$B$7,0)*'Loan Inputs'!$B$14+0,ISNUMBER(G1399),G1399&gt;0),1394,"")</f>
        <v/>
      </c>
      <c r="B1400" s="4" t="str">
        <f>IF(A1400="","",IF('Loan Inputs'!$B$14=12,DATE(YEAR('Loan Inputs'!$B$8),MONTH('Loan Inputs'!$B$8)+A1400,DAY('Loan Inputs'!$B$8)),'Loan Inputs'!$B$8+A1400*IF('Loan Inputs'!$B$14=26,14,7)))</f>
        <v/>
      </c>
      <c r="C1400" s="2" t="str">
        <f t="shared" si="65"/>
        <v/>
      </c>
      <c r="D1400" s="2" t="str">
        <f>IF(A1400="","",MIN('Loan Inputs'!$B$17,C1400+E1400)+H1400)</f>
        <v/>
      </c>
      <c r="E1400" s="2" t="str">
        <f>IF(A1400="","",C1400*'Loan Inputs'!$B$15)</f>
        <v/>
      </c>
      <c r="F1400" s="2" t="str">
        <f t="shared" si="63"/>
        <v/>
      </c>
      <c r="G1400" s="2" t="str">
        <f t="shared" si="64"/>
        <v/>
      </c>
      <c r="H1400" s="2" t="str">
        <f>IF(A1400="","",MIN(0,MAX(0,C1400+E1400-'Loan Inputs'!$B$17)))</f>
        <v/>
      </c>
    </row>
    <row r="1401" spans="1:8" ht="22" customHeight="1">
      <c r="A1401" s="1" t="str">
        <f>IF(AND('Loan Inputs'!$B$12,1395&lt;=IF('Loan Inputs'!$B$12,'Loan Inputs'!$B$7,0)*'Loan Inputs'!$B$14+0,ISNUMBER(G1400),G1400&gt;0),1395,"")</f>
        <v/>
      </c>
      <c r="B1401" s="4" t="str">
        <f>IF(A1401="","",IF('Loan Inputs'!$B$14=12,DATE(YEAR('Loan Inputs'!$B$8),MONTH('Loan Inputs'!$B$8)+A1401,DAY('Loan Inputs'!$B$8)),'Loan Inputs'!$B$8+A1401*IF('Loan Inputs'!$B$14=26,14,7)))</f>
        <v/>
      </c>
      <c r="C1401" s="2" t="str">
        <f t="shared" si="65"/>
        <v/>
      </c>
      <c r="D1401" s="2" t="str">
        <f>IF(A1401="","",MIN('Loan Inputs'!$B$17,C1401+E1401)+H1401)</f>
        <v/>
      </c>
      <c r="E1401" s="2" t="str">
        <f>IF(A1401="","",C1401*'Loan Inputs'!$B$15)</f>
        <v/>
      </c>
      <c r="F1401" s="2" t="str">
        <f t="shared" si="63"/>
        <v/>
      </c>
      <c r="G1401" s="2" t="str">
        <f t="shared" si="64"/>
        <v/>
      </c>
      <c r="H1401" s="2" t="str">
        <f>IF(A1401="","",MIN(0,MAX(0,C1401+E1401-'Loan Inputs'!$B$17)))</f>
        <v/>
      </c>
    </row>
    <row r="1402" spans="1:8" ht="22" customHeight="1">
      <c r="A1402" s="1" t="str">
        <f>IF(AND('Loan Inputs'!$B$12,1396&lt;=IF('Loan Inputs'!$B$12,'Loan Inputs'!$B$7,0)*'Loan Inputs'!$B$14+0,ISNUMBER(G1401),G1401&gt;0),1396,"")</f>
        <v/>
      </c>
      <c r="B1402" s="4" t="str">
        <f>IF(A1402="","",IF('Loan Inputs'!$B$14=12,DATE(YEAR('Loan Inputs'!$B$8),MONTH('Loan Inputs'!$B$8)+A1402,DAY('Loan Inputs'!$B$8)),'Loan Inputs'!$B$8+A1402*IF('Loan Inputs'!$B$14=26,14,7)))</f>
        <v/>
      </c>
      <c r="C1402" s="2" t="str">
        <f t="shared" si="65"/>
        <v/>
      </c>
      <c r="D1402" s="2" t="str">
        <f>IF(A1402="","",MIN('Loan Inputs'!$B$17,C1402+E1402)+H1402)</f>
        <v/>
      </c>
      <c r="E1402" s="2" t="str">
        <f>IF(A1402="","",C1402*'Loan Inputs'!$B$15)</f>
        <v/>
      </c>
      <c r="F1402" s="2" t="str">
        <f t="shared" si="63"/>
        <v/>
      </c>
      <c r="G1402" s="2" t="str">
        <f t="shared" si="64"/>
        <v/>
      </c>
      <c r="H1402" s="2" t="str">
        <f>IF(A1402="","",MIN(0,MAX(0,C1402+E1402-'Loan Inputs'!$B$17)))</f>
        <v/>
      </c>
    </row>
    <row r="1403" spans="1:8" ht="22" customHeight="1">
      <c r="A1403" s="1" t="str">
        <f>IF(AND('Loan Inputs'!$B$12,1397&lt;=IF('Loan Inputs'!$B$12,'Loan Inputs'!$B$7,0)*'Loan Inputs'!$B$14+0,ISNUMBER(G1402),G1402&gt;0),1397,"")</f>
        <v/>
      </c>
      <c r="B1403" s="4" t="str">
        <f>IF(A1403="","",IF('Loan Inputs'!$B$14=12,DATE(YEAR('Loan Inputs'!$B$8),MONTH('Loan Inputs'!$B$8)+A1403,DAY('Loan Inputs'!$B$8)),'Loan Inputs'!$B$8+A1403*IF('Loan Inputs'!$B$14=26,14,7)))</f>
        <v/>
      </c>
      <c r="C1403" s="2" t="str">
        <f t="shared" si="65"/>
        <v/>
      </c>
      <c r="D1403" s="2" t="str">
        <f>IF(A1403="","",MIN('Loan Inputs'!$B$17,C1403+E1403)+H1403)</f>
        <v/>
      </c>
      <c r="E1403" s="2" t="str">
        <f>IF(A1403="","",C1403*'Loan Inputs'!$B$15)</f>
        <v/>
      </c>
      <c r="F1403" s="2" t="str">
        <f t="shared" si="63"/>
        <v/>
      </c>
      <c r="G1403" s="2" t="str">
        <f t="shared" si="64"/>
        <v/>
      </c>
      <c r="H1403" s="2" t="str">
        <f>IF(A1403="","",MIN(0,MAX(0,C1403+E1403-'Loan Inputs'!$B$17)))</f>
        <v/>
      </c>
    </row>
    <row r="1404" spans="1:8" ht="22" customHeight="1">
      <c r="A1404" s="1" t="str">
        <f>IF(AND('Loan Inputs'!$B$12,1398&lt;=IF('Loan Inputs'!$B$12,'Loan Inputs'!$B$7,0)*'Loan Inputs'!$B$14+0,ISNUMBER(G1403),G1403&gt;0),1398,"")</f>
        <v/>
      </c>
      <c r="B1404" s="4" t="str">
        <f>IF(A1404="","",IF('Loan Inputs'!$B$14=12,DATE(YEAR('Loan Inputs'!$B$8),MONTH('Loan Inputs'!$B$8)+A1404,DAY('Loan Inputs'!$B$8)),'Loan Inputs'!$B$8+A1404*IF('Loan Inputs'!$B$14=26,14,7)))</f>
        <v/>
      </c>
      <c r="C1404" s="2" t="str">
        <f t="shared" si="65"/>
        <v/>
      </c>
      <c r="D1404" s="2" t="str">
        <f>IF(A1404="","",MIN('Loan Inputs'!$B$17,C1404+E1404)+H1404)</f>
        <v/>
      </c>
      <c r="E1404" s="2" t="str">
        <f>IF(A1404="","",C1404*'Loan Inputs'!$B$15)</f>
        <v/>
      </c>
      <c r="F1404" s="2" t="str">
        <f t="shared" si="63"/>
        <v/>
      </c>
      <c r="G1404" s="2" t="str">
        <f t="shared" si="64"/>
        <v/>
      </c>
      <c r="H1404" s="2" t="str">
        <f>IF(A1404="","",MIN(0,MAX(0,C1404+E1404-'Loan Inputs'!$B$17)))</f>
        <v/>
      </c>
    </row>
    <row r="1405" spans="1:8" ht="22" customHeight="1">
      <c r="A1405" s="1" t="str">
        <f>IF(AND('Loan Inputs'!$B$12,1399&lt;=IF('Loan Inputs'!$B$12,'Loan Inputs'!$B$7,0)*'Loan Inputs'!$B$14+0,ISNUMBER(G1404),G1404&gt;0),1399,"")</f>
        <v/>
      </c>
      <c r="B1405" s="4" t="str">
        <f>IF(A1405="","",IF('Loan Inputs'!$B$14=12,DATE(YEAR('Loan Inputs'!$B$8),MONTH('Loan Inputs'!$B$8)+A1405,DAY('Loan Inputs'!$B$8)),'Loan Inputs'!$B$8+A1405*IF('Loan Inputs'!$B$14=26,14,7)))</f>
        <v/>
      </c>
      <c r="C1405" s="2" t="str">
        <f t="shared" si="65"/>
        <v/>
      </c>
      <c r="D1405" s="2" t="str">
        <f>IF(A1405="","",MIN('Loan Inputs'!$B$17,C1405+E1405)+H1405)</f>
        <v/>
      </c>
      <c r="E1405" s="2" t="str">
        <f>IF(A1405="","",C1405*'Loan Inputs'!$B$15)</f>
        <v/>
      </c>
      <c r="F1405" s="2" t="str">
        <f t="shared" si="63"/>
        <v/>
      </c>
      <c r="G1405" s="2" t="str">
        <f t="shared" si="64"/>
        <v/>
      </c>
      <c r="H1405" s="2" t="str">
        <f>IF(A1405="","",MIN(0,MAX(0,C1405+E1405-'Loan Inputs'!$B$17)))</f>
        <v/>
      </c>
    </row>
    <row r="1406" spans="1:8" ht="22" customHeight="1">
      <c r="A1406" s="1" t="str">
        <f>IF(AND('Loan Inputs'!$B$12,1400&lt;=IF('Loan Inputs'!$B$12,'Loan Inputs'!$B$7,0)*'Loan Inputs'!$B$14+0,ISNUMBER(G1405),G1405&gt;0),1400,"")</f>
        <v/>
      </c>
      <c r="B1406" s="4" t="str">
        <f>IF(A1406="","",IF('Loan Inputs'!$B$14=12,DATE(YEAR('Loan Inputs'!$B$8),MONTH('Loan Inputs'!$B$8)+A1406,DAY('Loan Inputs'!$B$8)),'Loan Inputs'!$B$8+A1406*IF('Loan Inputs'!$B$14=26,14,7)))</f>
        <v/>
      </c>
      <c r="C1406" s="2" t="str">
        <f t="shared" si="65"/>
        <v/>
      </c>
      <c r="D1406" s="2" t="str">
        <f>IF(A1406="","",MIN('Loan Inputs'!$B$17,C1406+E1406)+H1406)</f>
        <v/>
      </c>
      <c r="E1406" s="2" t="str">
        <f>IF(A1406="","",C1406*'Loan Inputs'!$B$15)</f>
        <v/>
      </c>
      <c r="F1406" s="2" t="str">
        <f t="shared" si="63"/>
        <v/>
      </c>
      <c r="G1406" s="2" t="str">
        <f t="shared" si="64"/>
        <v/>
      </c>
      <c r="H1406" s="2" t="str">
        <f>IF(A1406="","",MIN(0,MAX(0,C1406+E1406-'Loan Inputs'!$B$17)))</f>
        <v/>
      </c>
    </row>
    <row r="1407" spans="1:8" ht="22" customHeight="1">
      <c r="A1407" s="1" t="str">
        <f>IF(AND('Loan Inputs'!$B$12,1401&lt;=IF('Loan Inputs'!$B$12,'Loan Inputs'!$B$7,0)*'Loan Inputs'!$B$14+0,ISNUMBER(G1406),G1406&gt;0),1401,"")</f>
        <v/>
      </c>
      <c r="B1407" s="4" t="str">
        <f>IF(A1407="","",IF('Loan Inputs'!$B$14=12,DATE(YEAR('Loan Inputs'!$B$8),MONTH('Loan Inputs'!$B$8)+A1407,DAY('Loan Inputs'!$B$8)),'Loan Inputs'!$B$8+A1407*IF('Loan Inputs'!$B$14=26,14,7)))</f>
        <v/>
      </c>
      <c r="C1407" s="2" t="str">
        <f t="shared" si="65"/>
        <v/>
      </c>
      <c r="D1407" s="2" t="str">
        <f>IF(A1407="","",MIN('Loan Inputs'!$B$17,C1407+E1407)+H1407)</f>
        <v/>
      </c>
      <c r="E1407" s="2" t="str">
        <f>IF(A1407="","",C1407*'Loan Inputs'!$B$15)</f>
        <v/>
      </c>
      <c r="F1407" s="2" t="str">
        <f t="shared" si="63"/>
        <v/>
      </c>
      <c r="G1407" s="2" t="str">
        <f t="shared" si="64"/>
        <v/>
      </c>
      <c r="H1407" s="2" t="str">
        <f>IF(A1407="","",MIN(0,MAX(0,C1407+E1407-'Loan Inputs'!$B$17)))</f>
        <v/>
      </c>
    </row>
    <row r="1408" spans="1:8" ht="22" customHeight="1">
      <c r="A1408" s="1" t="str">
        <f>IF(AND('Loan Inputs'!$B$12,1402&lt;=IF('Loan Inputs'!$B$12,'Loan Inputs'!$B$7,0)*'Loan Inputs'!$B$14+0,ISNUMBER(G1407),G1407&gt;0),1402,"")</f>
        <v/>
      </c>
      <c r="B1408" s="4" t="str">
        <f>IF(A1408="","",IF('Loan Inputs'!$B$14=12,DATE(YEAR('Loan Inputs'!$B$8),MONTH('Loan Inputs'!$B$8)+A1408,DAY('Loan Inputs'!$B$8)),'Loan Inputs'!$B$8+A1408*IF('Loan Inputs'!$B$14=26,14,7)))</f>
        <v/>
      </c>
      <c r="C1408" s="2" t="str">
        <f t="shared" si="65"/>
        <v/>
      </c>
      <c r="D1408" s="2" t="str">
        <f>IF(A1408="","",MIN('Loan Inputs'!$B$17,C1408+E1408)+H1408)</f>
        <v/>
      </c>
      <c r="E1408" s="2" t="str">
        <f>IF(A1408="","",C1408*'Loan Inputs'!$B$15)</f>
        <v/>
      </c>
      <c r="F1408" s="2" t="str">
        <f t="shared" si="63"/>
        <v/>
      </c>
      <c r="G1408" s="2" t="str">
        <f t="shared" si="64"/>
        <v/>
      </c>
      <c r="H1408" s="2" t="str">
        <f>IF(A1408="","",MIN(0,MAX(0,C1408+E1408-'Loan Inputs'!$B$17)))</f>
        <v/>
      </c>
    </row>
    <row r="1409" spans="1:8" ht="22" customHeight="1">
      <c r="A1409" s="1" t="str">
        <f>IF(AND('Loan Inputs'!$B$12,1403&lt;=IF('Loan Inputs'!$B$12,'Loan Inputs'!$B$7,0)*'Loan Inputs'!$B$14+0,ISNUMBER(G1408),G1408&gt;0),1403,"")</f>
        <v/>
      </c>
      <c r="B1409" s="4" t="str">
        <f>IF(A1409="","",IF('Loan Inputs'!$B$14=12,DATE(YEAR('Loan Inputs'!$B$8),MONTH('Loan Inputs'!$B$8)+A1409,DAY('Loan Inputs'!$B$8)),'Loan Inputs'!$B$8+A1409*IF('Loan Inputs'!$B$14=26,14,7)))</f>
        <v/>
      </c>
      <c r="C1409" s="2" t="str">
        <f t="shared" si="65"/>
        <v/>
      </c>
      <c r="D1409" s="2" t="str">
        <f>IF(A1409="","",MIN('Loan Inputs'!$B$17,C1409+E1409)+H1409)</f>
        <v/>
      </c>
      <c r="E1409" s="2" t="str">
        <f>IF(A1409="","",C1409*'Loan Inputs'!$B$15)</f>
        <v/>
      </c>
      <c r="F1409" s="2" t="str">
        <f t="shared" si="63"/>
        <v/>
      </c>
      <c r="G1409" s="2" t="str">
        <f t="shared" si="64"/>
        <v/>
      </c>
      <c r="H1409" s="2" t="str">
        <f>IF(A1409="","",MIN(0,MAX(0,C1409+E1409-'Loan Inputs'!$B$17)))</f>
        <v/>
      </c>
    </row>
    <row r="1410" spans="1:8" ht="22" customHeight="1">
      <c r="A1410" s="1" t="str">
        <f>IF(AND('Loan Inputs'!$B$12,1404&lt;=IF('Loan Inputs'!$B$12,'Loan Inputs'!$B$7,0)*'Loan Inputs'!$B$14+0,ISNUMBER(G1409),G1409&gt;0),1404,"")</f>
        <v/>
      </c>
      <c r="B1410" s="4" t="str">
        <f>IF(A1410="","",IF('Loan Inputs'!$B$14=12,DATE(YEAR('Loan Inputs'!$B$8),MONTH('Loan Inputs'!$B$8)+A1410,DAY('Loan Inputs'!$B$8)),'Loan Inputs'!$B$8+A1410*IF('Loan Inputs'!$B$14=26,14,7)))</f>
        <v/>
      </c>
      <c r="C1410" s="2" t="str">
        <f t="shared" si="65"/>
        <v/>
      </c>
      <c r="D1410" s="2" t="str">
        <f>IF(A1410="","",MIN('Loan Inputs'!$B$17,C1410+E1410)+H1410)</f>
        <v/>
      </c>
      <c r="E1410" s="2" t="str">
        <f>IF(A1410="","",C1410*'Loan Inputs'!$B$15)</f>
        <v/>
      </c>
      <c r="F1410" s="2" t="str">
        <f t="shared" si="63"/>
        <v/>
      </c>
      <c r="G1410" s="2" t="str">
        <f t="shared" si="64"/>
        <v/>
      </c>
      <c r="H1410" s="2" t="str">
        <f>IF(A1410="","",MIN(0,MAX(0,C1410+E1410-'Loan Inputs'!$B$17)))</f>
        <v/>
      </c>
    </row>
    <row r="1411" spans="1:8" ht="22" customHeight="1">
      <c r="A1411" s="1" t="str">
        <f>IF(AND('Loan Inputs'!$B$12,1405&lt;=IF('Loan Inputs'!$B$12,'Loan Inputs'!$B$7,0)*'Loan Inputs'!$B$14+0,ISNUMBER(G1410),G1410&gt;0),1405,"")</f>
        <v/>
      </c>
      <c r="B1411" s="4" t="str">
        <f>IF(A1411="","",IF('Loan Inputs'!$B$14=12,DATE(YEAR('Loan Inputs'!$B$8),MONTH('Loan Inputs'!$B$8)+A1411,DAY('Loan Inputs'!$B$8)),'Loan Inputs'!$B$8+A1411*IF('Loan Inputs'!$B$14=26,14,7)))</f>
        <v/>
      </c>
      <c r="C1411" s="2" t="str">
        <f t="shared" si="65"/>
        <v/>
      </c>
      <c r="D1411" s="2" t="str">
        <f>IF(A1411="","",MIN('Loan Inputs'!$B$17,C1411+E1411)+H1411)</f>
        <v/>
      </c>
      <c r="E1411" s="2" t="str">
        <f>IF(A1411="","",C1411*'Loan Inputs'!$B$15)</f>
        <v/>
      </c>
      <c r="F1411" s="2" t="str">
        <f t="shared" si="63"/>
        <v/>
      </c>
      <c r="G1411" s="2" t="str">
        <f t="shared" si="64"/>
        <v/>
      </c>
      <c r="H1411" s="2" t="str">
        <f>IF(A1411="","",MIN(0,MAX(0,C1411+E1411-'Loan Inputs'!$B$17)))</f>
        <v/>
      </c>
    </row>
    <row r="1412" spans="1:8" ht="22" customHeight="1">
      <c r="A1412" s="1" t="str">
        <f>IF(AND('Loan Inputs'!$B$12,1406&lt;=IF('Loan Inputs'!$B$12,'Loan Inputs'!$B$7,0)*'Loan Inputs'!$B$14+0,ISNUMBER(G1411),G1411&gt;0),1406,"")</f>
        <v/>
      </c>
      <c r="B1412" s="4" t="str">
        <f>IF(A1412="","",IF('Loan Inputs'!$B$14=12,DATE(YEAR('Loan Inputs'!$B$8),MONTH('Loan Inputs'!$B$8)+A1412,DAY('Loan Inputs'!$B$8)),'Loan Inputs'!$B$8+A1412*IF('Loan Inputs'!$B$14=26,14,7)))</f>
        <v/>
      </c>
      <c r="C1412" s="2" t="str">
        <f t="shared" si="65"/>
        <v/>
      </c>
      <c r="D1412" s="2" t="str">
        <f>IF(A1412="","",MIN('Loan Inputs'!$B$17,C1412+E1412)+H1412)</f>
        <v/>
      </c>
      <c r="E1412" s="2" t="str">
        <f>IF(A1412="","",C1412*'Loan Inputs'!$B$15)</f>
        <v/>
      </c>
      <c r="F1412" s="2" t="str">
        <f t="shared" si="63"/>
        <v/>
      </c>
      <c r="G1412" s="2" t="str">
        <f t="shared" si="64"/>
        <v/>
      </c>
      <c r="H1412" s="2" t="str">
        <f>IF(A1412="","",MIN(0,MAX(0,C1412+E1412-'Loan Inputs'!$B$17)))</f>
        <v/>
      </c>
    </row>
    <row r="1413" spans="1:8" ht="22" customHeight="1">
      <c r="A1413" s="1" t="str">
        <f>IF(AND('Loan Inputs'!$B$12,1407&lt;=IF('Loan Inputs'!$B$12,'Loan Inputs'!$B$7,0)*'Loan Inputs'!$B$14+0,ISNUMBER(G1412),G1412&gt;0),1407,"")</f>
        <v/>
      </c>
      <c r="B1413" s="4" t="str">
        <f>IF(A1413="","",IF('Loan Inputs'!$B$14=12,DATE(YEAR('Loan Inputs'!$B$8),MONTH('Loan Inputs'!$B$8)+A1413,DAY('Loan Inputs'!$B$8)),'Loan Inputs'!$B$8+A1413*IF('Loan Inputs'!$B$14=26,14,7)))</f>
        <v/>
      </c>
      <c r="C1413" s="2" t="str">
        <f t="shared" si="65"/>
        <v/>
      </c>
      <c r="D1413" s="2" t="str">
        <f>IF(A1413="","",MIN('Loan Inputs'!$B$17,C1413+E1413)+H1413)</f>
        <v/>
      </c>
      <c r="E1413" s="2" t="str">
        <f>IF(A1413="","",C1413*'Loan Inputs'!$B$15)</f>
        <v/>
      </c>
      <c r="F1413" s="2" t="str">
        <f t="shared" si="63"/>
        <v/>
      </c>
      <c r="G1413" s="2" t="str">
        <f t="shared" si="64"/>
        <v/>
      </c>
      <c r="H1413" s="2" t="str">
        <f>IF(A1413="","",MIN(0,MAX(0,C1413+E1413-'Loan Inputs'!$B$17)))</f>
        <v/>
      </c>
    </row>
    <row r="1414" spans="1:8" ht="22" customHeight="1">
      <c r="A1414" s="1" t="str">
        <f>IF(AND('Loan Inputs'!$B$12,1408&lt;=IF('Loan Inputs'!$B$12,'Loan Inputs'!$B$7,0)*'Loan Inputs'!$B$14+0,ISNUMBER(G1413),G1413&gt;0),1408,"")</f>
        <v/>
      </c>
      <c r="B1414" s="4" t="str">
        <f>IF(A1414="","",IF('Loan Inputs'!$B$14=12,DATE(YEAR('Loan Inputs'!$B$8),MONTH('Loan Inputs'!$B$8)+A1414,DAY('Loan Inputs'!$B$8)),'Loan Inputs'!$B$8+A1414*IF('Loan Inputs'!$B$14=26,14,7)))</f>
        <v/>
      </c>
      <c r="C1414" s="2" t="str">
        <f t="shared" si="65"/>
        <v/>
      </c>
      <c r="D1414" s="2" t="str">
        <f>IF(A1414="","",MIN('Loan Inputs'!$B$17,C1414+E1414)+H1414)</f>
        <v/>
      </c>
      <c r="E1414" s="2" t="str">
        <f>IF(A1414="","",C1414*'Loan Inputs'!$B$15)</f>
        <v/>
      </c>
      <c r="F1414" s="2" t="str">
        <f t="shared" si="63"/>
        <v/>
      </c>
      <c r="G1414" s="2" t="str">
        <f t="shared" si="64"/>
        <v/>
      </c>
      <c r="H1414" s="2" t="str">
        <f>IF(A1414="","",MIN(0,MAX(0,C1414+E1414-'Loan Inputs'!$B$17)))</f>
        <v/>
      </c>
    </row>
    <row r="1415" spans="1:8" ht="22" customHeight="1">
      <c r="A1415" s="1" t="str">
        <f>IF(AND('Loan Inputs'!$B$12,1409&lt;=IF('Loan Inputs'!$B$12,'Loan Inputs'!$B$7,0)*'Loan Inputs'!$B$14+0,ISNUMBER(G1414),G1414&gt;0),1409,"")</f>
        <v/>
      </c>
      <c r="B1415" s="4" t="str">
        <f>IF(A1415="","",IF('Loan Inputs'!$B$14=12,DATE(YEAR('Loan Inputs'!$B$8),MONTH('Loan Inputs'!$B$8)+A1415,DAY('Loan Inputs'!$B$8)),'Loan Inputs'!$B$8+A1415*IF('Loan Inputs'!$B$14=26,14,7)))</f>
        <v/>
      </c>
      <c r="C1415" s="2" t="str">
        <f t="shared" si="65"/>
        <v/>
      </c>
      <c r="D1415" s="2" t="str">
        <f>IF(A1415="","",MIN('Loan Inputs'!$B$17,C1415+E1415)+H1415)</f>
        <v/>
      </c>
      <c r="E1415" s="2" t="str">
        <f>IF(A1415="","",C1415*'Loan Inputs'!$B$15)</f>
        <v/>
      </c>
      <c r="F1415" s="2" t="str">
        <f t="shared" ref="F1415:F1478" si="66">IF(A1415="","",MIN(C1415,D1415-E1415))</f>
        <v/>
      </c>
      <c r="G1415" s="2" t="str">
        <f t="shared" ref="G1415:G1478" si="67">IF(A1415="","",IF(C1415-F1415&lt;0.01,0,MAX(0,C1415-F1415)))</f>
        <v/>
      </c>
      <c r="H1415" s="2" t="str">
        <f>IF(A1415="","",MIN(0,MAX(0,C1415+E1415-'Loan Inputs'!$B$17)))</f>
        <v/>
      </c>
    </row>
    <row r="1416" spans="1:8" ht="22" customHeight="1">
      <c r="A1416" s="1" t="str">
        <f>IF(AND('Loan Inputs'!$B$12,1410&lt;=IF('Loan Inputs'!$B$12,'Loan Inputs'!$B$7,0)*'Loan Inputs'!$B$14+0,ISNUMBER(G1415),G1415&gt;0),1410,"")</f>
        <v/>
      </c>
      <c r="B1416" s="4" t="str">
        <f>IF(A1416="","",IF('Loan Inputs'!$B$14=12,DATE(YEAR('Loan Inputs'!$B$8),MONTH('Loan Inputs'!$B$8)+A1416,DAY('Loan Inputs'!$B$8)),'Loan Inputs'!$B$8+A1416*IF('Loan Inputs'!$B$14=26,14,7)))</f>
        <v/>
      </c>
      <c r="C1416" s="2" t="str">
        <f t="shared" ref="C1416:C1479" si="68">IF(A1416="","",G1415)</f>
        <v/>
      </c>
      <c r="D1416" s="2" t="str">
        <f>IF(A1416="","",MIN('Loan Inputs'!$B$17,C1416+E1416)+H1416)</f>
        <v/>
      </c>
      <c r="E1416" s="2" t="str">
        <f>IF(A1416="","",C1416*'Loan Inputs'!$B$15)</f>
        <v/>
      </c>
      <c r="F1416" s="2" t="str">
        <f t="shared" si="66"/>
        <v/>
      </c>
      <c r="G1416" s="2" t="str">
        <f t="shared" si="67"/>
        <v/>
      </c>
      <c r="H1416" s="2" t="str">
        <f>IF(A1416="","",MIN(0,MAX(0,C1416+E1416-'Loan Inputs'!$B$17)))</f>
        <v/>
      </c>
    </row>
    <row r="1417" spans="1:8" ht="22" customHeight="1">
      <c r="A1417" s="1" t="str">
        <f>IF(AND('Loan Inputs'!$B$12,1411&lt;=IF('Loan Inputs'!$B$12,'Loan Inputs'!$B$7,0)*'Loan Inputs'!$B$14+0,ISNUMBER(G1416),G1416&gt;0),1411,"")</f>
        <v/>
      </c>
      <c r="B1417" s="4" t="str">
        <f>IF(A1417="","",IF('Loan Inputs'!$B$14=12,DATE(YEAR('Loan Inputs'!$B$8),MONTH('Loan Inputs'!$B$8)+A1417,DAY('Loan Inputs'!$B$8)),'Loan Inputs'!$B$8+A1417*IF('Loan Inputs'!$B$14=26,14,7)))</f>
        <v/>
      </c>
      <c r="C1417" s="2" t="str">
        <f t="shared" si="68"/>
        <v/>
      </c>
      <c r="D1417" s="2" t="str">
        <f>IF(A1417="","",MIN('Loan Inputs'!$B$17,C1417+E1417)+H1417)</f>
        <v/>
      </c>
      <c r="E1417" s="2" t="str">
        <f>IF(A1417="","",C1417*'Loan Inputs'!$B$15)</f>
        <v/>
      </c>
      <c r="F1417" s="2" t="str">
        <f t="shared" si="66"/>
        <v/>
      </c>
      <c r="G1417" s="2" t="str">
        <f t="shared" si="67"/>
        <v/>
      </c>
      <c r="H1417" s="2" t="str">
        <f>IF(A1417="","",MIN(0,MAX(0,C1417+E1417-'Loan Inputs'!$B$17)))</f>
        <v/>
      </c>
    </row>
    <row r="1418" spans="1:8" ht="22" customHeight="1">
      <c r="A1418" s="1" t="str">
        <f>IF(AND('Loan Inputs'!$B$12,1412&lt;=IF('Loan Inputs'!$B$12,'Loan Inputs'!$B$7,0)*'Loan Inputs'!$B$14+0,ISNUMBER(G1417),G1417&gt;0),1412,"")</f>
        <v/>
      </c>
      <c r="B1418" s="4" t="str">
        <f>IF(A1418="","",IF('Loan Inputs'!$B$14=12,DATE(YEAR('Loan Inputs'!$B$8),MONTH('Loan Inputs'!$B$8)+A1418,DAY('Loan Inputs'!$B$8)),'Loan Inputs'!$B$8+A1418*IF('Loan Inputs'!$B$14=26,14,7)))</f>
        <v/>
      </c>
      <c r="C1418" s="2" t="str">
        <f t="shared" si="68"/>
        <v/>
      </c>
      <c r="D1418" s="2" t="str">
        <f>IF(A1418="","",MIN('Loan Inputs'!$B$17,C1418+E1418)+H1418)</f>
        <v/>
      </c>
      <c r="E1418" s="2" t="str">
        <f>IF(A1418="","",C1418*'Loan Inputs'!$B$15)</f>
        <v/>
      </c>
      <c r="F1418" s="2" t="str">
        <f t="shared" si="66"/>
        <v/>
      </c>
      <c r="G1418" s="2" t="str">
        <f t="shared" si="67"/>
        <v/>
      </c>
      <c r="H1418" s="2" t="str">
        <f>IF(A1418="","",MIN(0,MAX(0,C1418+E1418-'Loan Inputs'!$B$17)))</f>
        <v/>
      </c>
    </row>
    <row r="1419" spans="1:8" ht="22" customHeight="1">
      <c r="A1419" s="1" t="str">
        <f>IF(AND('Loan Inputs'!$B$12,1413&lt;=IF('Loan Inputs'!$B$12,'Loan Inputs'!$B$7,0)*'Loan Inputs'!$B$14+0,ISNUMBER(G1418),G1418&gt;0),1413,"")</f>
        <v/>
      </c>
      <c r="B1419" s="4" t="str">
        <f>IF(A1419="","",IF('Loan Inputs'!$B$14=12,DATE(YEAR('Loan Inputs'!$B$8),MONTH('Loan Inputs'!$B$8)+A1419,DAY('Loan Inputs'!$B$8)),'Loan Inputs'!$B$8+A1419*IF('Loan Inputs'!$B$14=26,14,7)))</f>
        <v/>
      </c>
      <c r="C1419" s="2" t="str">
        <f t="shared" si="68"/>
        <v/>
      </c>
      <c r="D1419" s="2" t="str">
        <f>IF(A1419="","",MIN('Loan Inputs'!$B$17,C1419+E1419)+H1419)</f>
        <v/>
      </c>
      <c r="E1419" s="2" t="str">
        <f>IF(A1419="","",C1419*'Loan Inputs'!$B$15)</f>
        <v/>
      </c>
      <c r="F1419" s="2" t="str">
        <f t="shared" si="66"/>
        <v/>
      </c>
      <c r="G1419" s="2" t="str">
        <f t="shared" si="67"/>
        <v/>
      </c>
      <c r="H1419" s="2" t="str">
        <f>IF(A1419="","",MIN(0,MAX(0,C1419+E1419-'Loan Inputs'!$B$17)))</f>
        <v/>
      </c>
    </row>
    <row r="1420" spans="1:8" ht="22" customHeight="1">
      <c r="A1420" s="1" t="str">
        <f>IF(AND('Loan Inputs'!$B$12,1414&lt;=IF('Loan Inputs'!$B$12,'Loan Inputs'!$B$7,0)*'Loan Inputs'!$B$14+0,ISNUMBER(G1419),G1419&gt;0),1414,"")</f>
        <v/>
      </c>
      <c r="B1420" s="4" t="str">
        <f>IF(A1420="","",IF('Loan Inputs'!$B$14=12,DATE(YEAR('Loan Inputs'!$B$8),MONTH('Loan Inputs'!$B$8)+A1420,DAY('Loan Inputs'!$B$8)),'Loan Inputs'!$B$8+A1420*IF('Loan Inputs'!$B$14=26,14,7)))</f>
        <v/>
      </c>
      <c r="C1420" s="2" t="str">
        <f t="shared" si="68"/>
        <v/>
      </c>
      <c r="D1420" s="2" t="str">
        <f>IF(A1420="","",MIN('Loan Inputs'!$B$17,C1420+E1420)+H1420)</f>
        <v/>
      </c>
      <c r="E1420" s="2" t="str">
        <f>IF(A1420="","",C1420*'Loan Inputs'!$B$15)</f>
        <v/>
      </c>
      <c r="F1420" s="2" t="str">
        <f t="shared" si="66"/>
        <v/>
      </c>
      <c r="G1420" s="2" t="str">
        <f t="shared" si="67"/>
        <v/>
      </c>
      <c r="H1420" s="2" t="str">
        <f>IF(A1420="","",MIN(0,MAX(0,C1420+E1420-'Loan Inputs'!$B$17)))</f>
        <v/>
      </c>
    </row>
    <row r="1421" spans="1:8" ht="22" customHeight="1">
      <c r="A1421" s="1" t="str">
        <f>IF(AND('Loan Inputs'!$B$12,1415&lt;=IF('Loan Inputs'!$B$12,'Loan Inputs'!$B$7,0)*'Loan Inputs'!$B$14+0,ISNUMBER(G1420),G1420&gt;0),1415,"")</f>
        <v/>
      </c>
      <c r="B1421" s="4" t="str">
        <f>IF(A1421="","",IF('Loan Inputs'!$B$14=12,DATE(YEAR('Loan Inputs'!$B$8),MONTH('Loan Inputs'!$B$8)+A1421,DAY('Loan Inputs'!$B$8)),'Loan Inputs'!$B$8+A1421*IF('Loan Inputs'!$B$14=26,14,7)))</f>
        <v/>
      </c>
      <c r="C1421" s="2" t="str">
        <f t="shared" si="68"/>
        <v/>
      </c>
      <c r="D1421" s="2" t="str">
        <f>IF(A1421="","",MIN('Loan Inputs'!$B$17,C1421+E1421)+H1421)</f>
        <v/>
      </c>
      <c r="E1421" s="2" t="str">
        <f>IF(A1421="","",C1421*'Loan Inputs'!$B$15)</f>
        <v/>
      </c>
      <c r="F1421" s="2" t="str">
        <f t="shared" si="66"/>
        <v/>
      </c>
      <c r="G1421" s="2" t="str">
        <f t="shared" si="67"/>
        <v/>
      </c>
      <c r="H1421" s="2" t="str">
        <f>IF(A1421="","",MIN(0,MAX(0,C1421+E1421-'Loan Inputs'!$B$17)))</f>
        <v/>
      </c>
    </row>
    <row r="1422" spans="1:8" ht="22" customHeight="1">
      <c r="A1422" s="1" t="str">
        <f>IF(AND('Loan Inputs'!$B$12,1416&lt;=IF('Loan Inputs'!$B$12,'Loan Inputs'!$B$7,0)*'Loan Inputs'!$B$14+0,ISNUMBER(G1421),G1421&gt;0),1416,"")</f>
        <v/>
      </c>
      <c r="B1422" s="4" t="str">
        <f>IF(A1422="","",IF('Loan Inputs'!$B$14=12,DATE(YEAR('Loan Inputs'!$B$8),MONTH('Loan Inputs'!$B$8)+A1422,DAY('Loan Inputs'!$B$8)),'Loan Inputs'!$B$8+A1422*IF('Loan Inputs'!$B$14=26,14,7)))</f>
        <v/>
      </c>
      <c r="C1422" s="2" t="str">
        <f t="shared" si="68"/>
        <v/>
      </c>
      <c r="D1422" s="2" t="str">
        <f>IF(A1422="","",MIN('Loan Inputs'!$B$17,C1422+E1422)+H1422)</f>
        <v/>
      </c>
      <c r="E1422" s="2" t="str">
        <f>IF(A1422="","",C1422*'Loan Inputs'!$B$15)</f>
        <v/>
      </c>
      <c r="F1422" s="2" t="str">
        <f t="shared" si="66"/>
        <v/>
      </c>
      <c r="G1422" s="2" t="str">
        <f t="shared" si="67"/>
        <v/>
      </c>
      <c r="H1422" s="2" t="str">
        <f>IF(A1422="","",MIN(0,MAX(0,C1422+E1422-'Loan Inputs'!$B$17)))</f>
        <v/>
      </c>
    </row>
    <row r="1423" spans="1:8" ht="22" customHeight="1">
      <c r="A1423" s="1" t="str">
        <f>IF(AND('Loan Inputs'!$B$12,1417&lt;=IF('Loan Inputs'!$B$12,'Loan Inputs'!$B$7,0)*'Loan Inputs'!$B$14+0,ISNUMBER(G1422),G1422&gt;0),1417,"")</f>
        <v/>
      </c>
      <c r="B1423" s="4" t="str">
        <f>IF(A1423="","",IF('Loan Inputs'!$B$14=12,DATE(YEAR('Loan Inputs'!$B$8),MONTH('Loan Inputs'!$B$8)+A1423,DAY('Loan Inputs'!$B$8)),'Loan Inputs'!$B$8+A1423*IF('Loan Inputs'!$B$14=26,14,7)))</f>
        <v/>
      </c>
      <c r="C1423" s="2" t="str">
        <f t="shared" si="68"/>
        <v/>
      </c>
      <c r="D1423" s="2" t="str">
        <f>IF(A1423="","",MIN('Loan Inputs'!$B$17,C1423+E1423)+H1423)</f>
        <v/>
      </c>
      <c r="E1423" s="2" t="str">
        <f>IF(A1423="","",C1423*'Loan Inputs'!$B$15)</f>
        <v/>
      </c>
      <c r="F1423" s="2" t="str">
        <f t="shared" si="66"/>
        <v/>
      </c>
      <c r="G1423" s="2" t="str">
        <f t="shared" si="67"/>
        <v/>
      </c>
      <c r="H1423" s="2" t="str">
        <f>IF(A1423="","",MIN(0,MAX(0,C1423+E1423-'Loan Inputs'!$B$17)))</f>
        <v/>
      </c>
    </row>
    <row r="1424" spans="1:8" ht="22" customHeight="1">
      <c r="A1424" s="1" t="str">
        <f>IF(AND('Loan Inputs'!$B$12,1418&lt;=IF('Loan Inputs'!$B$12,'Loan Inputs'!$B$7,0)*'Loan Inputs'!$B$14+0,ISNUMBER(G1423),G1423&gt;0),1418,"")</f>
        <v/>
      </c>
      <c r="B1424" s="4" t="str">
        <f>IF(A1424="","",IF('Loan Inputs'!$B$14=12,DATE(YEAR('Loan Inputs'!$B$8),MONTH('Loan Inputs'!$B$8)+A1424,DAY('Loan Inputs'!$B$8)),'Loan Inputs'!$B$8+A1424*IF('Loan Inputs'!$B$14=26,14,7)))</f>
        <v/>
      </c>
      <c r="C1424" s="2" t="str">
        <f t="shared" si="68"/>
        <v/>
      </c>
      <c r="D1424" s="2" t="str">
        <f>IF(A1424="","",MIN('Loan Inputs'!$B$17,C1424+E1424)+H1424)</f>
        <v/>
      </c>
      <c r="E1424" s="2" t="str">
        <f>IF(A1424="","",C1424*'Loan Inputs'!$B$15)</f>
        <v/>
      </c>
      <c r="F1424" s="2" t="str">
        <f t="shared" si="66"/>
        <v/>
      </c>
      <c r="G1424" s="2" t="str">
        <f t="shared" si="67"/>
        <v/>
      </c>
      <c r="H1424" s="2" t="str">
        <f>IF(A1424="","",MIN(0,MAX(0,C1424+E1424-'Loan Inputs'!$B$17)))</f>
        <v/>
      </c>
    </row>
    <row r="1425" spans="1:8" ht="22" customHeight="1">
      <c r="A1425" s="1" t="str">
        <f>IF(AND('Loan Inputs'!$B$12,1419&lt;=IF('Loan Inputs'!$B$12,'Loan Inputs'!$B$7,0)*'Loan Inputs'!$B$14+0,ISNUMBER(G1424),G1424&gt;0),1419,"")</f>
        <v/>
      </c>
      <c r="B1425" s="4" t="str">
        <f>IF(A1425="","",IF('Loan Inputs'!$B$14=12,DATE(YEAR('Loan Inputs'!$B$8),MONTH('Loan Inputs'!$B$8)+A1425,DAY('Loan Inputs'!$B$8)),'Loan Inputs'!$B$8+A1425*IF('Loan Inputs'!$B$14=26,14,7)))</f>
        <v/>
      </c>
      <c r="C1425" s="2" t="str">
        <f t="shared" si="68"/>
        <v/>
      </c>
      <c r="D1425" s="2" t="str">
        <f>IF(A1425="","",MIN('Loan Inputs'!$B$17,C1425+E1425)+H1425)</f>
        <v/>
      </c>
      <c r="E1425" s="2" t="str">
        <f>IF(A1425="","",C1425*'Loan Inputs'!$B$15)</f>
        <v/>
      </c>
      <c r="F1425" s="2" t="str">
        <f t="shared" si="66"/>
        <v/>
      </c>
      <c r="G1425" s="2" t="str">
        <f t="shared" si="67"/>
        <v/>
      </c>
      <c r="H1425" s="2" t="str">
        <f>IF(A1425="","",MIN(0,MAX(0,C1425+E1425-'Loan Inputs'!$B$17)))</f>
        <v/>
      </c>
    </row>
    <row r="1426" spans="1:8" ht="22" customHeight="1">
      <c r="A1426" s="1" t="str">
        <f>IF(AND('Loan Inputs'!$B$12,1420&lt;=IF('Loan Inputs'!$B$12,'Loan Inputs'!$B$7,0)*'Loan Inputs'!$B$14+0,ISNUMBER(G1425),G1425&gt;0),1420,"")</f>
        <v/>
      </c>
      <c r="B1426" s="4" t="str">
        <f>IF(A1426="","",IF('Loan Inputs'!$B$14=12,DATE(YEAR('Loan Inputs'!$B$8),MONTH('Loan Inputs'!$B$8)+A1426,DAY('Loan Inputs'!$B$8)),'Loan Inputs'!$B$8+A1426*IF('Loan Inputs'!$B$14=26,14,7)))</f>
        <v/>
      </c>
      <c r="C1426" s="2" t="str">
        <f t="shared" si="68"/>
        <v/>
      </c>
      <c r="D1426" s="2" t="str">
        <f>IF(A1426="","",MIN('Loan Inputs'!$B$17,C1426+E1426)+H1426)</f>
        <v/>
      </c>
      <c r="E1426" s="2" t="str">
        <f>IF(A1426="","",C1426*'Loan Inputs'!$B$15)</f>
        <v/>
      </c>
      <c r="F1426" s="2" t="str">
        <f t="shared" si="66"/>
        <v/>
      </c>
      <c r="G1426" s="2" t="str">
        <f t="shared" si="67"/>
        <v/>
      </c>
      <c r="H1426" s="2" t="str">
        <f>IF(A1426="","",MIN(0,MAX(0,C1426+E1426-'Loan Inputs'!$B$17)))</f>
        <v/>
      </c>
    </row>
    <row r="1427" spans="1:8" ht="22" customHeight="1">
      <c r="A1427" s="1" t="str">
        <f>IF(AND('Loan Inputs'!$B$12,1421&lt;=IF('Loan Inputs'!$B$12,'Loan Inputs'!$B$7,0)*'Loan Inputs'!$B$14+0,ISNUMBER(G1426),G1426&gt;0),1421,"")</f>
        <v/>
      </c>
      <c r="B1427" s="4" t="str">
        <f>IF(A1427="","",IF('Loan Inputs'!$B$14=12,DATE(YEAR('Loan Inputs'!$B$8),MONTH('Loan Inputs'!$B$8)+A1427,DAY('Loan Inputs'!$B$8)),'Loan Inputs'!$B$8+A1427*IF('Loan Inputs'!$B$14=26,14,7)))</f>
        <v/>
      </c>
      <c r="C1427" s="2" t="str">
        <f t="shared" si="68"/>
        <v/>
      </c>
      <c r="D1427" s="2" t="str">
        <f>IF(A1427="","",MIN('Loan Inputs'!$B$17,C1427+E1427)+H1427)</f>
        <v/>
      </c>
      <c r="E1427" s="2" t="str">
        <f>IF(A1427="","",C1427*'Loan Inputs'!$B$15)</f>
        <v/>
      </c>
      <c r="F1427" s="2" t="str">
        <f t="shared" si="66"/>
        <v/>
      </c>
      <c r="G1427" s="2" t="str">
        <f t="shared" si="67"/>
        <v/>
      </c>
      <c r="H1427" s="2" t="str">
        <f>IF(A1427="","",MIN(0,MAX(0,C1427+E1427-'Loan Inputs'!$B$17)))</f>
        <v/>
      </c>
    </row>
    <row r="1428" spans="1:8" ht="22" customHeight="1">
      <c r="A1428" s="1" t="str">
        <f>IF(AND('Loan Inputs'!$B$12,1422&lt;=IF('Loan Inputs'!$B$12,'Loan Inputs'!$B$7,0)*'Loan Inputs'!$B$14+0,ISNUMBER(G1427),G1427&gt;0),1422,"")</f>
        <v/>
      </c>
      <c r="B1428" s="4" t="str">
        <f>IF(A1428="","",IF('Loan Inputs'!$B$14=12,DATE(YEAR('Loan Inputs'!$B$8),MONTH('Loan Inputs'!$B$8)+A1428,DAY('Loan Inputs'!$B$8)),'Loan Inputs'!$B$8+A1428*IF('Loan Inputs'!$B$14=26,14,7)))</f>
        <v/>
      </c>
      <c r="C1428" s="2" t="str">
        <f t="shared" si="68"/>
        <v/>
      </c>
      <c r="D1428" s="2" t="str">
        <f>IF(A1428="","",MIN('Loan Inputs'!$B$17,C1428+E1428)+H1428)</f>
        <v/>
      </c>
      <c r="E1428" s="2" t="str">
        <f>IF(A1428="","",C1428*'Loan Inputs'!$B$15)</f>
        <v/>
      </c>
      <c r="F1428" s="2" t="str">
        <f t="shared" si="66"/>
        <v/>
      </c>
      <c r="G1428" s="2" t="str">
        <f t="shared" si="67"/>
        <v/>
      </c>
      <c r="H1428" s="2" t="str">
        <f>IF(A1428="","",MIN(0,MAX(0,C1428+E1428-'Loan Inputs'!$B$17)))</f>
        <v/>
      </c>
    </row>
    <row r="1429" spans="1:8" ht="22" customHeight="1">
      <c r="A1429" s="1" t="str">
        <f>IF(AND('Loan Inputs'!$B$12,1423&lt;=IF('Loan Inputs'!$B$12,'Loan Inputs'!$B$7,0)*'Loan Inputs'!$B$14+0,ISNUMBER(G1428),G1428&gt;0),1423,"")</f>
        <v/>
      </c>
      <c r="B1429" s="4" t="str">
        <f>IF(A1429="","",IF('Loan Inputs'!$B$14=12,DATE(YEAR('Loan Inputs'!$B$8),MONTH('Loan Inputs'!$B$8)+A1429,DAY('Loan Inputs'!$B$8)),'Loan Inputs'!$B$8+A1429*IF('Loan Inputs'!$B$14=26,14,7)))</f>
        <v/>
      </c>
      <c r="C1429" s="2" t="str">
        <f t="shared" si="68"/>
        <v/>
      </c>
      <c r="D1429" s="2" t="str">
        <f>IF(A1429="","",MIN('Loan Inputs'!$B$17,C1429+E1429)+H1429)</f>
        <v/>
      </c>
      <c r="E1429" s="2" t="str">
        <f>IF(A1429="","",C1429*'Loan Inputs'!$B$15)</f>
        <v/>
      </c>
      <c r="F1429" s="2" t="str">
        <f t="shared" si="66"/>
        <v/>
      </c>
      <c r="G1429" s="2" t="str">
        <f t="shared" si="67"/>
        <v/>
      </c>
      <c r="H1429" s="2" t="str">
        <f>IF(A1429="","",MIN(0,MAX(0,C1429+E1429-'Loan Inputs'!$B$17)))</f>
        <v/>
      </c>
    </row>
    <row r="1430" spans="1:8" ht="22" customHeight="1">
      <c r="A1430" s="1" t="str">
        <f>IF(AND('Loan Inputs'!$B$12,1424&lt;=IF('Loan Inputs'!$B$12,'Loan Inputs'!$B$7,0)*'Loan Inputs'!$B$14+0,ISNUMBER(G1429),G1429&gt;0),1424,"")</f>
        <v/>
      </c>
      <c r="B1430" s="4" t="str">
        <f>IF(A1430="","",IF('Loan Inputs'!$B$14=12,DATE(YEAR('Loan Inputs'!$B$8),MONTH('Loan Inputs'!$B$8)+A1430,DAY('Loan Inputs'!$B$8)),'Loan Inputs'!$B$8+A1430*IF('Loan Inputs'!$B$14=26,14,7)))</f>
        <v/>
      </c>
      <c r="C1430" s="2" t="str">
        <f t="shared" si="68"/>
        <v/>
      </c>
      <c r="D1430" s="2" t="str">
        <f>IF(A1430="","",MIN('Loan Inputs'!$B$17,C1430+E1430)+H1430)</f>
        <v/>
      </c>
      <c r="E1430" s="2" t="str">
        <f>IF(A1430="","",C1430*'Loan Inputs'!$B$15)</f>
        <v/>
      </c>
      <c r="F1430" s="2" t="str">
        <f t="shared" si="66"/>
        <v/>
      </c>
      <c r="G1430" s="2" t="str">
        <f t="shared" si="67"/>
        <v/>
      </c>
      <c r="H1430" s="2" t="str">
        <f>IF(A1430="","",MIN(0,MAX(0,C1430+E1430-'Loan Inputs'!$B$17)))</f>
        <v/>
      </c>
    </row>
    <row r="1431" spans="1:8" ht="22" customHeight="1">
      <c r="A1431" s="1" t="str">
        <f>IF(AND('Loan Inputs'!$B$12,1425&lt;=IF('Loan Inputs'!$B$12,'Loan Inputs'!$B$7,0)*'Loan Inputs'!$B$14+0,ISNUMBER(G1430),G1430&gt;0),1425,"")</f>
        <v/>
      </c>
      <c r="B1431" s="4" t="str">
        <f>IF(A1431="","",IF('Loan Inputs'!$B$14=12,DATE(YEAR('Loan Inputs'!$B$8),MONTH('Loan Inputs'!$B$8)+A1431,DAY('Loan Inputs'!$B$8)),'Loan Inputs'!$B$8+A1431*IF('Loan Inputs'!$B$14=26,14,7)))</f>
        <v/>
      </c>
      <c r="C1431" s="2" t="str">
        <f t="shared" si="68"/>
        <v/>
      </c>
      <c r="D1431" s="2" t="str">
        <f>IF(A1431="","",MIN('Loan Inputs'!$B$17,C1431+E1431)+H1431)</f>
        <v/>
      </c>
      <c r="E1431" s="2" t="str">
        <f>IF(A1431="","",C1431*'Loan Inputs'!$B$15)</f>
        <v/>
      </c>
      <c r="F1431" s="2" t="str">
        <f t="shared" si="66"/>
        <v/>
      </c>
      <c r="G1431" s="2" t="str">
        <f t="shared" si="67"/>
        <v/>
      </c>
      <c r="H1431" s="2" t="str">
        <f>IF(A1431="","",MIN(0,MAX(0,C1431+E1431-'Loan Inputs'!$B$17)))</f>
        <v/>
      </c>
    </row>
    <row r="1432" spans="1:8" ht="22" customHeight="1">
      <c r="A1432" s="1" t="str">
        <f>IF(AND('Loan Inputs'!$B$12,1426&lt;=IF('Loan Inputs'!$B$12,'Loan Inputs'!$B$7,0)*'Loan Inputs'!$B$14+0,ISNUMBER(G1431),G1431&gt;0),1426,"")</f>
        <v/>
      </c>
      <c r="B1432" s="4" t="str">
        <f>IF(A1432="","",IF('Loan Inputs'!$B$14=12,DATE(YEAR('Loan Inputs'!$B$8),MONTH('Loan Inputs'!$B$8)+A1432,DAY('Loan Inputs'!$B$8)),'Loan Inputs'!$B$8+A1432*IF('Loan Inputs'!$B$14=26,14,7)))</f>
        <v/>
      </c>
      <c r="C1432" s="2" t="str">
        <f t="shared" si="68"/>
        <v/>
      </c>
      <c r="D1432" s="2" t="str">
        <f>IF(A1432="","",MIN('Loan Inputs'!$B$17,C1432+E1432)+H1432)</f>
        <v/>
      </c>
      <c r="E1432" s="2" t="str">
        <f>IF(A1432="","",C1432*'Loan Inputs'!$B$15)</f>
        <v/>
      </c>
      <c r="F1432" s="2" t="str">
        <f t="shared" si="66"/>
        <v/>
      </c>
      <c r="G1432" s="2" t="str">
        <f t="shared" si="67"/>
        <v/>
      </c>
      <c r="H1432" s="2" t="str">
        <f>IF(A1432="","",MIN(0,MAX(0,C1432+E1432-'Loan Inputs'!$B$17)))</f>
        <v/>
      </c>
    </row>
    <row r="1433" spans="1:8" ht="22" customHeight="1">
      <c r="A1433" s="1" t="str">
        <f>IF(AND('Loan Inputs'!$B$12,1427&lt;=IF('Loan Inputs'!$B$12,'Loan Inputs'!$B$7,0)*'Loan Inputs'!$B$14+0,ISNUMBER(G1432),G1432&gt;0),1427,"")</f>
        <v/>
      </c>
      <c r="B1433" s="4" t="str">
        <f>IF(A1433="","",IF('Loan Inputs'!$B$14=12,DATE(YEAR('Loan Inputs'!$B$8),MONTH('Loan Inputs'!$B$8)+A1433,DAY('Loan Inputs'!$B$8)),'Loan Inputs'!$B$8+A1433*IF('Loan Inputs'!$B$14=26,14,7)))</f>
        <v/>
      </c>
      <c r="C1433" s="2" t="str">
        <f t="shared" si="68"/>
        <v/>
      </c>
      <c r="D1433" s="2" t="str">
        <f>IF(A1433="","",MIN('Loan Inputs'!$B$17,C1433+E1433)+H1433)</f>
        <v/>
      </c>
      <c r="E1433" s="2" t="str">
        <f>IF(A1433="","",C1433*'Loan Inputs'!$B$15)</f>
        <v/>
      </c>
      <c r="F1433" s="2" t="str">
        <f t="shared" si="66"/>
        <v/>
      </c>
      <c r="G1433" s="2" t="str">
        <f t="shared" si="67"/>
        <v/>
      </c>
      <c r="H1433" s="2" t="str">
        <f>IF(A1433="","",MIN(0,MAX(0,C1433+E1433-'Loan Inputs'!$B$17)))</f>
        <v/>
      </c>
    </row>
    <row r="1434" spans="1:8" ht="22" customHeight="1">
      <c r="A1434" s="1" t="str">
        <f>IF(AND('Loan Inputs'!$B$12,1428&lt;=IF('Loan Inputs'!$B$12,'Loan Inputs'!$B$7,0)*'Loan Inputs'!$B$14+0,ISNUMBER(G1433),G1433&gt;0),1428,"")</f>
        <v/>
      </c>
      <c r="B1434" s="4" t="str">
        <f>IF(A1434="","",IF('Loan Inputs'!$B$14=12,DATE(YEAR('Loan Inputs'!$B$8),MONTH('Loan Inputs'!$B$8)+A1434,DAY('Loan Inputs'!$B$8)),'Loan Inputs'!$B$8+A1434*IF('Loan Inputs'!$B$14=26,14,7)))</f>
        <v/>
      </c>
      <c r="C1434" s="2" t="str">
        <f t="shared" si="68"/>
        <v/>
      </c>
      <c r="D1434" s="2" t="str">
        <f>IF(A1434="","",MIN('Loan Inputs'!$B$17,C1434+E1434)+H1434)</f>
        <v/>
      </c>
      <c r="E1434" s="2" t="str">
        <f>IF(A1434="","",C1434*'Loan Inputs'!$B$15)</f>
        <v/>
      </c>
      <c r="F1434" s="2" t="str">
        <f t="shared" si="66"/>
        <v/>
      </c>
      <c r="G1434" s="2" t="str">
        <f t="shared" si="67"/>
        <v/>
      </c>
      <c r="H1434" s="2" t="str">
        <f>IF(A1434="","",MIN(0,MAX(0,C1434+E1434-'Loan Inputs'!$B$17)))</f>
        <v/>
      </c>
    </row>
    <row r="1435" spans="1:8" ht="22" customHeight="1">
      <c r="A1435" s="1" t="str">
        <f>IF(AND('Loan Inputs'!$B$12,1429&lt;=IF('Loan Inputs'!$B$12,'Loan Inputs'!$B$7,0)*'Loan Inputs'!$B$14+0,ISNUMBER(G1434),G1434&gt;0),1429,"")</f>
        <v/>
      </c>
      <c r="B1435" s="4" t="str">
        <f>IF(A1435="","",IF('Loan Inputs'!$B$14=12,DATE(YEAR('Loan Inputs'!$B$8),MONTH('Loan Inputs'!$B$8)+A1435,DAY('Loan Inputs'!$B$8)),'Loan Inputs'!$B$8+A1435*IF('Loan Inputs'!$B$14=26,14,7)))</f>
        <v/>
      </c>
      <c r="C1435" s="2" t="str">
        <f t="shared" si="68"/>
        <v/>
      </c>
      <c r="D1435" s="2" t="str">
        <f>IF(A1435="","",MIN('Loan Inputs'!$B$17,C1435+E1435)+H1435)</f>
        <v/>
      </c>
      <c r="E1435" s="2" t="str">
        <f>IF(A1435="","",C1435*'Loan Inputs'!$B$15)</f>
        <v/>
      </c>
      <c r="F1435" s="2" t="str">
        <f t="shared" si="66"/>
        <v/>
      </c>
      <c r="G1435" s="2" t="str">
        <f t="shared" si="67"/>
        <v/>
      </c>
      <c r="H1435" s="2" t="str">
        <f>IF(A1435="","",MIN(0,MAX(0,C1435+E1435-'Loan Inputs'!$B$17)))</f>
        <v/>
      </c>
    </row>
    <row r="1436" spans="1:8" ht="22" customHeight="1">
      <c r="A1436" s="1" t="str">
        <f>IF(AND('Loan Inputs'!$B$12,1430&lt;=IF('Loan Inputs'!$B$12,'Loan Inputs'!$B$7,0)*'Loan Inputs'!$B$14+0,ISNUMBER(G1435),G1435&gt;0),1430,"")</f>
        <v/>
      </c>
      <c r="B1436" s="4" t="str">
        <f>IF(A1436="","",IF('Loan Inputs'!$B$14=12,DATE(YEAR('Loan Inputs'!$B$8),MONTH('Loan Inputs'!$B$8)+A1436,DAY('Loan Inputs'!$B$8)),'Loan Inputs'!$B$8+A1436*IF('Loan Inputs'!$B$14=26,14,7)))</f>
        <v/>
      </c>
      <c r="C1436" s="2" t="str">
        <f t="shared" si="68"/>
        <v/>
      </c>
      <c r="D1436" s="2" t="str">
        <f>IF(A1436="","",MIN('Loan Inputs'!$B$17,C1436+E1436)+H1436)</f>
        <v/>
      </c>
      <c r="E1436" s="2" t="str">
        <f>IF(A1436="","",C1436*'Loan Inputs'!$B$15)</f>
        <v/>
      </c>
      <c r="F1436" s="2" t="str">
        <f t="shared" si="66"/>
        <v/>
      </c>
      <c r="G1436" s="2" t="str">
        <f t="shared" si="67"/>
        <v/>
      </c>
      <c r="H1436" s="2" t="str">
        <f>IF(A1436="","",MIN(0,MAX(0,C1436+E1436-'Loan Inputs'!$B$17)))</f>
        <v/>
      </c>
    </row>
    <row r="1437" spans="1:8" ht="22" customHeight="1">
      <c r="A1437" s="1" t="str">
        <f>IF(AND('Loan Inputs'!$B$12,1431&lt;=IF('Loan Inputs'!$B$12,'Loan Inputs'!$B$7,0)*'Loan Inputs'!$B$14+0,ISNUMBER(G1436),G1436&gt;0),1431,"")</f>
        <v/>
      </c>
      <c r="B1437" s="4" t="str">
        <f>IF(A1437="","",IF('Loan Inputs'!$B$14=12,DATE(YEAR('Loan Inputs'!$B$8),MONTH('Loan Inputs'!$B$8)+A1437,DAY('Loan Inputs'!$B$8)),'Loan Inputs'!$B$8+A1437*IF('Loan Inputs'!$B$14=26,14,7)))</f>
        <v/>
      </c>
      <c r="C1437" s="2" t="str">
        <f t="shared" si="68"/>
        <v/>
      </c>
      <c r="D1437" s="2" t="str">
        <f>IF(A1437="","",MIN('Loan Inputs'!$B$17,C1437+E1437)+H1437)</f>
        <v/>
      </c>
      <c r="E1437" s="2" t="str">
        <f>IF(A1437="","",C1437*'Loan Inputs'!$B$15)</f>
        <v/>
      </c>
      <c r="F1437" s="2" t="str">
        <f t="shared" si="66"/>
        <v/>
      </c>
      <c r="G1437" s="2" t="str">
        <f t="shared" si="67"/>
        <v/>
      </c>
      <c r="H1437" s="2" t="str">
        <f>IF(A1437="","",MIN(0,MAX(0,C1437+E1437-'Loan Inputs'!$B$17)))</f>
        <v/>
      </c>
    </row>
    <row r="1438" spans="1:8" ht="22" customHeight="1">
      <c r="A1438" s="1" t="str">
        <f>IF(AND('Loan Inputs'!$B$12,1432&lt;=IF('Loan Inputs'!$B$12,'Loan Inputs'!$B$7,0)*'Loan Inputs'!$B$14+0,ISNUMBER(G1437),G1437&gt;0),1432,"")</f>
        <v/>
      </c>
      <c r="B1438" s="4" t="str">
        <f>IF(A1438="","",IF('Loan Inputs'!$B$14=12,DATE(YEAR('Loan Inputs'!$B$8),MONTH('Loan Inputs'!$B$8)+A1438,DAY('Loan Inputs'!$B$8)),'Loan Inputs'!$B$8+A1438*IF('Loan Inputs'!$B$14=26,14,7)))</f>
        <v/>
      </c>
      <c r="C1438" s="2" t="str">
        <f t="shared" si="68"/>
        <v/>
      </c>
      <c r="D1438" s="2" t="str">
        <f>IF(A1438="","",MIN('Loan Inputs'!$B$17,C1438+E1438)+H1438)</f>
        <v/>
      </c>
      <c r="E1438" s="2" t="str">
        <f>IF(A1438="","",C1438*'Loan Inputs'!$B$15)</f>
        <v/>
      </c>
      <c r="F1438" s="2" t="str">
        <f t="shared" si="66"/>
        <v/>
      </c>
      <c r="G1438" s="2" t="str">
        <f t="shared" si="67"/>
        <v/>
      </c>
      <c r="H1438" s="2" t="str">
        <f>IF(A1438="","",MIN(0,MAX(0,C1438+E1438-'Loan Inputs'!$B$17)))</f>
        <v/>
      </c>
    </row>
    <row r="1439" spans="1:8" ht="22" customHeight="1">
      <c r="A1439" s="1" t="str">
        <f>IF(AND('Loan Inputs'!$B$12,1433&lt;=IF('Loan Inputs'!$B$12,'Loan Inputs'!$B$7,0)*'Loan Inputs'!$B$14+0,ISNUMBER(G1438),G1438&gt;0),1433,"")</f>
        <v/>
      </c>
      <c r="B1439" s="4" t="str">
        <f>IF(A1439="","",IF('Loan Inputs'!$B$14=12,DATE(YEAR('Loan Inputs'!$B$8),MONTH('Loan Inputs'!$B$8)+A1439,DAY('Loan Inputs'!$B$8)),'Loan Inputs'!$B$8+A1439*IF('Loan Inputs'!$B$14=26,14,7)))</f>
        <v/>
      </c>
      <c r="C1439" s="2" t="str">
        <f t="shared" si="68"/>
        <v/>
      </c>
      <c r="D1439" s="2" t="str">
        <f>IF(A1439="","",MIN('Loan Inputs'!$B$17,C1439+E1439)+H1439)</f>
        <v/>
      </c>
      <c r="E1439" s="2" t="str">
        <f>IF(A1439="","",C1439*'Loan Inputs'!$B$15)</f>
        <v/>
      </c>
      <c r="F1439" s="2" t="str">
        <f t="shared" si="66"/>
        <v/>
      </c>
      <c r="G1439" s="2" t="str">
        <f t="shared" si="67"/>
        <v/>
      </c>
      <c r="H1439" s="2" t="str">
        <f>IF(A1439="","",MIN(0,MAX(0,C1439+E1439-'Loan Inputs'!$B$17)))</f>
        <v/>
      </c>
    </row>
    <row r="1440" spans="1:8" ht="22" customHeight="1">
      <c r="A1440" s="1" t="str">
        <f>IF(AND('Loan Inputs'!$B$12,1434&lt;=IF('Loan Inputs'!$B$12,'Loan Inputs'!$B$7,0)*'Loan Inputs'!$B$14+0,ISNUMBER(G1439),G1439&gt;0),1434,"")</f>
        <v/>
      </c>
      <c r="B1440" s="4" t="str">
        <f>IF(A1440="","",IF('Loan Inputs'!$B$14=12,DATE(YEAR('Loan Inputs'!$B$8),MONTH('Loan Inputs'!$B$8)+A1440,DAY('Loan Inputs'!$B$8)),'Loan Inputs'!$B$8+A1440*IF('Loan Inputs'!$B$14=26,14,7)))</f>
        <v/>
      </c>
      <c r="C1440" s="2" t="str">
        <f t="shared" si="68"/>
        <v/>
      </c>
      <c r="D1440" s="2" t="str">
        <f>IF(A1440="","",MIN('Loan Inputs'!$B$17,C1440+E1440)+H1440)</f>
        <v/>
      </c>
      <c r="E1440" s="2" t="str">
        <f>IF(A1440="","",C1440*'Loan Inputs'!$B$15)</f>
        <v/>
      </c>
      <c r="F1440" s="2" t="str">
        <f t="shared" si="66"/>
        <v/>
      </c>
      <c r="G1440" s="2" t="str">
        <f t="shared" si="67"/>
        <v/>
      </c>
      <c r="H1440" s="2" t="str">
        <f>IF(A1440="","",MIN(0,MAX(0,C1440+E1440-'Loan Inputs'!$B$17)))</f>
        <v/>
      </c>
    </row>
    <row r="1441" spans="1:8" ht="22" customHeight="1">
      <c r="A1441" s="1" t="str">
        <f>IF(AND('Loan Inputs'!$B$12,1435&lt;=IF('Loan Inputs'!$B$12,'Loan Inputs'!$B$7,0)*'Loan Inputs'!$B$14+0,ISNUMBER(G1440),G1440&gt;0),1435,"")</f>
        <v/>
      </c>
      <c r="B1441" s="4" t="str">
        <f>IF(A1441="","",IF('Loan Inputs'!$B$14=12,DATE(YEAR('Loan Inputs'!$B$8),MONTH('Loan Inputs'!$B$8)+A1441,DAY('Loan Inputs'!$B$8)),'Loan Inputs'!$B$8+A1441*IF('Loan Inputs'!$B$14=26,14,7)))</f>
        <v/>
      </c>
      <c r="C1441" s="2" t="str">
        <f t="shared" si="68"/>
        <v/>
      </c>
      <c r="D1441" s="2" t="str">
        <f>IF(A1441="","",MIN('Loan Inputs'!$B$17,C1441+E1441)+H1441)</f>
        <v/>
      </c>
      <c r="E1441" s="2" t="str">
        <f>IF(A1441="","",C1441*'Loan Inputs'!$B$15)</f>
        <v/>
      </c>
      <c r="F1441" s="2" t="str">
        <f t="shared" si="66"/>
        <v/>
      </c>
      <c r="G1441" s="2" t="str">
        <f t="shared" si="67"/>
        <v/>
      </c>
      <c r="H1441" s="2" t="str">
        <f>IF(A1441="","",MIN(0,MAX(0,C1441+E1441-'Loan Inputs'!$B$17)))</f>
        <v/>
      </c>
    </row>
    <row r="1442" spans="1:8" ht="22" customHeight="1">
      <c r="A1442" s="1" t="str">
        <f>IF(AND('Loan Inputs'!$B$12,1436&lt;=IF('Loan Inputs'!$B$12,'Loan Inputs'!$B$7,0)*'Loan Inputs'!$B$14+0,ISNUMBER(G1441),G1441&gt;0),1436,"")</f>
        <v/>
      </c>
      <c r="B1442" s="4" t="str">
        <f>IF(A1442="","",IF('Loan Inputs'!$B$14=12,DATE(YEAR('Loan Inputs'!$B$8),MONTH('Loan Inputs'!$B$8)+A1442,DAY('Loan Inputs'!$B$8)),'Loan Inputs'!$B$8+A1442*IF('Loan Inputs'!$B$14=26,14,7)))</f>
        <v/>
      </c>
      <c r="C1442" s="2" t="str">
        <f t="shared" si="68"/>
        <v/>
      </c>
      <c r="D1442" s="2" t="str">
        <f>IF(A1442="","",MIN('Loan Inputs'!$B$17,C1442+E1442)+H1442)</f>
        <v/>
      </c>
      <c r="E1442" s="2" t="str">
        <f>IF(A1442="","",C1442*'Loan Inputs'!$B$15)</f>
        <v/>
      </c>
      <c r="F1442" s="2" t="str">
        <f t="shared" si="66"/>
        <v/>
      </c>
      <c r="G1442" s="2" t="str">
        <f t="shared" si="67"/>
        <v/>
      </c>
      <c r="H1442" s="2" t="str">
        <f>IF(A1442="","",MIN(0,MAX(0,C1442+E1442-'Loan Inputs'!$B$17)))</f>
        <v/>
      </c>
    </row>
    <row r="1443" spans="1:8" ht="22" customHeight="1">
      <c r="A1443" s="1" t="str">
        <f>IF(AND('Loan Inputs'!$B$12,1437&lt;=IF('Loan Inputs'!$B$12,'Loan Inputs'!$B$7,0)*'Loan Inputs'!$B$14+0,ISNUMBER(G1442),G1442&gt;0),1437,"")</f>
        <v/>
      </c>
      <c r="B1443" s="4" t="str">
        <f>IF(A1443="","",IF('Loan Inputs'!$B$14=12,DATE(YEAR('Loan Inputs'!$B$8),MONTH('Loan Inputs'!$B$8)+A1443,DAY('Loan Inputs'!$B$8)),'Loan Inputs'!$B$8+A1443*IF('Loan Inputs'!$B$14=26,14,7)))</f>
        <v/>
      </c>
      <c r="C1443" s="2" t="str">
        <f t="shared" si="68"/>
        <v/>
      </c>
      <c r="D1443" s="2" t="str">
        <f>IF(A1443="","",MIN('Loan Inputs'!$B$17,C1443+E1443)+H1443)</f>
        <v/>
      </c>
      <c r="E1443" s="2" t="str">
        <f>IF(A1443="","",C1443*'Loan Inputs'!$B$15)</f>
        <v/>
      </c>
      <c r="F1443" s="2" t="str">
        <f t="shared" si="66"/>
        <v/>
      </c>
      <c r="G1443" s="2" t="str">
        <f t="shared" si="67"/>
        <v/>
      </c>
      <c r="H1443" s="2" t="str">
        <f>IF(A1443="","",MIN(0,MAX(0,C1443+E1443-'Loan Inputs'!$B$17)))</f>
        <v/>
      </c>
    </row>
    <row r="1444" spans="1:8" ht="22" customHeight="1">
      <c r="A1444" s="1" t="str">
        <f>IF(AND('Loan Inputs'!$B$12,1438&lt;=IF('Loan Inputs'!$B$12,'Loan Inputs'!$B$7,0)*'Loan Inputs'!$B$14+0,ISNUMBER(G1443),G1443&gt;0),1438,"")</f>
        <v/>
      </c>
      <c r="B1444" s="4" t="str">
        <f>IF(A1444="","",IF('Loan Inputs'!$B$14=12,DATE(YEAR('Loan Inputs'!$B$8),MONTH('Loan Inputs'!$B$8)+A1444,DAY('Loan Inputs'!$B$8)),'Loan Inputs'!$B$8+A1444*IF('Loan Inputs'!$B$14=26,14,7)))</f>
        <v/>
      </c>
      <c r="C1444" s="2" t="str">
        <f t="shared" si="68"/>
        <v/>
      </c>
      <c r="D1444" s="2" t="str">
        <f>IF(A1444="","",MIN('Loan Inputs'!$B$17,C1444+E1444)+H1444)</f>
        <v/>
      </c>
      <c r="E1444" s="2" t="str">
        <f>IF(A1444="","",C1444*'Loan Inputs'!$B$15)</f>
        <v/>
      </c>
      <c r="F1444" s="2" t="str">
        <f t="shared" si="66"/>
        <v/>
      </c>
      <c r="G1444" s="2" t="str">
        <f t="shared" si="67"/>
        <v/>
      </c>
      <c r="H1444" s="2" t="str">
        <f>IF(A1444="","",MIN(0,MAX(0,C1444+E1444-'Loan Inputs'!$B$17)))</f>
        <v/>
      </c>
    </row>
    <row r="1445" spans="1:8" ht="22" customHeight="1">
      <c r="A1445" s="1" t="str">
        <f>IF(AND('Loan Inputs'!$B$12,1439&lt;=IF('Loan Inputs'!$B$12,'Loan Inputs'!$B$7,0)*'Loan Inputs'!$B$14+0,ISNUMBER(G1444),G1444&gt;0),1439,"")</f>
        <v/>
      </c>
      <c r="B1445" s="4" t="str">
        <f>IF(A1445="","",IF('Loan Inputs'!$B$14=12,DATE(YEAR('Loan Inputs'!$B$8),MONTH('Loan Inputs'!$B$8)+A1445,DAY('Loan Inputs'!$B$8)),'Loan Inputs'!$B$8+A1445*IF('Loan Inputs'!$B$14=26,14,7)))</f>
        <v/>
      </c>
      <c r="C1445" s="2" t="str">
        <f t="shared" si="68"/>
        <v/>
      </c>
      <c r="D1445" s="2" t="str">
        <f>IF(A1445="","",MIN('Loan Inputs'!$B$17,C1445+E1445)+H1445)</f>
        <v/>
      </c>
      <c r="E1445" s="2" t="str">
        <f>IF(A1445="","",C1445*'Loan Inputs'!$B$15)</f>
        <v/>
      </c>
      <c r="F1445" s="2" t="str">
        <f t="shared" si="66"/>
        <v/>
      </c>
      <c r="G1445" s="2" t="str">
        <f t="shared" si="67"/>
        <v/>
      </c>
      <c r="H1445" s="2" t="str">
        <f>IF(A1445="","",MIN(0,MAX(0,C1445+E1445-'Loan Inputs'!$B$17)))</f>
        <v/>
      </c>
    </row>
    <row r="1446" spans="1:8" ht="22" customHeight="1">
      <c r="A1446" s="1" t="str">
        <f>IF(AND('Loan Inputs'!$B$12,1440&lt;=IF('Loan Inputs'!$B$12,'Loan Inputs'!$B$7,0)*'Loan Inputs'!$B$14+0,ISNUMBER(G1445),G1445&gt;0),1440,"")</f>
        <v/>
      </c>
      <c r="B1446" s="4" t="str">
        <f>IF(A1446="","",IF('Loan Inputs'!$B$14=12,DATE(YEAR('Loan Inputs'!$B$8),MONTH('Loan Inputs'!$B$8)+A1446,DAY('Loan Inputs'!$B$8)),'Loan Inputs'!$B$8+A1446*IF('Loan Inputs'!$B$14=26,14,7)))</f>
        <v/>
      </c>
      <c r="C1446" s="2" t="str">
        <f t="shared" si="68"/>
        <v/>
      </c>
      <c r="D1446" s="2" t="str">
        <f>IF(A1446="","",MIN('Loan Inputs'!$B$17,C1446+E1446)+H1446)</f>
        <v/>
      </c>
      <c r="E1446" s="2" t="str">
        <f>IF(A1446="","",C1446*'Loan Inputs'!$B$15)</f>
        <v/>
      </c>
      <c r="F1446" s="2" t="str">
        <f t="shared" si="66"/>
        <v/>
      </c>
      <c r="G1446" s="2" t="str">
        <f t="shared" si="67"/>
        <v/>
      </c>
      <c r="H1446" s="2" t="str">
        <f>IF(A1446="","",MIN(0,MAX(0,C1446+E1446-'Loan Inputs'!$B$17)))</f>
        <v/>
      </c>
    </row>
    <row r="1447" spans="1:8" ht="22" customHeight="1">
      <c r="A1447" s="1" t="str">
        <f>IF(AND('Loan Inputs'!$B$12,1441&lt;=IF('Loan Inputs'!$B$12,'Loan Inputs'!$B$7,0)*'Loan Inputs'!$B$14+0,ISNUMBER(G1446),G1446&gt;0),1441,"")</f>
        <v/>
      </c>
      <c r="B1447" s="4" t="str">
        <f>IF(A1447="","",IF('Loan Inputs'!$B$14=12,DATE(YEAR('Loan Inputs'!$B$8),MONTH('Loan Inputs'!$B$8)+A1447,DAY('Loan Inputs'!$B$8)),'Loan Inputs'!$B$8+A1447*IF('Loan Inputs'!$B$14=26,14,7)))</f>
        <v/>
      </c>
      <c r="C1447" s="2" t="str">
        <f t="shared" si="68"/>
        <v/>
      </c>
      <c r="D1447" s="2" t="str">
        <f>IF(A1447="","",MIN('Loan Inputs'!$B$17,C1447+E1447)+H1447)</f>
        <v/>
      </c>
      <c r="E1447" s="2" t="str">
        <f>IF(A1447="","",C1447*'Loan Inputs'!$B$15)</f>
        <v/>
      </c>
      <c r="F1447" s="2" t="str">
        <f t="shared" si="66"/>
        <v/>
      </c>
      <c r="G1447" s="2" t="str">
        <f t="shared" si="67"/>
        <v/>
      </c>
      <c r="H1447" s="2" t="str">
        <f>IF(A1447="","",MIN(0,MAX(0,C1447+E1447-'Loan Inputs'!$B$17)))</f>
        <v/>
      </c>
    </row>
    <row r="1448" spans="1:8" ht="22" customHeight="1">
      <c r="A1448" s="1" t="str">
        <f>IF(AND('Loan Inputs'!$B$12,1442&lt;=IF('Loan Inputs'!$B$12,'Loan Inputs'!$B$7,0)*'Loan Inputs'!$B$14+0,ISNUMBER(G1447),G1447&gt;0),1442,"")</f>
        <v/>
      </c>
      <c r="B1448" s="4" t="str">
        <f>IF(A1448="","",IF('Loan Inputs'!$B$14=12,DATE(YEAR('Loan Inputs'!$B$8),MONTH('Loan Inputs'!$B$8)+A1448,DAY('Loan Inputs'!$B$8)),'Loan Inputs'!$B$8+A1448*IF('Loan Inputs'!$B$14=26,14,7)))</f>
        <v/>
      </c>
      <c r="C1448" s="2" t="str">
        <f t="shared" si="68"/>
        <v/>
      </c>
      <c r="D1448" s="2" t="str">
        <f>IF(A1448="","",MIN('Loan Inputs'!$B$17,C1448+E1448)+H1448)</f>
        <v/>
      </c>
      <c r="E1448" s="2" t="str">
        <f>IF(A1448="","",C1448*'Loan Inputs'!$B$15)</f>
        <v/>
      </c>
      <c r="F1448" s="2" t="str">
        <f t="shared" si="66"/>
        <v/>
      </c>
      <c r="G1448" s="2" t="str">
        <f t="shared" si="67"/>
        <v/>
      </c>
      <c r="H1448" s="2" t="str">
        <f>IF(A1448="","",MIN(0,MAX(0,C1448+E1448-'Loan Inputs'!$B$17)))</f>
        <v/>
      </c>
    </row>
    <row r="1449" spans="1:8" ht="22" customHeight="1">
      <c r="A1449" s="1" t="str">
        <f>IF(AND('Loan Inputs'!$B$12,1443&lt;=IF('Loan Inputs'!$B$12,'Loan Inputs'!$B$7,0)*'Loan Inputs'!$B$14+0,ISNUMBER(G1448),G1448&gt;0),1443,"")</f>
        <v/>
      </c>
      <c r="B1449" s="4" t="str">
        <f>IF(A1449="","",IF('Loan Inputs'!$B$14=12,DATE(YEAR('Loan Inputs'!$B$8),MONTH('Loan Inputs'!$B$8)+A1449,DAY('Loan Inputs'!$B$8)),'Loan Inputs'!$B$8+A1449*IF('Loan Inputs'!$B$14=26,14,7)))</f>
        <v/>
      </c>
      <c r="C1449" s="2" t="str">
        <f t="shared" si="68"/>
        <v/>
      </c>
      <c r="D1449" s="2" t="str">
        <f>IF(A1449="","",MIN('Loan Inputs'!$B$17,C1449+E1449)+H1449)</f>
        <v/>
      </c>
      <c r="E1449" s="2" t="str">
        <f>IF(A1449="","",C1449*'Loan Inputs'!$B$15)</f>
        <v/>
      </c>
      <c r="F1449" s="2" t="str">
        <f t="shared" si="66"/>
        <v/>
      </c>
      <c r="G1449" s="2" t="str">
        <f t="shared" si="67"/>
        <v/>
      </c>
      <c r="H1449" s="2" t="str">
        <f>IF(A1449="","",MIN(0,MAX(0,C1449+E1449-'Loan Inputs'!$B$17)))</f>
        <v/>
      </c>
    </row>
    <row r="1450" spans="1:8" ht="22" customHeight="1">
      <c r="A1450" s="1" t="str">
        <f>IF(AND('Loan Inputs'!$B$12,1444&lt;=IF('Loan Inputs'!$B$12,'Loan Inputs'!$B$7,0)*'Loan Inputs'!$B$14+0,ISNUMBER(G1449),G1449&gt;0),1444,"")</f>
        <v/>
      </c>
      <c r="B1450" s="4" t="str">
        <f>IF(A1450="","",IF('Loan Inputs'!$B$14=12,DATE(YEAR('Loan Inputs'!$B$8),MONTH('Loan Inputs'!$B$8)+A1450,DAY('Loan Inputs'!$B$8)),'Loan Inputs'!$B$8+A1450*IF('Loan Inputs'!$B$14=26,14,7)))</f>
        <v/>
      </c>
      <c r="C1450" s="2" t="str">
        <f t="shared" si="68"/>
        <v/>
      </c>
      <c r="D1450" s="2" t="str">
        <f>IF(A1450="","",MIN('Loan Inputs'!$B$17,C1450+E1450)+H1450)</f>
        <v/>
      </c>
      <c r="E1450" s="2" t="str">
        <f>IF(A1450="","",C1450*'Loan Inputs'!$B$15)</f>
        <v/>
      </c>
      <c r="F1450" s="2" t="str">
        <f t="shared" si="66"/>
        <v/>
      </c>
      <c r="G1450" s="2" t="str">
        <f t="shared" si="67"/>
        <v/>
      </c>
      <c r="H1450" s="2" t="str">
        <f>IF(A1450="","",MIN(0,MAX(0,C1450+E1450-'Loan Inputs'!$B$17)))</f>
        <v/>
      </c>
    </row>
    <row r="1451" spans="1:8" ht="22" customHeight="1">
      <c r="A1451" s="1" t="str">
        <f>IF(AND('Loan Inputs'!$B$12,1445&lt;=IF('Loan Inputs'!$B$12,'Loan Inputs'!$B$7,0)*'Loan Inputs'!$B$14+0,ISNUMBER(G1450),G1450&gt;0),1445,"")</f>
        <v/>
      </c>
      <c r="B1451" s="4" t="str">
        <f>IF(A1451="","",IF('Loan Inputs'!$B$14=12,DATE(YEAR('Loan Inputs'!$B$8),MONTH('Loan Inputs'!$B$8)+A1451,DAY('Loan Inputs'!$B$8)),'Loan Inputs'!$B$8+A1451*IF('Loan Inputs'!$B$14=26,14,7)))</f>
        <v/>
      </c>
      <c r="C1451" s="2" t="str">
        <f t="shared" si="68"/>
        <v/>
      </c>
      <c r="D1451" s="2" t="str">
        <f>IF(A1451="","",MIN('Loan Inputs'!$B$17,C1451+E1451)+H1451)</f>
        <v/>
      </c>
      <c r="E1451" s="2" t="str">
        <f>IF(A1451="","",C1451*'Loan Inputs'!$B$15)</f>
        <v/>
      </c>
      <c r="F1451" s="2" t="str">
        <f t="shared" si="66"/>
        <v/>
      </c>
      <c r="G1451" s="2" t="str">
        <f t="shared" si="67"/>
        <v/>
      </c>
      <c r="H1451" s="2" t="str">
        <f>IF(A1451="","",MIN(0,MAX(0,C1451+E1451-'Loan Inputs'!$B$17)))</f>
        <v/>
      </c>
    </row>
    <row r="1452" spans="1:8" ht="22" customHeight="1">
      <c r="A1452" s="1" t="str">
        <f>IF(AND('Loan Inputs'!$B$12,1446&lt;=IF('Loan Inputs'!$B$12,'Loan Inputs'!$B$7,0)*'Loan Inputs'!$B$14+0,ISNUMBER(G1451),G1451&gt;0),1446,"")</f>
        <v/>
      </c>
      <c r="B1452" s="4" t="str">
        <f>IF(A1452="","",IF('Loan Inputs'!$B$14=12,DATE(YEAR('Loan Inputs'!$B$8),MONTH('Loan Inputs'!$B$8)+A1452,DAY('Loan Inputs'!$B$8)),'Loan Inputs'!$B$8+A1452*IF('Loan Inputs'!$B$14=26,14,7)))</f>
        <v/>
      </c>
      <c r="C1452" s="2" t="str">
        <f t="shared" si="68"/>
        <v/>
      </c>
      <c r="D1452" s="2" t="str">
        <f>IF(A1452="","",MIN('Loan Inputs'!$B$17,C1452+E1452)+H1452)</f>
        <v/>
      </c>
      <c r="E1452" s="2" t="str">
        <f>IF(A1452="","",C1452*'Loan Inputs'!$B$15)</f>
        <v/>
      </c>
      <c r="F1452" s="2" t="str">
        <f t="shared" si="66"/>
        <v/>
      </c>
      <c r="G1452" s="2" t="str">
        <f t="shared" si="67"/>
        <v/>
      </c>
      <c r="H1452" s="2" t="str">
        <f>IF(A1452="","",MIN(0,MAX(0,C1452+E1452-'Loan Inputs'!$B$17)))</f>
        <v/>
      </c>
    </row>
    <row r="1453" spans="1:8" ht="22" customHeight="1">
      <c r="A1453" s="1" t="str">
        <f>IF(AND('Loan Inputs'!$B$12,1447&lt;=IF('Loan Inputs'!$B$12,'Loan Inputs'!$B$7,0)*'Loan Inputs'!$B$14+0,ISNUMBER(G1452),G1452&gt;0),1447,"")</f>
        <v/>
      </c>
      <c r="B1453" s="4" t="str">
        <f>IF(A1453="","",IF('Loan Inputs'!$B$14=12,DATE(YEAR('Loan Inputs'!$B$8),MONTH('Loan Inputs'!$B$8)+A1453,DAY('Loan Inputs'!$B$8)),'Loan Inputs'!$B$8+A1453*IF('Loan Inputs'!$B$14=26,14,7)))</f>
        <v/>
      </c>
      <c r="C1453" s="2" t="str">
        <f t="shared" si="68"/>
        <v/>
      </c>
      <c r="D1453" s="2" t="str">
        <f>IF(A1453="","",MIN('Loan Inputs'!$B$17,C1453+E1453)+H1453)</f>
        <v/>
      </c>
      <c r="E1453" s="2" t="str">
        <f>IF(A1453="","",C1453*'Loan Inputs'!$B$15)</f>
        <v/>
      </c>
      <c r="F1453" s="2" t="str">
        <f t="shared" si="66"/>
        <v/>
      </c>
      <c r="G1453" s="2" t="str">
        <f t="shared" si="67"/>
        <v/>
      </c>
      <c r="H1453" s="2" t="str">
        <f>IF(A1453="","",MIN(0,MAX(0,C1453+E1453-'Loan Inputs'!$B$17)))</f>
        <v/>
      </c>
    </row>
    <row r="1454" spans="1:8" ht="22" customHeight="1">
      <c r="A1454" s="1" t="str">
        <f>IF(AND('Loan Inputs'!$B$12,1448&lt;=IF('Loan Inputs'!$B$12,'Loan Inputs'!$B$7,0)*'Loan Inputs'!$B$14+0,ISNUMBER(G1453),G1453&gt;0),1448,"")</f>
        <v/>
      </c>
      <c r="B1454" s="4" t="str">
        <f>IF(A1454="","",IF('Loan Inputs'!$B$14=12,DATE(YEAR('Loan Inputs'!$B$8),MONTH('Loan Inputs'!$B$8)+A1454,DAY('Loan Inputs'!$B$8)),'Loan Inputs'!$B$8+A1454*IF('Loan Inputs'!$B$14=26,14,7)))</f>
        <v/>
      </c>
      <c r="C1454" s="2" t="str">
        <f t="shared" si="68"/>
        <v/>
      </c>
      <c r="D1454" s="2" t="str">
        <f>IF(A1454="","",MIN('Loan Inputs'!$B$17,C1454+E1454)+H1454)</f>
        <v/>
      </c>
      <c r="E1454" s="2" t="str">
        <f>IF(A1454="","",C1454*'Loan Inputs'!$B$15)</f>
        <v/>
      </c>
      <c r="F1454" s="2" t="str">
        <f t="shared" si="66"/>
        <v/>
      </c>
      <c r="G1454" s="2" t="str">
        <f t="shared" si="67"/>
        <v/>
      </c>
      <c r="H1454" s="2" t="str">
        <f>IF(A1454="","",MIN(0,MAX(0,C1454+E1454-'Loan Inputs'!$B$17)))</f>
        <v/>
      </c>
    </row>
    <row r="1455" spans="1:8" ht="22" customHeight="1">
      <c r="A1455" s="1" t="str">
        <f>IF(AND('Loan Inputs'!$B$12,1449&lt;=IF('Loan Inputs'!$B$12,'Loan Inputs'!$B$7,0)*'Loan Inputs'!$B$14+0,ISNUMBER(G1454),G1454&gt;0),1449,"")</f>
        <v/>
      </c>
      <c r="B1455" s="4" t="str">
        <f>IF(A1455="","",IF('Loan Inputs'!$B$14=12,DATE(YEAR('Loan Inputs'!$B$8),MONTH('Loan Inputs'!$B$8)+A1455,DAY('Loan Inputs'!$B$8)),'Loan Inputs'!$B$8+A1455*IF('Loan Inputs'!$B$14=26,14,7)))</f>
        <v/>
      </c>
      <c r="C1455" s="2" t="str">
        <f t="shared" si="68"/>
        <v/>
      </c>
      <c r="D1455" s="2" t="str">
        <f>IF(A1455="","",MIN('Loan Inputs'!$B$17,C1455+E1455)+H1455)</f>
        <v/>
      </c>
      <c r="E1455" s="2" t="str">
        <f>IF(A1455="","",C1455*'Loan Inputs'!$B$15)</f>
        <v/>
      </c>
      <c r="F1455" s="2" t="str">
        <f t="shared" si="66"/>
        <v/>
      </c>
      <c r="G1455" s="2" t="str">
        <f t="shared" si="67"/>
        <v/>
      </c>
      <c r="H1455" s="2" t="str">
        <f>IF(A1455="","",MIN(0,MAX(0,C1455+E1455-'Loan Inputs'!$B$17)))</f>
        <v/>
      </c>
    </row>
    <row r="1456" spans="1:8" ht="22" customHeight="1">
      <c r="A1456" s="1" t="str">
        <f>IF(AND('Loan Inputs'!$B$12,1450&lt;=IF('Loan Inputs'!$B$12,'Loan Inputs'!$B$7,0)*'Loan Inputs'!$B$14+0,ISNUMBER(G1455),G1455&gt;0),1450,"")</f>
        <v/>
      </c>
      <c r="B1456" s="4" t="str">
        <f>IF(A1456="","",IF('Loan Inputs'!$B$14=12,DATE(YEAR('Loan Inputs'!$B$8),MONTH('Loan Inputs'!$B$8)+A1456,DAY('Loan Inputs'!$B$8)),'Loan Inputs'!$B$8+A1456*IF('Loan Inputs'!$B$14=26,14,7)))</f>
        <v/>
      </c>
      <c r="C1456" s="2" t="str">
        <f t="shared" si="68"/>
        <v/>
      </c>
      <c r="D1456" s="2" t="str">
        <f>IF(A1456="","",MIN('Loan Inputs'!$B$17,C1456+E1456)+H1456)</f>
        <v/>
      </c>
      <c r="E1456" s="2" t="str">
        <f>IF(A1456="","",C1456*'Loan Inputs'!$B$15)</f>
        <v/>
      </c>
      <c r="F1456" s="2" t="str">
        <f t="shared" si="66"/>
        <v/>
      </c>
      <c r="G1456" s="2" t="str">
        <f t="shared" si="67"/>
        <v/>
      </c>
      <c r="H1456" s="2" t="str">
        <f>IF(A1456="","",MIN(0,MAX(0,C1456+E1456-'Loan Inputs'!$B$17)))</f>
        <v/>
      </c>
    </row>
    <row r="1457" spans="1:8" ht="22" customHeight="1">
      <c r="A1457" s="1" t="str">
        <f>IF(AND('Loan Inputs'!$B$12,1451&lt;=IF('Loan Inputs'!$B$12,'Loan Inputs'!$B$7,0)*'Loan Inputs'!$B$14+0,ISNUMBER(G1456),G1456&gt;0),1451,"")</f>
        <v/>
      </c>
      <c r="B1457" s="4" t="str">
        <f>IF(A1457="","",IF('Loan Inputs'!$B$14=12,DATE(YEAR('Loan Inputs'!$B$8),MONTH('Loan Inputs'!$B$8)+A1457,DAY('Loan Inputs'!$B$8)),'Loan Inputs'!$B$8+A1457*IF('Loan Inputs'!$B$14=26,14,7)))</f>
        <v/>
      </c>
      <c r="C1457" s="2" t="str">
        <f t="shared" si="68"/>
        <v/>
      </c>
      <c r="D1457" s="2" t="str">
        <f>IF(A1457="","",MIN('Loan Inputs'!$B$17,C1457+E1457)+H1457)</f>
        <v/>
      </c>
      <c r="E1457" s="2" t="str">
        <f>IF(A1457="","",C1457*'Loan Inputs'!$B$15)</f>
        <v/>
      </c>
      <c r="F1457" s="2" t="str">
        <f t="shared" si="66"/>
        <v/>
      </c>
      <c r="G1457" s="2" t="str">
        <f t="shared" si="67"/>
        <v/>
      </c>
      <c r="H1457" s="2" t="str">
        <f>IF(A1457="","",MIN(0,MAX(0,C1457+E1457-'Loan Inputs'!$B$17)))</f>
        <v/>
      </c>
    </row>
    <row r="1458" spans="1:8" ht="22" customHeight="1">
      <c r="A1458" s="1" t="str">
        <f>IF(AND('Loan Inputs'!$B$12,1452&lt;=IF('Loan Inputs'!$B$12,'Loan Inputs'!$B$7,0)*'Loan Inputs'!$B$14+0,ISNUMBER(G1457),G1457&gt;0),1452,"")</f>
        <v/>
      </c>
      <c r="B1458" s="4" t="str">
        <f>IF(A1458="","",IF('Loan Inputs'!$B$14=12,DATE(YEAR('Loan Inputs'!$B$8),MONTH('Loan Inputs'!$B$8)+A1458,DAY('Loan Inputs'!$B$8)),'Loan Inputs'!$B$8+A1458*IF('Loan Inputs'!$B$14=26,14,7)))</f>
        <v/>
      </c>
      <c r="C1458" s="2" t="str">
        <f t="shared" si="68"/>
        <v/>
      </c>
      <c r="D1458" s="2" t="str">
        <f>IF(A1458="","",MIN('Loan Inputs'!$B$17,C1458+E1458)+H1458)</f>
        <v/>
      </c>
      <c r="E1458" s="2" t="str">
        <f>IF(A1458="","",C1458*'Loan Inputs'!$B$15)</f>
        <v/>
      </c>
      <c r="F1458" s="2" t="str">
        <f t="shared" si="66"/>
        <v/>
      </c>
      <c r="G1458" s="2" t="str">
        <f t="shared" si="67"/>
        <v/>
      </c>
      <c r="H1458" s="2" t="str">
        <f>IF(A1458="","",MIN(0,MAX(0,C1458+E1458-'Loan Inputs'!$B$17)))</f>
        <v/>
      </c>
    </row>
    <row r="1459" spans="1:8" ht="22" customHeight="1">
      <c r="A1459" s="1" t="str">
        <f>IF(AND('Loan Inputs'!$B$12,1453&lt;=IF('Loan Inputs'!$B$12,'Loan Inputs'!$B$7,0)*'Loan Inputs'!$B$14+0,ISNUMBER(G1458),G1458&gt;0),1453,"")</f>
        <v/>
      </c>
      <c r="B1459" s="4" t="str">
        <f>IF(A1459="","",IF('Loan Inputs'!$B$14=12,DATE(YEAR('Loan Inputs'!$B$8),MONTH('Loan Inputs'!$B$8)+A1459,DAY('Loan Inputs'!$B$8)),'Loan Inputs'!$B$8+A1459*IF('Loan Inputs'!$B$14=26,14,7)))</f>
        <v/>
      </c>
      <c r="C1459" s="2" t="str">
        <f t="shared" si="68"/>
        <v/>
      </c>
      <c r="D1459" s="2" t="str">
        <f>IF(A1459="","",MIN('Loan Inputs'!$B$17,C1459+E1459)+H1459)</f>
        <v/>
      </c>
      <c r="E1459" s="2" t="str">
        <f>IF(A1459="","",C1459*'Loan Inputs'!$B$15)</f>
        <v/>
      </c>
      <c r="F1459" s="2" t="str">
        <f t="shared" si="66"/>
        <v/>
      </c>
      <c r="G1459" s="2" t="str">
        <f t="shared" si="67"/>
        <v/>
      </c>
      <c r="H1459" s="2" t="str">
        <f>IF(A1459="","",MIN(0,MAX(0,C1459+E1459-'Loan Inputs'!$B$17)))</f>
        <v/>
      </c>
    </row>
    <row r="1460" spans="1:8" ht="22" customHeight="1">
      <c r="A1460" s="1" t="str">
        <f>IF(AND('Loan Inputs'!$B$12,1454&lt;=IF('Loan Inputs'!$B$12,'Loan Inputs'!$B$7,0)*'Loan Inputs'!$B$14+0,ISNUMBER(G1459),G1459&gt;0),1454,"")</f>
        <v/>
      </c>
      <c r="B1460" s="4" t="str">
        <f>IF(A1460="","",IF('Loan Inputs'!$B$14=12,DATE(YEAR('Loan Inputs'!$B$8),MONTH('Loan Inputs'!$B$8)+A1460,DAY('Loan Inputs'!$B$8)),'Loan Inputs'!$B$8+A1460*IF('Loan Inputs'!$B$14=26,14,7)))</f>
        <v/>
      </c>
      <c r="C1460" s="2" t="str">
        <f t="shared" si="68"/>
        <v/>
      </c>
      <c r="D1460" s="2" t="str">
        <f>IF(A1460="","",MIN('Loan Inputs'!$B$17,C1460+E1460)+H1460)</f>
        <v/>
      </c>
      <c r="E1460" s="2" t="str">
        <f>IF(A1460="","",C1460*'Loan Inputs'!$B$15)</f>
        <v/>
      </c>
      <c r="F1460" s="2" t="str">
        <f t="shared" si="66"/>
        <v/>
      </c>
      <c r="G1460" s="2" t="str">
        <f t="shared" si="67"/>
        <v/>
      </c>
      <c r="H1460" s="2" t="str">
        <f>IF(A1460="","",MIN(0,MAX(0,C1460+E1460-'Loan Inputs'!$B$17)))</f>
        <v/>
      </c>
    </row>
    <row r="1461" spans="1:8" ht="22" customHeight="1">
      <c r="A1461" s="1" t="str">
        <f>IF(AND('Loan Inputs'!$B$12,1455&lt;=IF('Loan Inputs'!$B$12,'Loan Inputs'!$B$7,0)*'Loan Inputs'!$B$14+0,ISNUMBER(G1460),G1460&gt;0),1455,"")</f>
        <v/>
      </c>
      <c r="B1461" s="4" t="str">
        <f>IF(A1461="","",IF('Loan Inputs'!$B$14=12,DATE(YEAR('Loan Inputs'!$B$8),MONTH('Loan Inputs'!$B$8)+A1461,DAY('Loan Inputs'!$B$8)),'Loan Inputs'!$B$8+A1461*IF('Loan Inputs'!$B$14=26,14,7)))</f>
        <v/>
      </c>
      <c r="C1461" s="2" t="str">
        <f t="shared" si="68"/>
        <v/>
      </c>
      <c r="D1461" s="2" t="str">
        <f>IF(A1461="","",MIN('Loan Inputs'!$B$17,C1461+E1461)+H1461)</f>
        <v/>
      </c>
      <c r="E1461" s="2" t="str">
        <f>IF(A1461="","",C1461*'Loan Inputs'!$B$15)</f>
        <v/>
      </c>
      <c r="F1461" s="2" t="str">
        <f t="shared" si="66"/>
        <v/>
      </c>
      <c r="G1461" s="2" t="str">
        <f t="shared" si="67"/>
        <v/>
      </c>
      <c r="H1461" s="2" t="str">
        <f>IF(A1461="","",MIN(0,MAX(0,C1461+E1461-'Loan Inputs'!$B$17)))</f>
        <v/>
      </c>
    </row>
    <row r="1462" spans="1:8" ht="22" customHeight="1">
      <c r="A1462" s="1" t="str">
        <f>IF(AND('Loan Inputs'!$B$12,1456&lt;=IF('Loan Inputs'!$B$12,'Loan Inputs'!$B$7,0)*'Loan Inputs'!$B$14+0,ISNUMBER(G1461),G1461&gt;0),1456,"")</f>
        <v/>
      </c>
      <c r="B1462" s="4" t="str">
        <f>IF(A1462="","",IF('Loan Inputs'!$B$14=12,DATE(YEAR('Loan Inputs'!$B$8),MONTH('Loan Inputs'!$B$8)+A1462,DAY('Loan Inputs'!$B$8)),'Loan Inputs'!$B$8+A1462*IF('Loan Inputs'!$B$14=26,14,7)))</f>
        <v/>
      </c>
      <c r="C1462" s="2" t="str">
        <f t="shared" si="68"/>
        <v/>
      </c>
      <c r="D1462" s="2" t="str">
        <f>IF(A1462="","",MIN('Loan Inputs'!$B$17,C1462+E1462)+H1462)</f>
        <v/>
      </c>
      <c r="E1462" s="2" t="str">
        <f>IF(A1462="","",C1462*'Loan Inputs'!$B$15)</f>
        <v/>
      </c>
      <c r="F1462" s="2" t="str">
        <f t="shared" si="66"/>
        <v/>
      </c>
      <c r="G1462" s="2" t="str">
        <f t="shared" si="67"/>
        <v/>
      </c>
      <c r="H1462" s="2" t="str">
        <f>IF(A1462="","",MIN(0,MAX(0,C1462+E1462-'Loan Inputs'!$B$17)))</f>
        <v/>
      </c>
    </row>
    <row r="1463" spans="1:8" ht="22" customHeight="1">
      <c r="A1463" s="1" t="str">
        <f>IF(AND('Loan Inputs'!$B$12,1457&lt;=IF('Loan Inputs'!$B$12,'Loan Inputs'!$B$7,0)*'Loan Inputs'!$B$14+0,ISNUMBER(G1462),G1462&gt;0),1457,"")</f>
        <v/>
      </c>
      <c r="B1463" s="4" t="str">
        <f>IF(A1463="","",IF('Loan Inputs'!$B$14=12,DATE(YEAR('Loan Inputs'!$B$8),MONTH('Loan Inputs'!$B$8)+A1463,DAY('Loan Inputs'!$B$8)),'Loan Inputs'!$B$8+A1463*IF('Loan Inputs'!$B$14=26,14,7)))</f>
        <v/>
      </c>
      <c r="C1463" s="2" t="str">
        <f t="shared" si="68"/>
        <v/>
      </c>
      <c r="D1463" s="2" t="str">
        <f>IF(A1463="","",MIN('Loan Inputs'!$B$17,C1463+E1463)+H1463)</f>
        <v/>
      </c>
      <c r="E1463" s="2" t="str">
        <f>IF(A1463="","",C1463*'Loan Inputs'!$B$15)</f>
        <v/>
      </c>
      <c r="F1463" s="2" t="str">
        <f t="shared" si="66"/>
        <v/>
      </c>
      <c r="G1463" s="2" t="str">
        <f t="shared" si="67"/>
        <v/>
      </c>
      <c r="H1463" s="2" t="str">
        <f>IF(A1463="","",MIN(0,MAX(0,C1463+E1463-'Loan Inputs'!$B$17)))</f>
        <v/>
      </c>
    </row>
    <row r="1464" spans="1:8" ht="22" customHeight="1">
      <c r="A1464" s="1" t="str">
        <f>IF(AND('Loan Inputs'!$B$12,1458&lt;=IF('Loan Inputs'!$B$12,'Loan Inputs'!$B$7,0)*'Loan Inputs'!$B$14+0,ISNUMBER(G1463),G1463&gt;0),1458,"")</f>
        <v/>
      </c>
      <c r="B1464" s="4" t="str">
        <f>IF(A1464="","",IF('Loan Inputs'!$B$14=12,DATE(YEAR('Loan Inputs'!$B$8),MONTH('Loan Inputs'!$B$8)+A1464,DAY('Loan Inputs'!$B$8)),'Loan Inputs'!$B$8+A1464*IF('Loan Inputs'!$B$14=26,14,7)))</f>
        <v/>
      </c>
      <c r="C1464" s="2" t="str">
        <f t="shared" si="68"/>
        <v/>
      </c>
      <c r="D1464" s="2" t="str">
        <f>IF(A1464="","",MIN('Loan Inputs'!$B$17,C1464+E1464)+H1464)</f>
        <v/>
      </c>
      <c r="E1464" s="2" t="str">
        <f>IF(A1464="","",C1464*'Loan Inputs'!$B$15)</f>
        <v/>
      </c>
      <c r="F1464" s="2" t="str">
        <f t="shared" si="66"/>
        <v/>
      </c>
      <c r="G1464" s="2" t="str">
        <f t="shared" si="67"/>
        <v/>
      </c>
      <c r="H1464" s="2" t="str">
        <f>IF(A1464="","",MIN(0,MAX(0,C1464+E1464-'Loan Inputs'!$B$17)))</f>
        <v/>
      </c>
    </row>
    <row r="1465" spans="1:8" ht="22" customHeight="1">
      <c r="A1465" s="1" t="str">
        <f>IF(AND('Loan Inputs'!$B$12,1459&lt;=IF('Loan Inputs'!$B$12,'Loan Inputs'!$B$7,0)*'Loan Inputs'!$B$14+0,ISNUMBER(G1464),G1464&gt;0),1459,"")</f>
        <v/>
      </c>
      <c r="B1465" s="4" t="str">
        <f>IF(A1465="","",IF('Loan Inputs'!$B$14=12,DATE(YEAR('Loan Inputs'!$B$8),MONTH('Loan Inputs'!$B$8)+A1465,DAY('Loan Inputs'!$B$8)),'Loan Inputs'!$B$8+A1465*IF('Loan Inputs'!$B$14=26,14,7)))</f>
        <v/>
      </c>
      <c r="C1465" s="2" t="str">
        <f t="shared" si="68"/>
        <v/>
      </c>
      <c r="D1465" s="2" t="str">
        <f>IF(A1465="","",MIN('Loan Inputs'!$B$17,C1465+E1465)+H1465)</f>
        <v/>
      </c>
      <c r="E1465" s="2" t="str">
        <f>IF(A1465="","",C1465*'Loan Inputs'!$B$15)</f>
        <v/>
      </c>
      <c r="F1465" s="2" t="str">
        <f t="shared" si="66"/>
        <v/>
      </c>
      <c r="G1465" s="2" t="str">
        <f t="shared" si="67"/>
        <v/>
      </c>
      <c r="H1465" s="2" t="str">
        <f>IF(A1465="","",MIN(0,MAX(0,C1465+E1465-'Loan Inputs'!$B$17)))</f>
        <v/>
      </c>
    </row>
    <row r="1466" spans="1:8" ht="22" customHeight="1">
      <c r="A1466" s="1" t="str">
        <f>IF(AND('Loan Inputs'!$B$12,1460&lt;=IF('Loan Inputs'!$B$12,'Loan Inputs'!$B$7,0)*'Loan Inputs'!$B$14+0,ISNUMBER(G1465),G1465&gt;0),1460,"")</f>
        <v/>
      </c>
      <c r="B1466" s="4" t="str">
        <f>IF(A1466="","",IF('Loan Inputs'!$B$14=12,DATE(YEAR('Loan Inputs'!$B$8),MONTH('Loan Inputs'!$B$8)+A1466,DAY('Loan Inputs'!$B$8)),'Loan Inputs'!$B$8+A1466*IF('Loan Inputs'!$B$14=26,14,7)))</f>
        <v/>
      </c>
      <c r="C1466" s="2" t="str">
        <f t="shared" si="68"/>
        <v/>
      </c>
      <c r="D1466" s="2" t="str">
        <f>IF(A1466="","",MIN('Loan Inputs'!$B$17,C1466+E1466)+H1466)</f>
        <v/>
      </c>
      <c r="E1466" s="2" t="str">
        <f>IF(A1466="","",C1466*'Loan Inputs'!$B$15)</f>
        <v/>
      </c>
      <c r="F1466" s="2" t="str">
        <f t="shared" si="66"/>
        <v/>
      </c>
      <c r="G1466" s="2" t="str">
        <f t="shared" si="67"/>
        <v/>
      </c>
      <c r="H1466" s="2" t="str">
        <f>IF(A1466="","",MIN(0,MAX(0,C1466+E1466-'Loan Inputs'!$B$17)))</f>
        <v/>
      </c>
    </row>
    <row r="1467" spans="1:8" ht="22" customHeight="1">
      <c r="A1467" s="1" t="str">
        <f>IF(AND('Loan Inputs'!$B$12,1461&lt;=IF('Loan Inputs'!$B$12,'Loan Inputs'!$B$7,0)*'Loan Inputs'!$B$14+0,ISNUMBER(G1466),G1466&gt;0),1461,"")</f>
        <v/>
      </c>
      <c r="B1467" s="4" t="str">
        <f>IF(A1467="","",IF('Loan Inputs'!$B$14=12,DATE(YEAR('Loan Inputs'!$B$8),MONTH('Loan Inputs'!$B$8)+A1467,DAY('Loan Inputs'!$B$8)),'Loan Inputs'!$B$8+A1467*IF('Loan Inputs'!$B$14=26,14,7)))</f>
        <v/>
      </c>
      <c r="C1467" s="2" t="str">
        <f t="shared" si="68"/>
        <v/>
      </c>
      <c r="D1467" s="2" t="str">
        <f>IF(A1467="","",MIN('Loan Inputs'!$B$17,C1467+E1467)+H1467)</f>
        <v/>
      </c>
      <c r="E1467" s="2" t="str">
        <f>IF(A1467="","",C1467*'Loan Inputs'!$B$15)</f>
        <v/>
      </c>
      <c r="F1467" s="2" t="str">
        <f t="shared" si="66"/>
        <v/>
      </c>
      <c r="G1467" s="2" t="str">
        <f t="shared" si="67"/>
        <v/>
      </c>
      <c r="H1467" s="2" t="str">
        <f>IF(A1467="","",MIN(0,MAX(0,C1467+E1467-'Loan Inputs'!$B$17)))</f>
        <v/>
      </c>
    </row>
    <row r="1468" spans="1:8" ht="22" customHeight="1">
      <c r="A1468" s="1" t="str">
        <f>IF(AND('Loan Inputs'!$B$12,1462&lt;=IF('Loan Inputs'!$B$12,'Loan Inputs'!$B$7,0)*'Loan Inputs'!$B$14+0,ISNUMBER(G1467),G1467&gt;0),1462,"")</f>
        <v/>
      </c>
      <c r="B1468" s="4" t="str">
        <f>IF(A1468="","",IF('Loan Inputs'!$B$14=12,DATE(YEAR('Loan Inputs'!$B$8),MONTH('Loan Inputs'!$B$8)+A1468,DAY('Loan Inputs'!$B$8)),'Loan Inputs'!$B$8+A1468*IF('Loan Inputs'!$B$14=26,14,7)))</f>
        <v/>
      </c>
      <c r="C1468" s="2" t="str">
        <f t="shared" si="68"/>
        <v/>
      </c>
      <c r="D1468" s="2" t="str">
        <f>IF(A1468="","",MIN('Loan Inputs'!$B$17,C1468+E1468)+H1468)</f>
        <v/>
      </c>
      <c r="E1468" s="2" t="str">
        <f>IF(A1468="","",C1468*'Loan Inputs'!$B$15)</f>
        <v/>
      </c>
      <c r="F1468" s="2" t="str">
        <f t="shared" si="66"/>
        <v/>
      </c>
      <c r="G1468" s="2" t="str">
        <f t="shared" si="67"/>
        <v/>
      </c>
      <c r="H1468" s="2" t="str">
        <f>IF(A1468="","",MIN(0,MAX(0,C1468+E1468-'Loan Inputs'!$B$17)))</f>
        <v/>
      </c>
    </row>
    <row r="1469" spans="1:8" ht="22" customHeight="1">
      <c r="A1469" s="1" t="str">
        <f>IF(AND('Loan Inputs'!$B$12,1463&lt;=IF('Loan Inputs'!$B$12,'Loan Inputs'!$B$7,0)*'Loan Inputs'!$B$14+0,ISNUMBER(G1468),G1468&gt;0),1463,"")</f>
        <v/>
      </c>
      <c r="B1469" s="4" t="str">
        <f>IF(A1469="","",IF('Loan Inputs'!$B$14=12,DATE(YEAR('Loan Inputs'!$B$8),MONTH('Loan Inputs'!$B$8)+A1469,DAY('Loan Inputs'!$B$8)),'Loan Inputs'!$B$8+A1469*IF('Loan Inputs'!$B$14=26,14,7)))</f>
        <v/>
      </c>
      <c r="C1469" s="2" t="str">
        <f t="shared" si="68"/>
        <v/>
      </c>
      <c r="D1469" s="2" t="str">
        <f>IF(A1469="","",MIN('Loan Inputs'!$B$17,C1469+E1469)+H1469)</f>
        <v/>
      </c>
      <c r="E1469" s="2" t="str">
        <f>IF(A1469="","",C1469*'Loan Inputs'!$B$15)</f>
        <v/>
      </c>
      <c r="F1469" s="2" t="str">
        <f t="shared" si="66"/>
        <v/>
      </c>
      <c r="G1469" s="2" t="str">
        <f t="shared" si="67"/>
        <v/>
      </c>
      <c r="H1469" s="2" t="str">
        <f>IF(A1469="","",MIN(0,MAX(0,C1469+E1469-'Loan Inputs'!$B$17)))</f>
        <v/>
      </c>
    </row>
    <row r="1470" spans="1:8" ht="22" customHeight="1">
      <c r="A1470" s="1" t="str">
        <f>IF(AND('Loan Inputs'!$B$12,1464&lt;=IF('Loan Inputs'!$B$12,'Loan Inputs'!$B$7,0)*'Loan Inputs'!$B$14+0,ISNUMBER(G1469),G1469&gt;0),1464,"")</f>
        <v/>
      </c>
      <c r="B1470" s="4" t="str">
        <f>IF(A1470="","",IF('Loan Inputs'!$B$14=12,DATE(YEAR('Loan Inputs'!$B$8),MONTH('Loan Inputs'!$B$8)+A1470,DAY('Loan Inputs'!$B$8)),'Loan Inputs'!$B$8+A1470*IF('Loan Inputs'!$B$14=26,14,7)))</f>
        <v/>
      </c>
      <c r="C1470" s="2" t="str">
        <f t="shared" si="68"/>
        <v/>
      </c>
      <c r="D1470" s="2" t="str">
        <f>IF(A1470="","",MIN('Loan Inputs'!$B$17,C1470+E1470)+H1470)</f>
        <v/>
      </c>
      <c r="E1470" s="2" t="str">
        <f>IF(A1470="","",C1470*'Loan Inputs'!$B$15)</f>
        <v/>
      </c>
      <c r="F1470" s="2" t="str">
        <f t="shared" si="66"/>
        <v/>
      </c>
      <c r="G1470" s="2" t="str">
        <f t="shared" si="67"/>
        <v/>
      </c>
      <c r="H1470" s="2" t="str">
        <f>IF(A1470="","",MIN(0,MAX(0,C1470+E1470-'Loan Inputs'!$B$17)))</f>
        <v/>
      </c>
    </row>
    <row r="1471" spans="1:8" ht="22" customHeight="1">
      <c r="A1471" s="1" t="str">
        <f>IF(AND('Loan Inputs'!$B$12,1465&lt;=IF('Loan Inputs'!$B$12,'Loan Inputs'!$B$7,0)*'Loan Inputs'!$B$14+0,ISNUMBER(G1470),G1470&gt;0),1465,"")</f>
        <v/>
      </c>
      <c r="B1471" s="4" t="str">
        <f>IF(A1471="","",IF('Loan Inputs'!$B$14=12,DATE(YEAR('Loan Inputs'!$B$8),MONTH('Loan Inputs'!$B$8)+A1471,DAY('Loan Inputs'!$B$8)),'Loan Inputs'!$B$8+A1471*IF('Loan Inputs'!$B$14=26,14,7)))</f>
        <v/>
      </c>
      <c r="C1471" s="2" t="str">
        <f t="shared" si="68"/>
        <v/>
      </c>
      <c r="D1471" s="2" t="str">
        <f>IF(A1471="","",MIN('Loan Inputs'!$B$17,C1471+E1471)+H1471)</f>
        <v/>
      </c>
      <c r="E1471" s="2" t="str">
        <f>IF(A1471="","",C1471*'Loan Inputs'!$B$15)</f>
        <v/>
      </c>
      <c r="F1471" s="2" t="str">
        <f t="shared" si="66"/>
        <v/>
      </c>
      <c r="G1471" s="2" t="str">
        <f t="shared" si="67"/>
        <v/>
      </c>
      <c r="H1471" s="2" t="str">
        <f>IF(A1471="","",MIN(0,MAX(0,C1471+E1471-'Loan Inputs'!$B$17)))</f>
        <v/>
      </c>
    </row>
    <row r="1472" spans="1:8" ht="22" customHeight="1">
      <c r="A1472" s="1" t="str">
        <f>IF(AND('Loan Inputs'!$B$12,1466&lt;=IF('Loan Inputs'!$B$12,'Loan Inputs'!$B$7,0)*'Loan Inputs'!$B$14+0,ISNUMBER(G1471),G1471&gt;0),1466,"")</f>
        <v/>
      </c>
      <c r="B1472" s="4" t="str">
        <f>IF(A1472="","",IF('Loan Inputs'!$B$14=12,DATE(YEAR('Loan Inputs'!$B$8),MONTH('Loan Inputs'!$B$8)+A1472,DAY('Loan Inputs'!$B$8)),'Loan Inputs'!$B$8+A1472*IF('Loan Inputs'!$B$14=26,14,7)))</f>
        <v/>
      </c>
      <c r="C1472" s="2" t="str">
        <f t="shared" si="68"/>
        <v/>
      </c>
      <c r="D1472" s="2" t="str">
        <f>IF(A1472="","",MIN('Loan Inputs'!$B$17,C1472+E1472)+H1472)</f>
        <v/>
      </c>
      <c r="E1472" s="2" t="str">
        <f>IF(A1472="","",C1472*'Loan Inputs'!$B$15)</f>
        <v/>
      </c>
      <c r="F1472" s="2" t="str">
        <f t="shared" si="66"/>
        <v/>
      </c>
      <c r="G1472" s="2" t="str">
        <f t="shared" si="67"/>
        <v/>
      </c>
      <c r="H1472" s="2" t="str">
        <f>IF(A1472="","",MIN(0,MAX(0,C1472+E1472-'Loan Inputs'!$B$17)))</f>
        <v/>
      </c>
    </row>
    <row r="1473" spans="1:8" ht="22" customHeight="1">
      <c r="A1473" s="1" t="str">
        <f>IF(AND('Loan Inputs'!$B$12,1467&lt;=IF('Loan Inputs'!$B$12,'Loan Inputs'!$B$7,0)*'Loan Inputs'!$B$14+0,ISNUMBER(G1472),G1472&gt;0),1467,"")</f>
        <v/>
      </c>
      <c r="B1473" s="4" t="str">
        <f>IF(A1473="","",IF('Loan Inputs'!$B$14=12,DATE(YEAR('Loan Inputs'!$B$8),MONTH('Loan Inputs'!$B$8)+A1473,DAY('Loan Inputs'!$B$8)),'Loan Inputs'!$B$8+A1473*IF('Loan Inputs'!$B$14=26,14,7)))</f>
        <v/>
      </c>
      <c r="C1473" s="2" t="str">
        <f t="shared" si="68"/>
        <v/>
      </c>
      <c r="D1473" s="2" t="str">
        <f>IF(A1473="","",MIN('Loan Inputs'!$B$17,C1473+E1473)+H1473)</f>
        <v/>
      </c>
      <c r="E1473" s="2" t="str">
        <f>IF(A1473="","",C1473*'Loan Inputs'!$B$15)</f>
        <v/>
      </c>
      <c r="F1473" s="2" t="str">
        <f t="shared" si="66"/>
        <v/>
      </c>
      <c r="G1473" s="2" t="str">
        <f t="shared" si="67"/>
        <v/>
      </c>
      <c r="H1473" s="2" t="str">
        <f>IF(A1473="","",MIN(0,MAX(0,C1473+E1473-'Loan Inputs'!$B$17)))</f>
        <v/>
      </c>
    </row>
    <row r="1474" spans="1:8" ht="22" customHeight="1">
      <c r="A1474" s="1" t="str">
        <f>IF(AND('Loan Inputs'!$B$12,1468&lt;=IF('Loan Inputs'!$B$12,'Loan Inputs'!$B$7,0)*'Loan Inputs'!$B$14+0,ISNUMBER(G1473),G1473&gt;0),1468,"")</f>
        <v/>
      </c>
      <c r="B1474" s="4" t="str">
        <f>IF(A1474="","",IF('Loan Inputs'!$B$14=12,DATE(YEAR('Loan Inputs'!$B$8),MONTH('Loan Inputs'!$B$8)+A1474,DAY('Loan Inputs'!$B$8)),'Loan Inputs'!$B$8+A1474*IF('Loan Inputs'!$B$14=26,14,7)))</f>
        <v/>
      </c>
      <c r="C1474" s="2" t="str">
        <f t="shared" si="68"/>
        <v/>
      </c>
      <c r="D1474" s="2" t="str">
        <f>IF(A1474="","",MIN('Loan Inputs'!$B$17,C1474+E1474)+H1474)</f>
        <v/>
      </c>
      <c r="E1474" s="2" t="str">
        <f>IF(A1474="","",C1474*'Loan Inputs'!$B$15)</f>
        <v/>
      </c>
      <c r="F1474" s="2" t="str">
        <f t="shared" si="66"/>
        <v/>
      </c>
      <c r="G1474" s="2" t="str">
        <f t="shared" si="67"/>
        <v/>
      </c>
      <c r="H1474" s="2" t="str">
        <f>IF(A1474="","",MIN(0,MAX(0,C1474+E1474-'Loan Inputs'!$B$17)))</f>
        <v/>
      </c>
    </row>
    <row r="1475" spans="1:8" ht="22" customHeight="1">
      <c r="A1475" s="1" t="str">
        <f>IF(AND('Loan Inputs'!$B$12,1469&lt;=IF('Loan Inputs'!$B$12,'Loan Inputs'!$B$7,0)*'Loan Inputs'!$B$14+0,ISNUMBER(G1474),G1474&gt;0),1469,"")</f>
        <v/>
      </c>
      <c r="B1475" s="4" t="str">
        <f>IF(A1475="","",IF('Loan Inputs'!$B$14=12,DATE(YEAR('Loan Inputs'!$B$8),MONTH('Loan Inputs'!$B$8)+A1475,DAY('Loan Inputs'!$B$8)),'Loan Inputs'!$B$8+A1475*IF('Loan Inputs'!$B$14=26,14,7)))</f>
        <v/>
      </c>
      <c r="C1475" s="2" t="str">
        <f t="shared" si="68"/>
        <v/>
      </c>
      <c r="D1475" s="2" t="str">
        <f>IF(A1475="","",MIN('Loan Inputs'!$B$17,C1475+E1475)+H1475)</f>
        <v/>
      </c>
      <c r="E1475" s="2" t="str">
        <f>IF(A1475="","",C1475*'Loan Inputs'!$B$15)</f>
        <v/>
      </c>
      <c r="F1475" s="2" t="str">
        <f t="shared" si="66"/>
        <v/>
      </c>
      <c r="G1475" s="2" t="str">
        <f t="shared" si="67"/>
        <v/>
      </c>
      <c r="H1475" s="2" t="str">
        <f>IF(A1475="","",MIN(0,MAX(0,C1475+E1475-'Loan Inputs'!$B$17)))</f>
        <v/>
      </c>
    </row>
    <row r="1476" spans="1:8" ht="22" customHeight="1">
      <c r="A1476" s="1" t="str">
        <f>IF(AND('Loan Inputs'!$B$12,1470&lt;=IF('Loan Inputs'!$B$12,'Loan Inputs'!$B$7,0)*'Loan Inputs'!$B$14+0,ISNUMBER(G1475),G1475&gt;0),1470,"")</f>
        <v/>
      </c>
      <c r="B1476" s="4" t="str">
        <f>IF(A1476="","",IF('Loan Inputs'!$B$14=12,DATE(YEAR('Loan Inputs'!$B$8),MONTH('Loan Inputs'!$B$8)+A1476,DAY('Loan Inputs'!$B$8)),'Loan Inputs'!$B$8+A1476*IF('Loan Inputs'!$B$14=26,14,7)))</f>
        <v/>
      </c>
      <c r="C1476" s="2" t="str">
        <f t="shared" si="68"/>
        <v/>
      </c>
      <c r="D1476" s="2" t="str">
        <f>IF(A1476="","",MIN('Loan Inputs'!$B$17,C1476+E1476)+H1476)</f>
        <v/>
      </c>
      <c r="E1476" s="2" t="str">
        <f>IF(A1476="","",C1476*'Loan Inputs'!$B$15)</f>
        <v/>
      </c>
      <c r="F1476" s="2" t="str">
        <f t="shared" si="66"/>
        <v/>
      </c>
      <c r="G1476" s="2" t="str">
        <f t="shared" si="67"/>
        <v/>
      </c>
      <c r="H1476" s="2" t="str">
        <f>IF(A1476="","",MIN(0,MAX(0,C1476+E1476-'Loan Inputs'!$B$17)))</f>
        <v/>
      </c>
    </row>
    <row r="1477" spans="1:8" ht="22" customHeight="1">
      <c r="A1477" s="1" t="str">
        <f>IF(AND('Loan Inputs'!$B$12,1471&lt;=IF('Loan Inputs'!$B$12,'Loan Inputs'!$B$7,0)*'Loan Inputs'!$B$14+0,ISNUMBER(G1476),G1476&gt;0),1471,"")</f>
        <v/>
      </c>
      <c r="B1477" s="4" t="str">
        <f>IF(A1477="","",IF('Loan Inputs'!$B$14=12,DATE(YEAR('Loan Inputs'!$B$8),MONTH('Loan Inputs'!$B$8)+A1477,DAY('Loan Inputs'!$B$8)),'Loan Inputs'!$B$8+A1477*IF('Loan Inputs'!$B$14=26,14,7)))</f>
        <v/>
      </c>
      <c r="C1477" s="2" t="str">
        <f t="shared" si="68"/>
        <v/>
      </c>
      <c r="D1477" s="2" t="str">
        <f>IF(A1477="","",MIN('Loan Inputs'!$B$17,C1477+E1477)+H1477)</f>
        <v/>
      </c>
      <c r="E1477" s="2" t="str">
        <f>IF(A1477="","",C1477*'Loan Inputs'!$B$15)</f>
        <v/>
      </c>
      <c r="F1477" s="2" t="str">
        <f t="shared" si="66"/>
        <v/>
      </c>
      <c r="G1477" s="2" t="str">
        <f t="shared" si="67"/>
        <v/>
      </c>
      <c r="H1477" s="2" t="str">
        <f>IF(A1477="","",MIN(0,MAX(0,C1477+E1477-'Loan Inputs'!$B$17)))</f>
        <v/>
      </c>
    </row>
    <row r="1478" spans="1:8" ht="22" customHeight="1">
      <c r="A1478" s="1" t="str">
        <f>IF(AND('Loan Inputs'!$B$12,1472&lt;=IF('Loan Inputs'!$B$12,'Loan Inputs'!$B$7,0)*'Loan Inputs'!$B$14+0,ISNUMBER(G1477),G1477&gt;0),1472,"")</f>
        <v/>
      </c>
      <c r="B1478" s="4" t="str">
        <f>IF(A1478="","",IF('Loan Inputs'!$B$14=12,DATE(YEAR('Loan Inputs'!$B$8),MONTH('Loan Inputs'!$B$8)+A1478,DAY('Loan Inputs'!$B$8)),'Loan Inputs'!$B$8+A1478*IF('Loan Inputs'!$B$14=26,14,7)))</f>
        <v/>
      </c>
      <c r="C1478" s="2" t="str">
        <f t="shared" si="68"/>
        <v/>
      </c>
      <c r="D1478" s="2" t="str">
        <f>IF(A1478="","",MIN('Loan Inputs'!$B$17,C1478+E1478)+H1478)</f>
        <v/>
      </c>
      <c r="E1478" s="2" t="str">
        <f>IF(A1478="","",C1478*'Loan Inputs'!$B$15)</f>
        <v/>
      </c>
      <c r="F1478" s="2" t="str">
        <f t="shared" si="66"/>
        <v/>
      </c>
      <c r="G1478" s="2" t="str">
        <f t="shared" si="67"/>
        <v/>
      </c>
      <c r="H1478" s="2" t="str">
        <f>IF(A1478="","",MIN(0,MAX(0,C1478+E1478-'Loan Inputs'!$B$17)))</f>
        <v/>
      </c>
    </row>
    <row r="1479" spans="1:8" ht="22" customHeight="1">
      <c r="A1479" s="1" t="str">
        <f>IF(AND('Loan Inputs'!$B$12,1473&lt;=IF('Loan Inputs'!$B$12,'Loan Inputs'!$B$7,0)*'Loan Inputs'!$B$14+0,ISNUMBER(G1478),G1478&gt;0),1473,"")</f>
        <v/>
      </c>
      <c r="B1479" s="4" t="str">
        <f>IF(A1479="","",IF('Loan Inputs'!$B$14=12,DATE(YEAR('Loan Inputs'!$B$8),MONTH('Loan Inputs'!$B$8)+A1479,DAY('Loan Inputs'!$B$8)),'Loan Inputs'!$B$8+A1479*IF('Loan Inputs'!$B$14=26,14,7)))</f>
        <v/>
      </c>
      <c r="C1479" s="2" t="str">
        <f t="shared" si="68"/>
        <v/>
      </c>
      <c r="D1479" s="2" t="str">
        <f>IF(A1479="","",MIN('Loan Inputs'!$B$17,C1479+E1479)+H1479)</f>
        <v/>
      </c>
      <c r="E1479" s="2" t="str">
        <f>IF(A1479="","",C1479*'Loan Inputs'!$B$15)</f>
        <v/>
      </c>
      <c r="F1479" s="2" t="str">
        <f t="shared" ref="F1479:F1542" si="69">IF(A1479="","",MIN(C1479,D1479-E1479))</f>
        <v/>
      </c>
      <c r="G1479" s="2" t="str">
        <f t="shared" ref="G1479:G1542" si="70">IF(A1479="","",IF(C1479-F1479&lt;0.01,0,MAX(0,C1479-F1479)))</f>
        <v/>
      </c>
      <c r="H1479" s="2" t="str">
        <f>IF(A1479="","",MIN(0,MAX(0,C1479+E1479-'Loan Inputs'!$B$17)))</f>
        <v/>
      </c>
    </row>
    <row r="1480" spans="1:8" ht="22" customHeight="1">
      <c r="A1480" s="1" t="str">
        <f>IF(AND('Loan Inputs'!$B$12,1474&lt;=IF('Loan Inputs'!$B$12,'Loan Inputs'!$B$7,0)*'Loan Inputs'!$B$14+0,ISNUMBER(G1479),G1479&gt;0),1474,"")</f>
        <v/>
      </c>
      <c r="B1480" s="4" t="str">
        <f>IF(A1480="","",IF('Loan Inputs'!$B$14=12,DATE(YEAR('Loan Inputs'!$B$8),MONTH('Loan Inputs'!$B$8)+A1480,DAY('Loan Inputs'!$B$8)),'Loan Inputs'!$B$8+A1480*IF('Loan Inputs'!$B$14=26,14,7)))</f>
        <v/>
      </c>
      <c r="C1480" s="2" t="str">
        <f t="shared" ref="C1480:C1543" si="71">IF(A1480="","",G1479)</f>
        <v/>
      </c>
      <c r="D1480" s="2" t="str">
        <f>IF(A1480="","",MIN('Loan Inputs'!$B$17,C1480+E1480)+H1480)</f>
        <v/>
      </c>
      <c r="E1480" s="2" t="str">
        <f>IF(A1480="","",C1480*'Loan Inputs'!$B$15)</f>
        <v/>
      </c>
      <c r="F1480" s="2" t="str">
        <f t="shared" si="69"/>
        <v/>
      </c>
      <c r="G1480" s="2" t="str">
        <f t="shared" si="70"/>
        <v/>
      </c>
      <c r="H1480" s="2" t="str">
        <f>IF(A1480="","",MIN(0,MAX(0,C1480+E1480-'Loan Inputs'!$B$17)))</f>
        <v/>
      </c>
    </row>
    <row r="1481" spans="1:8" ht="22" customHeight="1">
      <c r="A1481" s="1" t="str">
        <f>IF(AND('Loan Inputs'!$B$12,1475&lt;=IF('Loan Inputs'!$B$12,'Loan Inputs'!$B$7,0)*'Loan Inputs'!$B$14+0,ISNUMBER(G1480),G1480&gt;0),1475,"")</f>
        <v/>
      </c>
      <c r="B1481" s="4" t="str">
        <f>IF(A1481="","",IF('Loan Inputs'!$B$14=12,DATE(YEAR('Loan Inputs'!$B$8),MONTH('Loan Inputs'!$B$8)+A1481,DAY('Loan Inputs'!$B$8)),'Loan Inputs'!$B$8+A1481*IF('Loan Inputs'!$B$14=26,14,7)))</f>
        <v/>
      </c>
      <c r="C1481" s="2" t="str">
        <f t="shared" si="71"/>
        <v/>
      </c>
      <c r="D1481" s="2" t="str">
        <f>IF(A1481="","",MIN('Loan Inputs'!$B$17,C1481+E1481)+H1481)</f>
        <v/>
      </c>
      <c r="E1481" s="2" t="str">
        <f>IF(A1481="","",C1481*'Loan Inputs'!$B$15)</f>
        <v/>
      </c>
      <c r="F1481" s="2" t="str">
        <f t="shared" si="69"/>
        <v/>
      </c>
      <c r="G1481" s="2" t="str">
        <f t="shared" si="70"/>
        <v/>
      </c>
      <c r="H1481" s="2" t="str">
        <f>IF(A1481="","",MIN(0,MAX(0,C1481+E1481-'Loan Inputs'!$B$17)))</f>
        <v/>
      </c>
    </row>
    <row r="1482" spans="1:8" ht="22" customHeight="1">
      <c r="A1482" s="1" t="str">
        <f>IF(AND('Loan Inputs'!$B$12,1476&lt;=IF('Loan Inputs'!$B$12,'Loan Inputs'!$B$7,0)*'Loan Inputs'!$B$14+0,ISNUMBER(G1481),G1481&gt;0),1476,"")</f>
        <v/>
      </c>
      <c r="B1482" s="4" t="str">
        <f>IF(A1482="","",IF('Loan Inputs'!$B$14=12,DATE(YEAR('Loan Inputs'!$B$8),MONTH('Loan Inputs'!$B$8)+A1482,DAY('Loan Inputs'!$B$8)),'Loan Inputs'!$B$8+A1482*IF('Loan Inputs'!$B$14=26,14,7)))</f>
        <v/>
      </c>
      <c r="C1482" s="2" t="str">
        <f t="shared" si="71"/>
        <v/>
      </c>
      <c r="D1482" s="2" t="str">
        <f>IF(A1482="","",MIN('Loan Inputs'!$B$17,C1482+E1482)+H1482)</f>
        <v/>
      </c>
      <c r="E1482" s="2" t="str">
        <f>IF(A1482="","",C1482*'Loan Inputs'!$B$15)</f>
        <v/>
      </c>
      <c r="F1482" s="2" t="str">
        <f t="shared" si="69"/>
        <v/>
      </c>
      <c r="G1482" s="2" t="str">
        <f t="shared" si="70"/>
        <v/>
      </c>
      <c r="H1482" s="2" t="str">
        <f>IF(A1482="","",MIN(0,MAX(0,C1482+E1482-'Loan Inputs'!$B$17)))</f>
        <v/>
      </c>
    </row>
    <row r="1483" spans="1:8" ht="22" customHeight="1">
      <c r="A1483" s="1" t="str">
        <f>IF(AND('Loan Inputs'!$B$12,1477&lt;=IF('Loan Inputs'!$B$12,'Loan Inputs'!$B$7,0)*'Loan Inputs'!$B$14+0,ISNUMBER(G1482),G1482&gt;0),1477,"")</f>
        <v/>
      </c>
      <c r="B1483" s="4" t="str">
        <f>IF(A1483="","",IF('Loan Inputs'!$B$14=12,DATE(YEAR('Loan Inputs'!$B$8),MONTH('Loan Inputs'!$B$8)+A1483,DAY('Loan Inputs'!$B$8)),'Loan Inputs'!$B$8+A1483*IF('Loan Inputs'!$B$14=26,14,7)))</f>
        <v/>
      </c>
      <c r="C1483" s="2" t="str">
        <f t="shared" si="71"/>
        <v/>
      </c>
      <c r="D1483" s="2" t="str">
        <f>IF(A1483="","",MIN('Loan Inputs'!$B$17,C1483+E1483)+H1483)</f>
        <v/>
      </c>
      <c r="E1483" s="2" t="str">
        <f>IF(A1483="","",C1483*'Loan Inputs'!$B$15)</f>
        <v/>
      </c>
      <c r="F1483" s="2" t="str">
        <f t="shared" si="69"/>
        <v/>
      </c>
      <c r="G1483" s="2" t="str">
        <f t="shared" si="70"/>
        <v/>
      </c>
      <c r="H1483" s="2" t="str">
        <f>IF(A1483="","",MIN(0,MAX(0,C1483+E1483-'Loan Inputs'!$B$17)))</f>
        <v/>
      </c>
    </row>
    <row r="1484" spans="1:8" ht="22" customHeight="1">
      <c r="A1484" s="1" t="str">
        <f>IF(AND('Loan Inputs'!$B$12,1478&lt;=IF('Loan Inputs'!$B$12,'Loan Inputs'!$B$7,0)*'Loan Inputs'!$B$14+0,ISNUMBER(G1483),G1483&gt;0),1478,"")</f>
        <v/>
      </c>
      <c r="B1484" s="4" t="str">
        <f>IF(A1484="","",IF('Loan Inputs'!$B$14=12,DATE(YEAR('Loan Inputs'!$B$8),MONTH('Loan Inputs'!$B$8)+A1484,DAY('Loan Inputs'!$B$8)),'Loan Inputs'!$B$8+A1484*IF('Loan Inputs'!$B$14=26,14,7)))</f>
        <v/>
      </c>
      <c r="C1484" s="2" t="str">
        <f t="shared" si="71"/>
        <v/>
      </c>
      <c r="D1484" s="2" t="str">
        <f>IF(A1484="","",MIN('Loan Inputs'!$B$17,C1484+E1484)+H1484)</f>
        <v/>
      </c>
      <c r="E1484" s="2" t="str">
        <f>IF(A1484="","",C1484*'Loan Inputs'!$B$15)</f>
        <v/>
      </c>
      <c r="F1484" s="2" t="str">
        <f t="shared" si="69"/>
        <v/>
      </c>
      <c r="G1484" s="2" t="str">
        <f t="shared" si="70"/>
        <v/>
      </c>
      <c r="H1484" s="2" t="str">
        <f>IF(A1484="","",MIN(0,MAX(0,C1484+E1484-'Loan Inputs'!$B$17)))</f>
        <v/>
      </c>
    </row>
    <row r="1485" spans="1:8" ht="22" customHeight="1">
      <c r="A1485" s="1" t="str">
        <f>IF(AND('Loan Inputs'!$B$12,1479&lt;=IF('Loan Inputs'!$B$12,'Loan Inputs'!$B$7,0)*'Loan Inputs'!$B$14+0,ISNUMBER(G1484),G1484&gt;0),1479,"")</f>
        <v/>
      </c>
      <c r="B1485" s="4" t="str">
        <f>IF(A1485="","",IF('Loan Inputs'!$B$14=12,DATE(YEAR('Loan Inputs'!$B$8),MONTH('Loan Inputs'!$B$8)+A1485,DAY('Loan Inputs'!$B$8)),'Loan Inputs'!$B$8+A1485*IF('Loan Inputs'!$B$14=26,14,7)))</f>
        <v/>
      </c>
      <c r="C1485" s="2" t="str">
        <f t="shared" si="71"/>
        <v/>
      </c>
      <c r="D1485" s="2" t="str">
        <f>IF(A1485="","",MIN('Loan Inputs'!$B$17,C1485+E1485)+H1485)</f>
        <v/>
      </c>
      <c r="E1485" s="2" t="str">
        <f>IF(A1485="","",C1485*'Loan Inputs'!$B$15)</f>
        <v/>
      </c>
      <c r="F1485" s="2" t="str">
        <f t="shared" si="69"/>
        <v/>
      </c>
      <c r="G1485" s="2" t="str">
        <f t="shared" si="70"/>
        <v/>
      </c>
      <c r="H1485" s="2" t="str">
        <f>IF(A1485="","",MIN(0,MAX(0,C1485+E1485-'Loan Inputs'!$B$17)))</f>
        <v/>
      </c>
    </row>
    <row r="1486" spans="1:8" ht="22" customHeight="1">
      <c r="A1486" s="1" t="str">
        <f>IF(AND('Loan Inputs'!$B$12,1480&lt;=IF('Loan Inputs'!$B$12,'Loan Inputs'!$B$7,0)*'Loan Inputs'!$B$14+0,ISNUMBER(G1485),G1485&gt;0),1480,"")</f>
        <v/>
      </c>
      <c r="B1486" s="4" t="str">
        <f>IF(A1486="","",IF('Loan Inputs'!$B$14=12,DATE(YEAR('Loan Inputs'!$B$8),MONTH('Loan Inputs'!$B$8)+A1486,DAY('Loan Inputs'!$B$8)),'Loan Inputs'!$B$8+A1486*IF('Loan Inputs'!$B$14=26,14,7)))</f>
        <v/>
      </c>
      <c r="C1486" s="2" t="str">
        <f t="shared" si="71"/>
        <v/>
      </c>
      <c r="D1486" s="2" t="str">
        <f>IF(A1486="","",MIN('Loan Inputs'!$B$17,C1486+E1486)+H1486)</f>
        <v/>
      </c>
      <c r="E1486" s="2" t="str">
        <f>IF(A1486="","",C1486*'Loan Inputs'!$B$15)</f>
        <v/>
      </c>
      <c r="F1486" s="2" t="str">
        <f t="shared" si="69"/>
        <v/>
      </c>
      <c r="G1486" s="2" t="str">
        <f t="shared" si="70"/>
        <v/>
      </c>
      <c r="H1486" s="2" t="str">
        <f>IF(A1486="","",MIN(0,MAX(0,C1486+E1486-'Loan Inputs'!$B$17)))</f>
        <v/>
      </c>
    </row>
    <row r="1487" spans="1:8" ht="22" customHeight="1">
      <c r="A1487" s="1" t="str">
        <f>IF(AND('Loan Inputs'!$B$12,1481&lt;=IF('Loan Inputs'!$B$12,'Loan Inputs'!$B$7,0)*'Loan Inputs'!$B$14+0,ISNUMBER(G1486),G1486&gt;0),1481,"")</f>
        <v/>
      </c>
      <c r="B1487" s="4" t="str">
        <f>IF(A1487="","",IF('Loan Inputs'!$B$14=12,DATE(YEAR('Loan Inputs'!$B$8),MONTH('Loan Inputs'!$B$8)+A1487,DAY('Loan Inputs'!$B$8)),'Loan Inputs'!$B$8+A1487*IF('Loan Inputs'!$B$14=26,14,7)))</f>
        <v/>
      </c>
      <c r="C1487" s="2" t="str">
        <f t="shared" si="71"/>
        <v/>
      </c>
      <c r="D1487" s="2" t="str">
        <f>IF(A1487="","",MIN('Loan Inputs'!$B$17,C1487+E1487)+H1487)</f>
        <v/>
      </c>
      <c r="E1487" s="2" t="str">
        <f>IF(A1487="","",C1487*'Loan Inputs'!$B$15)</f>
        <v/>
      </c>
      <c r="F1487" s="2" t="str">
        <f t="shared" si="69"/>
        <v/>
      </c>
      <c r="G1487" s="2" t="str">
        <f t="shared" si="70"/>
        <v/>
      </c>
      <c r="H1487" s="2" t="str">
        <f>IF(A1487="","",MIN(0,MAX(0,C1487+E1487-'Loan Inputs'!$B$17)))</f>
        <v/>
      </c>
    </row>
    <row r="1488" spans="1:8" ht="22" customHeight="1">
      <c r="A1488" s="1" t="str">
        <f>IF(AND('Loan Inputs'!$B$12,1482&lt;=IF('Loan Inputs'!$B$12,'Loan Inputs'!$B$7,0)*'Loan Inputs'!$B$14+0,ISNUMBER(G1487),G1487&gt;0),1482,"")</f>
        <v/>
      </c>
      <c r="B1488" s="4" t="str">
        <f>IF(A1488="","",IF('Loan Inputs'!$B$14=12,DATE(YEAR('Loan Inputs'!$B$8),MONTH('Loan Inputs'!$B$8)+A1488,DAY('Loan Inputs'!$B$8)),'Loan Inputs'!$B$8+A1488*IF('Loan Inputs'!$B$14=26,14,7)))</f>
        <v/>
      </c>
      <c r="C1488" s="2" t="str">
        <f t="shared" si="71"/>
        <v/>
      </c>
      <c r="D1488" s="2" t="str">
        <f>IF(A1488="","",MIN('Loan Inputs'!$B$17,C1488+E1488)+H1488)</f>
        <v/>
      </c>
      <c r="E1488" s="2" t="str">
        <f>IF(A1488="","",C1488*'Loan Inputs'!$B$15)</f>
        <v/>
      </c>
      <c r="F1488" s="2" t="str">
        <f t="shared" si="69"/>
        <v/>
      </c>
      <c r="G1488" s="2" t="str">
        <f t="shared" si="70"/>
        <v/>
      </c>
      <c r="H1488" s="2" t="str">
        <f>IF(A1488="","",MIN(0,MAX(0,C1488+E1488-'Loan Inputs'!$B$17)))</f>
        <v/>
      </c>
    </row>
    <row r="1489" spans="1:8" ht="22" customHeight="1">
      <c r="A1489" s="1" t="str">
        <f>IF(AND('Loan Inputs'!$B$12,1483&lt;=IF('Loan Inputs'!$B$12,'Loan Inputs'!$B$7,0)*'Loan Inputs'!$B$14+0,ISNUMBER(G1488),G1488&gt;0),1483,"")</f>
        <v/>
      </c>
      <c r="B1489" s="4" t="str">
        <f>IF(A1489="","",IF('Loan Inputs'!$B$14=12,DATE(YEAR('Loan Inputs'!$B$8),MONTH('Loan Inputs'!$B$8)+A1489,DAY('Loan Inputs'!$B$8)),'Loan Inputs'!$B$8+A1489*IF('Loan Inputs'!$B$14=26,14,7)))</f>
        <v/>
      </c>
      <c r="C1489" s="2" t="str">
        <f t="shared" si="71"/>
        <v/>
      </c>
      <c r="D1489" s="2" t="str">
        <f>IF(A1489="","",MIN('Loan Inputs'!$B$17,C1489+E1489)+H1489)</f>
        <v/>
      </c>
      <c r="E1489" s="2" t="str">
        <f>IF(A1489="","",C1489*'Loan Inputs'!$B$15)</f>
        <v/>
      </c>
      <c r="F1489" s="2" t="str">
        <f t="shared" si="69"/>
        <v/>
      </c>
      <c r="G1489" s="2" t="str">
        <f t="shared" si="70"/>
        <v/>
      </c>
      <c r="H1489" s="2" t="str">
        <f>IF(A1489="","",MIN(0,MAX(0,C1489+E1489-'Loan Inputs'!$B$17)))</f>
        <v/>
      </c>
    </row>
    <row r="1490" spans="1:8" ht="22" customHeight="1">
      <c r="A1490" s="1" t="str">
        <f>IF(AND('Loan Inputs'!$B$12,1484&lt;=IF('Loan Inputs'!$B$12,'Loan Inputs'!$B$7,0)*'Loan Inputs'!$B$14+0,ISNUMBER(G1489),G1489&gt;0),1484,"")</f>
        <v/>
      </c>
      <c r="B1490" s="4" t="str">
        <f>IF(A1490="","",IF('Loan Inputs'!$B$14=12,DATE(YEAR('Loan Inputs'!$B$8),MONTH('Loan Inputs'!$B$8)+A1490,DAY('Loan Inputs'!$B$8)),'Loan Inputs'!$B$8+A1490*IF('Loan Inputs'!$B$14=26,14,7)))</f>
        <v/>
      </c>
      <c r="C1490" s="2" t="str">
        <f t="shared" si="71"/>
        <v/>
      </c>
      <c r="D1490" s="2" t="str">
        <f>IF(A1490="","",MIN('Loan Inputs'!$B$17,C1490+E1490)+H1490)</f>
        <v/>
      </c>
      <c r="E1490" s="2" t="str">
        <f>IF(A1490="","",C1490*'Loan Inputs'!$B$15)</f>
        <v/>
      </c>
      <c r="F1490" s="2" t="str">
        <f t="shared" si="69"/>
        <v/>
      </c>
      <c r="G1490" s="2" t="str">
        <f t="shared" si="70"/>
        <v/>
      </c>
      <c r="H1490" s="2" t="str">
        <f>IF(A1490="","",MIN(0,MAX(0,C1490+E1490-'Loan Inputs'!$B$17)))</f>
        <v/>
      </c>
    </row>
    <row r="1491" spans="1:8" ht="22" customHeight="1">
      <c r="A1491" s="1" t="str">
        <f>IF(AND('Loan Inputs'!$B$12,1485&lt;=IF('Loan Inputs'!$B$12,'Loan Inputs'!$B$7,0)*'Loan Inputs'!$B$14+0,ISNUMBER(G1490),G1490&gt;0),1485,"")</f>
        <v/>
      </c>
      <c r="B1491" s="4" t="str">
        <f>IF(A1491="","",IF('Loan Inputs'!$B$14=12,DATE(YEAR('Loan Inputs'!$B$8),MONTH('Loan Inputs'!$B$8)+A1491,DAY('Loan Inputs'!$B$8)),'Loan Inputs'!$B$8+A1491*IF('Loan Inputs'!$B$14=26,14,7)))</f>
        <v/>
      </c>
      <c r="C1491" s="2" t="str">
        <f t="shared" si="71"/>
        <v/>
      </c>
      <c r="D1491" s="2" t="str">
        <f>IF(A1491="","",MIN('Loan Inputs'!$B$17,C1491+E1491)+H1491)</f>
        <v/>
      </c>
      <c r="E1491" s="2" t="str">
        <f>IF(A1491="","",C1491*'Loan Inputs'!$B$15)</f>
        <v/>
      </c>
      <c r="F1491" s="2" t="str">
        <f t="shared" si="69"/>
        <v/>
      </c>
      <c r="G1491" s="2" t="str">
        <f t="shared" si="70"/>
        <v/>
      </c>
      <c r="H1491" s="2" t="str">
        <f>IF(A1491="","",MIN(0,MAX(0,C1491+E1491-'Loan Inputs'!$B$17)))</f>
        <v/>
      </c>
    </row>
    <row r="1492" spans="1:8" ht="22" customHeight="1">
      <c r="A1492" s="1" t="str">
        <f>IF(AND('Loan Inputs'!$B$12,1486&lt;=IF('Loan Inputs'!$B$12,'Loan Inputs'!$B$7,0)*'Loan Inputs'!$B$14+0,ISNUMBER(G1491),G1491&gt;0),1486,"")</f>
        <v/>
      </c>
      <c r="B1492" s="4" t="str">
        <f>IF(A1492="","",IF('Loan Inputs'!$B$14=12,DATE(YEAR('Loan Inputs'!$B$8),MONTH('Loan Inputs'!$B$8)+A1492,DAY('Loan Inputs'!$B$8)),'Loan Inputs'!$B$8+A1492*IF('Loan Inputs'!$B$14=26,14,7)))</f>
        <v/>
      </c>
      <c r="C1492" s="2" t="str">
        <f t="shared" si="71"/>
        <v/>
      </c>
      <c r="D1492" s="2" t="str">
        <f>IF(A1492="","",MIN('Loan Inputs'!$B$17,C1492+E1492)+H1492)</f>
        <v/>
      </c>
      <c r="E1492" s="2" t="str">
        <f>IF(A1492="","",C1492*'Loan Inputs'!$B$15)</f>
        <v/>
      </c>
      <c r="F1492" s="2" t="str">
        <f t="shared" si="69"/>
        <v/>
      </c>
      <c r="G1492" s="2" t="str">
        <f t="shared" si="70"/>
        <v/>
      </c>
      <c r="H1492" s="2" t="str">
        <f>IF(A1492="","",MIN(0,MAX(0,C1492+E1492-'Loan Inputs'!$B$17)))</f>
        <v/>
      </c>
    </row>
    <row r="1493" spans="1:8" ht="22" customHeight="1">
      <c r="A1493" s="1" t="str">
        <f>IF(AND('Loan Inputs'!$B$12,1487&lt;=IF('Loan Inputs'!$B$12,'Loan Inputs'!$B$7,0)*'Loan Inputs'!$B$14+0,ISNUMBER(G1492),G1492&gt;0),1487,"")</f>
        <v/>
      </c>
      <c r="B1493" s="4" t="str">
        <f>IF(A1493="","",IF('Loan Inputs'!$B$14=12,DATE(YEAR('Loan Inputs'!$B$8),MONTH('Loan Inputs'!$B$8)+A1493,DAY('Loan Inputs'!$B$8)),'Loan Inputs'!$B$8+A1493*IF('Loan Inputs'!$B$14=26,14,7)))</f>
        <v/>
      </c>
      <c r="C1493" s="2" t="str">
        <f t="shared" si="71"/>
        <v/>
      </c>
      <c r="D1493" s="2" t="str">
        <f>IF(A1493="","",MIN('Loan Inputs'!$B$17,C1493+E1493)+H1493)</f>
        <v/>
      </c>
      <c r="E1493" s="2" t="str">
        <f>IF(A1493="","",C1493*'Loan Inputs'!$B$15)</f>
        <v/>
      </c>
      <c r="F1493" s="2" t="str">
        <f t="shared" si="69"/>
        <v/>
      </c>
      <c r="G1493" s="2" t="str">
        <f t="shared" si="70"/>
        <v/>
      </c>
      <c r="H1493" s="2" t="str">
        <f>IF(A1493="","",MIN(0,MAX(0,C1493+E1493-'Loan Inputs'!$B$17)))</f>
        <v/>
      </c>
    </row>
    <row r="1494" spans="1:8" ht="22" customHeight="1">
      <c r="A1494" s="1" t="str">
        <f>IF(AND('Loan Inputs'!$B$12,1488&lt;=IF('Loan Inputs'!$B$12,'Loan Inputs'!$B$7,0)*'Loan Inputs'!$B$14+0,ISNUMBER(G1493),G1493&gt;0),1488,"")</f>
        <v/>
      </c>
      <c r="B1494" s="4" t="str">
        <f>IF(A1494="","",IF('Loan Inputs'!$B$14=12,DATE(YEAR('Loan Inputs'!$B$8),MONTH('Loan Inputs'!$B$8)+A1494,DAY('Loan Inputs'!$B$8)),'Loan Inputs'!$B$8+A1494*IF('Loan Inputs'!$B$14=26,14,7)))</f>
        <v/>
      </c>
      <c r="C1494" s="2" t="str">
        <f t="shared" si="71"/>
        <v/>
      </c>
      <c r="D1494" s="2" t="str">
        <f>IF(A1494="","",MIN('Loan Inputs'!$B$17,C1494+E1494)+H1494)</f>
        <v/>
      </c>
      <c r="E1494" s="2" t="str">
        <f>IF(A1494="","",C1494*'Loan Inputs'!$B$15)</f>
        <v/>
      </c>
      <c r="F1494" s="2" t="str">
        <f t="shared" si="69"/>
        <v/>
      </c>
      <c r="G1494" s="2" t="str">
        <f t="shared" si="70"/>
        <v/>
      </c>
      <c r="H1494" s="2" t="str">
        <f>IF(A1494="","",MIN(0,MAX(0,C1494+E1494-'Loan Inputs'!$B$17)))</f>
        <v/>
      </c>
    </row>
    <row r="1495" spans="1:8" ht="22" customHeight="1">
      <c r="A1495" s="1" t="str">
        <f>IF(AND('Loan Inputs'!$B$12,1489&lt;=IF('Loan Inputs'!$B$12,'Loan Inputs'!$B$7,0)*'Loan Inputs'!$B$14+0,ISNUMBER(G1494),G1494&gt;0),1489,"")</f>
        <v/>
      </c>
      <c r="B1495" s="4" t="str">
        <f>IF(A1495="","",IF('Loan Inputs'!$B$14=12,DATE(YEAR('Loan Inputs'!$B$8),MONTH('Loan Inputs'!$B$8)+A1495,DAY('Loan Inputs'!$B$8)),'Loan Inputs'!$B$8+A1495*IF('Loan Inputs'!$B$14=26,14,7)))</f>
        <v/>
      </c>
      <c r="C1495" s="2" t="str">
        <f t="shared" si="71"/>
        <v/>
      </c>
      <c r="D1495" s="2" t="str">
        <f>IF(A1495="","",MIN('Loan Inputs'!$B$17,C1495+E1495)+H1495)</f>
        <v/>
      </c>
      <c r="E1495" s="2" t="str">
        <f>IF(A1495="","",C1495*'Loan Inputs'!$B$15)</f>
        <v/>
      </c>
      <c r="F1495" s="2" t="str">
        <f t="shared" si="69"/>
        <v/>
      </c>
      <c r="G1495" s="2" t="str">
        <f t="shared" si="70"/>
        <v/>
      </c>
      <c r="H1495" s="2" t="str">
        <f>IF(A1495="","",MIN(0,MAX(0,C1495+E1495-'Loan Inputs'!$B$17)))</f>
        <v/>
      </c>
    </row>
    <row r="1496" spans="1:8" ht="22" customHeight="1">
      <c r="A1496" s="1" t="str">
        <f>IF(AND('Loan Inputs'!$B$12,1490&lt;=IF('Loan Inputs'!$B$12,'Loan Inputs'!$B$7,0)*'Loan Inputs'!$B$14+0,ISNUMBER(G1495),G1495&gt;0),1490,"")</f>
        <v/>
      </c>
      <c r="B1496" s="4" t="str">
        <f>IF(A1496="","",IF('Loan Inputs'!$B$14=12,DATE(YEAR('Loan Inputs'!$B$8),MONTH('Loan Inputs'!$B$8)+A1496,DAY('Loan Inputs'!$B$8)),'Loan Inputs'!$B$8+A1496*IF('Loan Inputs'!$B$14=26,14,7)))</f>
        <v/>
      </c>
      <c r="C1496" s="2" t="str">
        <f t="shared" si="71"/>
        <v/>
      </c>
      <c r="D1496" s="2" t="str">
        <f>IF(A1496="","",MIN('Loan Inputs'!$B$17,C1496+E1496)+H1496)</f>
        <v/>
      </c>
      <c r="E1496" s="2" t="str">
        <f>IF(A1496="","",C1496*'Loan Inputs'!$B$15)</f>
        <v/>
      </c>
      <c r="F1496" s="2" t="str">
        <f t="shared" si="69"/>
        <v/>
      </c>
      <c r="G1496" s="2" t="str">
        <f t="shared" si="70"/>
        <v/>
      </c>
      <c r="H1496" s="2" t="str">
        <f>IF(A1496="","",MIN(0,MAX(0,C1496+E1496-'Loan Inputs'!$B$17)))</f>
        <v/>
      </c>
    </row>
    <row r="1497" spans="1:8" ht="22" customHeight="1">
      <c r="A1497" s="1" t="str">
        <f>IF(AND('Loan Inputs'!$B$12,1491&lt;=IF('Loan Inputs'!$B$12,'Loan Inputs'!$B$7,0)*'Loan Inputs'!$B$14+0,ISNUMBER(G1496),G1496&gt;0),1491,"")</f>
        <v/>
      </c>
      <c r="B1497" s="4" t="str">
        <f>IF(A1497="","",IF('Loan Inputs'!$B$14=12,DATE(YEAR('Loan Inputs'!$B$8),MONTH('Loan Inputs'!$B$8)+A1497,DAY('Loan Inputs'!$B$8)),'Loan Inputs'!$B$8+A1497*IF('Loan Inputs'!$B$14=26,14,7)))</f>
        <v/>
      </c>
      <c r="C1497" s="2" t="str">
        <f t="shared" si="71"/>
        <v/>
      </c>
      <c r="D1497" s="2" t="str">
        <f>IF(A1497="","",MIN('Loan Inputs'!$B$17,C1497+E1497)+H1497)</f>
        <v/>
      </c>
      <c r="E1497" s="2" t="str">
        <f>IF(A1497="","",C1497*'Loan Inputs'!$B$15)</f>
        <v/>
      </c>
      <c r="F1497" s="2" t="str">
        <f t="shared" si="69"/>
        <v/>
      </c>
      <c r="G1497" s="2" t="str">
        <f t="shared" si="70"/>
        <v/>
      </c>
      <c r="H1497" s="2" t="str">
        <f>IF(A1497="","",MIN(0,MAX(0,C1497+E1497-'Loan Inputs'!$B$17)))</f>
        <v/>
      </c>
    </row>
    <row r="1498" spans="1:8" ht="22" customHeight="1">
      <c r="A1498" s="1" t="str">
        <f>IF(AND('Loan Inputs'!$B$12,1492&lt;=IF('Loan Inputs'!$B$12,'Loan Inputs'!$B$7,0)*'Loan Inputs'!$B$14+0,ISNUMBER(G1497),G1497&gt;0),1492,"")</f>
        <v/>
      </c>
      <c r="B1498" s="4" t="str">
        <f>IF(A1498="","",IF('Loan Inputs'!$B$14=12,DATE(YEAR('Loan Inputs'!$B$8),MONTH('Loan Inputs'!$B$8)+A1498,DAY('Loan Inputs'!$B$8)),'Loan Inputs'!$B$8+A1498*IF('Loan Inputs'!$B$14=26,14,7)))</f>
        <v/>
      </c>
      <c r="C1498" s="2" t="str">
        <f t="shared" si="71"/>
        <v/>
      </c>
      <c r="D1498" s="2" t="str">
        <f>IF(A1498="","",MIN('Loan Inputs'!$B$17,C1498+E1498)+H1498)</f>
        <v/>
      </c>
      <c r="E1498" s="2" t="str">
        <f>IF(A1498="","",C1498*'Loan Inputs'!$B$15)</f>
        <v/>
      </c>
      <c r="F1498" s="2" t="str">
        <f t="shared" si="69"/>
        <v/>
      </c>
      <c r="G1498" s="2" t="str">
        <f t="shared" si="70"/>
        <v/>
      </c>
      <c r="H1498" s="2" t="str">
        <f>IF(A1498="","",MIN(0,MAX(0,C1498+E1498-'Loan Inputs'!$B$17)))</f>
        <v/>
      </c>
    </row>
    <row r="1499" spans="1:8" ht="22" customHeight="1">
      <c r="A1499" s="1" t="str">
        <f>IF(AND('Loan Inputs'!$B$12,1493&lt;=IF('Loan Inputs'!$B$12,'Loan Inputs'!$B$7,0)*'Loan Inputs'!$B$14+0,ISNUMBER(G1498),G1498&gt;0),1493,"")</f>
        <v/>
      </c>
      <c r="B1499" s="4" t="str">
        <f>IF(A1499="","",IF('Loan Inputs'!$B$14=12,DATE(YEAR('Loan Inputs'!$B$8),MONTH('Loan Inputs'!$B$8)+A1499,DAY('Loan Inputs'!$B$8)),'Loan Inputs'!$B$8+A1499*IF('Loan Inputs'!$B$14=26,14,7)))</f>
        <v/>
      </c>
      <c r="C1499" s="2" t="str">
        <f t="shared" si="71"/>
        <v/>
      </c>
      <c r="D1499" s="2" t="str">
        <f>IF(A1499="","",MIN('Loan Inputs'!$B$17,C1499+E1499)+H1499)</f>
        <v/>
      </c>
      <c r="E1499" s="2" t="str">
        <f>IF(A1499="","",C1499*'Loan Inputs'!$B$15)</f>
        <v/>
      </c>
      <c r="F1499" s="2" t="str">
        <f t="shared" si="69"/>
        <v/>
      </c>
      <c r="G1499" s="2" t="str">
        <f t="shared" si="70"/>
        <v/>
      </c>
      <c r="H1499" s="2" t="str">
        <f>IF(A1499="","",MIN(0,MAX(0,C1499+E1499-'Loan Inputs'!$B$17)))</f>
        <v/>
      </c>
    </row>
    <row r="1500" spans="1:8" ht="22" customHeight="1">
      <c r="A1500" s="1" t="str">
        <f>IF(AND('Loan Inputs'!$B$12,1494&lt;=IF('Loan Inputs'!$B$12,'Loan Inputs'!$B$7,0)*'Loan Inputs'!$B$14+0,ISNUMBER(G1499),G1499&gt;0),1494,"")</f>
        <v/>
      </c>
      <c r="B1500" s="4" t="str">
        <f>IF(A1500="","",IF('Loan Inputs'!$B$14=12,DATE(YEAR('Loan Inputs'!$B$8),MONTH('Loan Inputs'!$B$8)+A1500,DAY('Loan Inputs'!$B$8)),'Loan Inputs'!$B$8+A1500*IF('Loan Inputs'!$B$14=26,14,7)))</f>
        <v/>
      </c>
      <c r="C1500" s="2" t="str">
        <f t="shared" si="71"/>
        <v/>
      </c>
      <c r="D1500" s="2" t="str">
        <f>IF(A1500="","",MIN('Loan Inputs'!$B$17,C1500+E1500)+H1500)</f>
        <v/>
      </c>
      <c r="E1500" s="2" t="str">
        <f>IF(A1500="","",C1500*'Loan Inputs'!$B$15)</f>
        <v/>
      </c>
      <c r="F1500" s="2" t="str">
        <f t="shared" si="69"/>
        <v/>
      </c>
      <c r="G1500" s="2" t="str">
        <f t="shared" si="70"/>
        <v/>
      </c>
      <c r="H1500" s="2" t="str">
        <f>IF(A1500="","",MIN(0,MAX(0,C1500+E1500-'Loan Inputs'!$B$17)))</f>
        <v/>
      </c>
    </row>
    <row r="1501" spans="1:8" ht="22" customHeight="1">
      <c r="A1501" s="1" t="str">
        <f>IF(AND('Loan Inputs'!$B$12,1495&lt;=IF('Loan Inputs'!$B$12,'Loan Inputs'!$B$7,0)*'Loan Inputs'!$B$14+0,ISNUMBER(G1500),G1500&gt;0),1495,"")</f>
        <v/>
      </c>
      <c r="B1501" s="4" t="str">
        <f>IF(A1501="","",IF('Loan Inputs'!$B$14=12,DATE(YEAR('Loan Inputs'!$B$8),MONTH('Loan Inputs'!$B$8)+A1501,DAY('Loan Inputs'!$B$8)),'Loan Inputs'!$B$8+A1501*IF('Loan Inputs'!$B$14=26,14,7)))</f>
        <v/>
      </c>
      <c r="C1501" s="2" t="str">
        <f t="shared" si="71"/>
        <v/>
      </c>
      <c r="D1501" s="2" t="str">
        <f>IF(A1501="","",MIN('Loan Inputs'!$B$17,C1501+E1501)+H1501)</f>
        <v/>
      </c>
      <c r="E1501" s="2" t="str">
        <f>IF(A1501="","",C1501*'Loan Inputs'!$B$15)</f>
        <v/>
      </c>
      <c r="F1501" s="2" t="str">
        <f t="shared" si="69"/>
        <v/>
      </c>
      <c r="G1501" s="2" t="str">
        <f t="shared" si="70"/>
        <v/>
      </c>
      <c r="H1501" s="2" t="str">
        <f>IF(A1501="","",MIN(0,MAX(0,C1501+E1501-'Loan Inputs'!$B$17)))</f>
        <v/>
      </c>
    </row>
    <row r="1502" spans="1:8" ht="22" customHeight="1">
      <c r="A1502" s="1" t="str">
        <f>IF(AND('Loan Inputs'!$B$12,1496&lt;=IF('Loan Inputs'!$B$12,'Loan Inputs'!$B$7,0)*'Loan Inputs'!$B$14+0,ISNUMBER(G1501),G1501&gt;0),1496,"")</f>
        <v/>
      </c>
      <c r="B1502" s="4" t="str">
        <f>IF(A1502="","",IF('Loan Inputs'!$B$14=12,DATE(YEAR('Loan Inputs'!$B$8),MONTH('Loan Inputs'!$B$8)+A1502,DAY('Loan Inputs'!$B$8)),'Loan Inputs'!$B$8+A1502*IF('Loan Inputs'!$B$14=26,14,7)))</f>
        <v/>
      </c>
      <c r="C1502" s="2" t="str">
        <f t="shared" si="71"/>
        <v/>
      </c>
      <c r="D1502" s="2" t="str">
        <f>IF(A1502="","",MIN('Loan Inputs'!$B$17,C1502+E1502)+H1502)</f>
        <v/>
      </c>
      <c r="E1502" s="2" t="str">
        <f>IF(A1502="","",C1502*'Loan Inputs'!$B$15)</f>
        <v/>
      </c>
      <c r="F1502" s="2" t="str">
        <f t="shared" si="69"/>
        <v/>
      </c>
      <c r="G1502" s="2" t="str">
        <f t="shared" si="70"/>
        <v/>
      </c>
      <c r="H1502" s="2" t="str">
        <f>IF(A1502="","",MIN(0,MAX(0,C1502+E1502-'Loan Inputs'!$B$17)))</f>
        <v/>
      </c>
    </row>
    <row r="1503" spans="1:8" ht="22" customHeight="1">
      <c r="A1503" s="1" t="str">
        <f>IF(AND('Loan Inputs'!$B$12,1497&lt;=IF('Loan Inputs'!$B$12,'Loan Inputs'!$B$7,0)*'Loan Inputs'!$B$14+0,ISNUMBER(G1502),G1502&gt;0),1497,"")</f>
        <v/>
      </c>
      <c r="B1503" s="4" t="str">
        <f>IF(A1503="","",IF('Loan Inputs'!$B$14=12,DATE(YEAR('Loan Inputs'!$B$8),MONTH('Loan Inputs'!$B$8)+A1503,DAY('Loan Inputs'!$B$8)),'Loan Inputs'!$B$8+A1503*IF('Loan Inputs'!$B$14=26,14,7)))</f>
        <v/>
      </c>
      <c r="C1503" s="2" t="str">
        <f t="shared" si="71"/>
        <v/>
      </c>
      <c r="D1503" s="2" t="str">
        <f>IF(A1503="","",MIN('Loan Inputs'!$B$17,C1503+E1503)+H1503)</f>
        <v/>
      </c>
      <c r="E1503" s="2" t="str">
        <f>IF(A1503="","",C1503*'Loan Inputs'!$B$15)</f>
        <v/>
      </c>
      <c r="F1503" s="2" t="str">
        <f t="shared" si="69"/>
        <v/>
      </c>
      <c r="G1503" s="2" t="str">
        <f t="shared" si="70"/>
        <v/>
      </c>
      <c r="H1503" s="2" t="str">
        <f>IF(A1503="","",MIN(0,MAX(0,C1503+E1503-'Loan Inputs'!$B$17)))</f>
        <v/>
      </c>
    </row>
    <row r="1504" spans="1:8" ht="22" customHeight="1">
      <c r="A1504" s="1" t="str">
        <f>IF(AND('Loan Inputs'!$B$12,1498&lt;=IF('Loan Inputs'!$B$12,'Loan Inputs'!$B$7,0)*'Loan Inputs'!$B$14+0,ISNUMBER(G1503),G1503&gt;0),1498,"")</f>
        <v/>
      </c>
      <c r="B1504" s="4" t="str">
        <f>IF(A1504="","",IF('Loan Inputs'!$B$14=12,DATE(YEAR('Loan Inputs'!$B$8),MONTH('Loan Inputs'!$B$8)+A1504,DAY('Loan Inputs'!$B$8)),'Loan Inputs'!$B$8+A1504*IF('Loan Inputs'!$B$14=26,14,7)))</f>
        <v/>
      </c>
      <c r="C1504" s="2" t="str">
        <f t="shared" si="71"/>
        <v/>
      </c>
      <c r="D1504" s="2" t="str">
        <f>IF(A1504="","",MIN('Loan Inputs'!$B$17,C1504+E1504)+H1504)</f>
        <v/>
      </c>
      <c r="E1504" s="2" t="str">
        <f>IF(A1504="","",C1504*'Loan Inputs'!$B$15)</f>
        <v/>
      </c>
      <c r="F1504" s="2" t="str">
        <f t="shared" si="69"/>
        <v/>
      </c>
      <c r="G1504" s="2" t="str">
        <f t="shared" si="70"/>
        <v/>
      </c>
      <c r="H1504" s="2" t="str">
        <f>IF(A1504="","",MIN(0,MAX(0,C1504+E1504-'Loan Inputs'!$B$17)))</f>
        <v/>
      </c>
    </row>
    <row r="1505" spans="1:8" ht="22" customHeight="1">
      <c r="A1505" s="1" t="str">
        <f>IF(AND('Loan Inputs'!$B$12,1499&lt;=IF('Loan Inputs'!$B$12,'Loan Inputs'!$B$7,0)*'Loan Inputs'!$B$14+0,ISNUMBER(G1504),G1504&gt;0),1499,"")</f>
        <v/>
      </c>
      <c r="B1505" s="4" t="str">
        <f>IF(A1505="","",IF('Loan Inputs'!$B$14=12,DATE(YEAR('Loan Inputs'!$B$8),MONTH('Loan Inputs'!$B$8)+A1505,DAY('Loan Inputs'!$B$8)),'Loan Inputs'!$B$8+A1505*IF('Loan Inputs'!$B$14=26,14,7)))</f>
        <v/>
      </c>
      <c r="C1505" s="2" t="str">
        <f t="shared" si="71"/>
        <v/>
      </c>
      <c r="D1505" s="2" t="str">
        <f>IF(A1505="","",MIN('Loan Inputs'!$B$17,C1505+E1505)+H1505)</f>
        <v/>
      </c>
      <c r="E1505" s="2" t="str">
        <f>IF(A1505="","",C1505*'Loan Inputs'!$B$15)</f>
        <v/>
      </c>
      <c r="F1505" s="2" t="str">
        <f t="shared" si="69"/>
        <v/>
      </c>
      <c r="G1505" s="2" t="str">
        <f t="shared" si="70"/>
        <v/>
      </c>
      <c r="H1505" s="2" t="str">
        <f>IF(A1505="","",MIN(0,MAX(0,C1505+E1505-'Loan Inputs'!$B$17)))</f>
        <v/>
      </c>
    </row>
    <row r="1506" spans="1:8" ht="22" customHeight="1">
      <c r="A1506" s="1" t="str">
        <f>IF(AND('Loan Inputs'!$B$12,1500&lt;=IF('Loan Inputs'!$B$12,'Loan Inputs'!$B$7,0)*'Loan Inputs'!$B$14+0,ISNUMBER(G1505),G1505&gt;0),1500,"")</f>
        <v/>
      </c>
      <c r="B1506" s="4" t="str">
        <f>IF(A1506="","",IF('Loan Inputs'!$B$14=12,DATE(YEAR('Loan Inputs'!$B$8),MONTH('Loan Inputs'!$B$8)+A1506,DAY('Loan Inputs'!$B$8)),'Loan Inputs'!$B$8+A1506*IF('Loan Inputs'!$B$14=26,14,7)))</f>
        <v/>
      </c>
      <c r="C1506" s="2" t="str">
        <f t="shared" si="71"/>
        <v/>
      </c>
      <c r="D1506" s="2" t="str">
        <f>IF(A1506="","",MIN('Loan Inputs'!$B$17,C1506+E1506)+H1506)</f>
        <v/>
      </c>
      <c r="E1506" s="2" t="str">
        <f>IF(A1506="","",C1506*'Loan Inputs'!$B$15)</f>
        <v/>
      </c>
      <c r="F1506" s="2" t="str">
        <f t="shared" si="69"/>
        <v/>
      </c>
      <c r="G1506" s="2" t="str">
        <f t="shared" si="70"/>
        <v/>
      </c>
      <c r="H1506" s="2" t="str">
        <f>IF(A1506="","",MIN(0,MAX(0,C1506+E1506-'Loan Inputs'!$B$17)))</f>
        <v/>
      </c>
    </row>
    <row r="1507" spans="1:8" ht="22" customHeight="1">
      <c r="A1507" s="1" t="str">
        <f>IF(AND('Loan Inputs'!$B$12,1501&lt;=IF('Loan Inputs'!$B$12,'Loan Inputs'!$B$7,0)*'Loan Inputs'!$B$14+0,ISNUMBER(G1506),G1506&gt;0),1501,"")</f>
        <v/>
      </c>
      <c r="B1507" s="4" t="str">
        <f>IF(A1507="","",IF('Loan Inputs'!$B$14=12,DATE(YEAR('Loan Inputs'!$B$8),MONTH('Loan Inputs'!$B$8)+A1507,DAY('Loan Inputs'!$B$8)),'Loan Inputs'!$B$8+A1507*IF('Loan Inputs'!$B$14=26,14,7)))</f>
        <v/>
      </c>
      <c r="C1507" s="2" t="str">
        <f t="shared" si="71"/>
        <v/>
      </c>
      <c r="D1507" s="2" t="str">
        <f>IF(A1507="","",MIN('Loan Inputs'!$B$17,C1507+E1507)+H1507)</f>
        <v/>
      </c>
      <c r="E1507" s="2" t="str">
        <f>IF(A1507="","",C1507*'Loan Inputs'!$B$15)</f>
        <v/>
      </c>
      <c r="F1507" s="2" t="str">
        <f t="shared" si="69"/>
        <v/>
      </c>
      <c r="G1507" s="2" t="str">
        <f t="shared" si="70"/>
        <v/>
      </c>
      <c r="H1507" s="2" t="str">
        <f>IF(A1507="","",MIN(0,MAX(0,C1507+E1507-'Loan Inputs'!$B$17)))</f>
        <v/>
      </c>
    </row>
    <row r="1508" spans="1:8" ht="22" customHeight="1">
      <c r="A1508" s="1" t="str">
        <f>IF(AND('Loan Inputs'!$B$12,1502&lt;=IF('Loan Inputs'!$B$12,'Loan Inputs'!$B$7,0)*'Loan Inputs'!$B$14+0,ISNUMBER(G1507),G1507&gt;0),1502,"")</f>
        <v/>
      </c>
      <c r="B1508" s="4" t="str">
        <f>IF(A1508="","",IF('Loan Inputs'!$B$14=12,DATE(YEAR('Loan Inputs'!$B$8),MONTH('Loan Inputs'!$B$8)+A1508,DAY('Loan Inputs'!$B$8)),'Loan Inputs'!$B$8+A1508*IF('Loan Inputs'!$B$14=26,14,7)))</f>
        <v/>
      </c>
      <c r="C1508" s="2" t="str">
        <f t="shared" si="71"/>
        <v/>
      </c>
      <c r="D1508" s="2" t="str">
        <f>IF(A1508="","",MIN('Loan Inputs'!$B$17,C1508+E1508)+H1508)</f>
        <v/>
      </c>
      <c r="E1508" s="2" t="str">
        <f>IF(A1508="","",C1508*'Loan Inputs'!$B$15)</f>
        <v/>
      </c>
      <c r="F1508" s="2" t="str">
        <f t="shared" si="69"/>
        <v/>
      </c>
      <c r="G1508" s="2" t="str">
        <f t="shared" si="70"/>
        <v/>
      </c>
      <c r="H1508" s="2" t="str">
        <f>IF(A1508="","",MIN(0,MAX(0,C1508+E1508-'Loan Inputs'!$B$17)))</f>
        <v/>
      </c>
    </row>
    <row r="1509" spans="1:8" ht="22" customHeight="1">
      <c r="A1509" s="1" t="str">
        <f>IF(AND('Loan Inputs'!$B$12,1503&lt;=IF('Loan Inputs'!$B$12,'Loan Inputs'!$B$7,0)*'Loan Inputs'!$B$14+0,ISNUMBER(G1508),G1508&gt;0),1503,"")</f>
        <v/>
      </c>
      <c r="B1509" s="4" t="str">
        <f>IF(A1509="","",IF('Loan Inputs'!$B$14=12,DATE(YEAR('Loan Inputs'!$B$8),MONTH('Loan Inputs'!$B$8)+A1509,DAY('Loan Inputs'!$B$8)),'Loan Inputs'!$B$8+A1509*IF('Loan Inputs'!$B$14=26,14,7)))</f>
        <v/>
      </c>
      <c r="C1509" s="2" t="str">
        <f t="shared" si="71"/>
        <v/>
      </c>
      <c r="D1509" s="2" t="str">
        <f>IF(A1509="","",MIN('Loan Inputs'!$B$17,C1509+E1509)+H1509)</f>
        <v/>
      </c>
      <c r="E1509" s="2" t="str">
        <f>IF(A1509="","",C1509*'Loan Inputs'!$B$15)</f>
        <v/>
      </c>
      <c r="F1509" s="2" t="str">
        <f t="shared" si="69"/>
        <v/>
      </c>
      <c r="G1509" s="2" t="str">
        <f t="shared" si="70"/>
        <v/>
      </c>
      <c r="H1509" s="2" t="str">
        <f>IF(A1509="","",MIN(0,MAX(0,C1509+E1509-'Loan Inputs'!$B$17)))</f>
        <v/>
      </c>
    </row>
    <row r="1510" spans="1:8" ht="22" customHeight="1">
      <c r="A1510" s="1" t="str">
        <f>IF(AND('Loan Inputs'!$B$12,1504&lt;=IF('Loan Inputs'!$B$12,'Loan Inputs'!$B$7,0)*'Loan Inputs'!$B$14+0,ISNUMBER(G1509),G1509&gt;0),1504,"")</f>
        <v/>
      </c>
      <c r="B1510" s="4" t="str">
        <f>IF(A1510="","",IF('Loan Inputs'!$B$14=12,DATE(YEAR('Loan Inputs'!$B$8),MONTH('Loan Inputs'!$B$8)+A1510,DAY('Loan Inputs'!$B$8)),'Loan Inputs'!$B$8+A1510*IF('Loan Inputs'!$B$14=26,14,7)))</f>
        <v/>
      </c>
      <c r="C1510" s="2" t="str">
        <f t="shared" si="71"/>
        <v/>
      </c>
      <c r="D1510" s="2" t="str">
        <f>IF(A1510="","",MIN('Loan Inputs'!$B$17,C1510+E1510)+H1510)</f>
        <v/>
      </c>
      <c r="E1510" s="2" t="str">
        <f>IF(A1510="","",C1510*'Loan Inputs'!$B$15)</f>
        <v/>
      </c>
      <c r="F1510" s="2" t="str">
        <f t="shared" si="69"/>
        <v/>
      </c>
      <c r="G1510" s="2" t="str">
        <f t="shared" si="70"/>
        <v/>
      </c>
      <c r="H1510" s="2" t="str">
        <f>IF(A1510="","",MIN(0,MAX(0,C1510+E1510-'Loan Inputs'!$B$17)))</f>
        <v/>
      </c>
    </row>
    <row r="1511" spans="1:8" ht="22" customHeight="1">
      <c r="A1511" s="1" t="str">
        <f>IF(AND('Loan Inputs'!$B$12,1505&lt;=IF('Loan Inputs'!$B$12,'Loan Inputs'!$B$7,0)*'Loan Inputs'!$B$14+0,ISNUMBER(G1510),G1510&gt;0),1505,"")</f>
        <v/>
      </c>
      <c r="B1511" s="4" t="str">
        <f>IF(A1511="","",IF('Loan Inputs'!$B$14=12,DATE(YEAR('Loan Inputs'!$B$8),MONTH('Loan Inputs'!$B$8)+A1511,DAY('Loan Inputs'!$B$8)),'Loan Inputs'!$B$8+A1511*IF('Loan Inputs'!$B$14=26,14,7)))</f>
        <v/>
      </c>
      <c r="C1511" s="2" t="str">
        <f t="shared" si="71"/>
        <v/>
      </c>
      <c r="D1511" s="2" t="str">
        <f>IF(A1511="","",MIN('Loan Inputs'!$B$17,C1511+E1511)+H1511)</f>
        <v/>
      </c>
      <c r="E1511" s="2" t="str">
        <f>IF(A1511="","",C1511*'Loan Inputs'!$B$15)</f>
        <v/>
      </c>
      <c r="F1511" s="2" t="str">
        <f t="shared" si="69"/>
        <v/>
      </c>
      <c r="G1511" s="2" t="str">
        <f t="shared" si="70"/>
        <v/>
      </c>
      <c r="H1511" s="2" t="str">
        <f>IF(A1511="","",MIN(0,MAX(0,C1511+E1511-'Loan Inputs'!$B$17)))</f>
        <v/>
      </c>
    </row>
    <row r="1512" spans="1:8" ht="22" customHeight="1">
      <c r="A1512" s="1" t="str">
        <f>IF(AND('Loan Inputs'!$B$12,1506&lt;=IF('Loan Inputs'!$B$12,'Loan Inputs'!$B$7,0)*'Loan Inputs'!$B$14+0,ISNUMBER(G1511),G1511&gt;0),1506,"")</f>
        <v/>
      </c>
      <c r="B1512" s="4" t="str">
        <f>IF(A1512="","",IF('Loan Inputs'!$B$14=12,DATE(YEAR('Loan Inputs'!$B$8),MONTH('Loan Inputs'!$B$8)+A1512,DAY('Loan Inputs'!$B$8)),'Loan Inputs'!$B$8+A1512*IF('Loan Inputs'!$B$14=26,14,7)))</f>
        <v/>
      </c>
      <c r="C1512" s="2" t="str">
        <f t="shared" si="71"/>
        <v/>
      </c>
      <c r="D1512" s="2" t="str">
        <f>IF(A1512="","",MIN('Loan Inputs'!$B$17,C1512+E1512)+H1512)</f>
        <v/>
      </c>
      <c r="E1512" s="2" t="str">
        <f>IF(A1512="","",C1512*'Loan Inputs'!$B$15)</f>
        <v/>
      </c>
      <c r="F1512" s="2" t="str">
        <f t="shared" si="69"/>
        <v/>
      </c>
      <c r="G1512" s="2" t="str">
        <f t="shared" si="70"/>
        <v/>
      </c>
      <c r="H1512" s="2" t="str">
        <f>IF(A1512="","",MIN(0,MAX(0,C1512+E1512-'Loan Inputs'!$B$17)))</f>
        <v/>
      </c>
    </row>
    <row r="1513" spans="1:8" ht="22" customHeight="1">
      <c r="A1513" s="1" t="str">
        <f>IF(AND('Loan Inputs'!$B$12,1507&lt;=IF('Loan Inputs'!$B$12,'Loan Inputs'!$B$7,0)*'Loan Inputs'!$B$14+0,ISNUMBER(G1512),G1512&gt;0),1507,"")</f>
        <v/>
      </c>
      <c r="B1513" s="4" t="str">
        <f>IF(A1513="","",IF('Loan Inputs'!$B$14=12,DATE(YEAR('Loan Inputs'!$B$8),MONTH('Loan Inputs'!$B$8)+A1513,DAY('Loan Inputs'!$B$8)),'Loan Inputs'!$B$8+A1513*IF('Loan Inputs'!$B$14=26,14,7)))</f>
        <v/>
      </c>
      <c r="C1513" s="2" t="str">
        <f t="shared" si="71"/>
        <v/>
      </c>
      <c r="D1513" s="2" t="str">
        <f>IF(A1513="","",MIN('Loan Inputs'!$B$17,C1513+E1513)+H1513)</f>
        <v/>
      </c>
      <c r="E1513" s="2" t="str">
        <f>IF(A1513="","",C1513*'Loan Inputs'!$B$15)</f>
        <v/>
      </c>
      <c r="F1513" s="2" t="str">
        <f t="shared" si="69"/>
        <v/>
      </c>
      <c r="G1513" s="2" t="str">
        <f t="shared" si="70"/>
        <v/>
      </c>
      <c r="H1513" s="2" t="str">
        <f>IF(A1513="","",MIN(0,MAX(0,C1513+E1513-'Loan Inputs'!$B$17)))</f>
        <v/>
      </c>
    </row>
    <row r="1514" spans="1:8" ht="22" customHeight="1">
      <c r="A1514" s="1" t="str">
        <f>IF(AND('Loan Inputs'!$B$12,1508&lt;=IF('Loan Inputs'!$B$12,'Loan Inputs'!$B$7,0)*'Loan Inputs'!$B$14+0,ISNUMBER(G1513),G1513&gt;0),1508,"")</f>
        <v/>
      </c>
      <c r="B1514" s="4" t="str">
        <f>IF(A1514="","",IF('Loan Inputs'!$B$14=12,DATE(YEAR('Loan Inputs'!$B$8),MONTH('Loan Inputs'!$B$8)+A1514,DAY('Loan Inputs'!$B$8)),'Loan Inputs'!$B$8+A1514*IF('Loan Inputs'!$B$14=26,14,7)))</f>
        <v/>
      </c>
      <c r="C1514" s="2" t="str">
        <f t="shared" si="71"/>
        <v/>
      </c>
      <c r="D1514" s="2" t="str">
        <f>IF(A1514="","",MIN('Loan Inputs'!$B$17,C1514+E1514)+H1514)</f>
        <v/>
      </c>
      <c r="E1514" s="2" t="str">
        <f>IF(A1514="","",C1514*'Loan Inputs'!$B$15)</f>
        <v/>
      </c>
      <c r="F1514" s="2" t="str">
        <f t="shared" si="69"/>
        <v/>
      </c>
      <c r="G1514" s="2" t="str">
        <f t="shared" si="70"/>
        <v/>
      </c>
      <c r="H1514" s="2" t="str">
        <f>IF(A1514="","",MIN(0,MAX(0,C1514+E1514-'Loan Inputs'!$B$17)))</f>
        <v/>
      </c>
    </row>
    <row r="1515" spans="1:8" ht="22" customHeight="1">
      <c r="A1515" s="1" t="str">
        <f>IF(AND('Loan Inputs'!$B$12,1509&lt;=IF('Loan Inputs'!$B$12,'Loan Inputs'!$B$7,0)*'Loan Inputs'!$B$14+0,ISNUMBER(G1514),G1514&gt;0),1509,"")</f>
        <v/>
      </c>
      <c r="B1515" s="4" t="str">
        <f>IF(A1515="","",IF('Loan Inputs'!$B$14=12,DATE(YEAR('Loan Inputs'!$B$8),MONTH('Loan Inputs'!$B$8)+A1515,DAY('Loan Inputs'!$B$8)),'Loan Inputs'!$B$8+A1515*IF('Loan Inputs'!$B$14=26,14,7)))</f>
        <v/>
      </c>
      <c r="C1515" s="2" t="str">
        <f t="shared" si="71"/>
        <v/>
      </c>
      <c r="D1515" s="2" t="str">
        <f>IF(A1515="","",MIN('Loan Inputs'!$B$17,C1515+E1515)+H1515)</f>
        <v/>
      </c>
      <c r="E1515" s="2" t="str">
        <f>IF(A1515="","",C1515*'Loan Inputs'!$B$15)</f>
        <v/>
      </c>
      <c r="F1515" s="2" t="str">
        <f t="shared" si="69"/>
        <v/>
      </c>
      <c r="G1515" s="2" t="str">
        <f t="shared" si="70"/>
        <v/>
      </c>
      <c r="H1515" s="2" t="str">
        <f>IF(A1515="","",MIN(0,MAX(0,C1515+E1515-'Loan Inputs'!$B$17)))</f>
        <v/>
      </c>
    </row>
    <row r="1516" spans="1:8" ht="22" customHeight="1">
      <c r="A1516" s="1" t="str">
        <f>IF(AND('Loan Inputs'!$B$12,1510&lt;=IF('Loan Inputs'!$B$12,'Loan Inputs'!$B$7,0)*'Loan Inputs'!$B$14+0,ISNUMBER(G1515),G1515&gt;0),1510,"")</f>
        <v/>
      </c>
      <c r="B1516" s="4" t="str">
        <f>IF(A1516="","",IF('Loan Inputs'!$B$14=12,DATE(YEAR('Loan Inputs'!$B$8),MONTH('Loan Inputs'!$B$8)+A1516,DAY('Loan Inputs'!$B$8)),'Loan Inputs'!$B$8+A1516*IF('Loan Inputs'!$B$14=26,14,7)))</f>
        <v/>
      </c>
      <c r="C1516" s="2" t="str">
        <f t="shared" si="71"/>
        <v/>
      </c>
      <c r="D1516" s="2" t="str">
        <f>IF(A1516="","",MIN('Loan Inputs'!$B$17,C1516+E1516)+H1516)</f>
        <v/>
      </c>
      <c r="E1516" s="2" t="str">
        <f>IF(A1516="","",C1516*'Loan Inputs'!$B$15)</f>
        <v/>
      </c>
      <c r="F1516" s="2" t="str">
        <f t="shared" si="69"/>
        <v/>
      </c>
      <c r="G1516" s="2" t="str">
        <f t="shared" si="70"/>
        <v/>
      </c>
      <c r="H1516" s="2" t="str">
        <f>IF(A1516="","",MIN(0,MAX(0,C1516+E1516-'Loan Inputs'!$B$17)))</f>
        <v/>
      </c>
    </row>
    <row r="1517" spans="1:8" ht="22" customHeight="1">
      <c r="A1517" s="1" t="str">
        <f>IF(AND('Loan Inputs'!$B$12,1511&lt;=IF('Loan Inputs'!$B$12,'Loan Inputs'!$B$7,0)*'Loan Inputs'!$B$14+0,ISNUMBER(G1516),G1516&gt;0),1511,"")</f>
        <v/>
      </c>
      <c r="B1517" s="4" t="str">
        <f>IF(A1517="","",IF('Loan Inputs'!$B$14=12,DATE(YEAR('Loan Inputs'!$B$8),MONTH('Loan Inputs'!$B$8)+A1517,DAY('Loan Inputs'!$B$8)),'Loan Inputs'!$B$8+A1517*IF('Loan Inputs'!$B$14=26,14,7)))</f>
        <v/>
      </c>
      <c r="C1517" s="2" t="str">
        <f t="shared" si="71"/>
        <v/>
      </c>
      <c r="D1517" s="2" t="str">
        <f>IF(A1517="","",MIN('Loan Inputs'!$B$17,C1517+E1517)+H1517)</f>
        <v/>
      </c>
      <c r="E1517" s="2" t="str">
        <f>IF(A1517="","",C1517*'Loan Inputs'!$B$15)</f>
        <v/>
      </c>
      <c r="F1517" s="2" t="str">
        <f t="shared" si="69"/>
        <v/>
      </c>
      <c r="G1517" s="2" t="str">
        <f t="shared" si="70"/>
        <v/>
      </c>
      <c r="H1517" s="2" t="str">
        <f>IF(A1517="","",MIN(0,MAX(0,C1517+E1517-'Loan Inputs'!$B$17)))</f>
        <v/>
      </c>
    </row>
    <row r="1518" spans="1:8" ht="22" customHeight="1">
      <c r="A1518" s="1" t="str">
        <f>IF(AND('Loan Inputs'!$B$12,1512&lt;=IF('Loan Inputs'!$B$12,'Loan Inputs'!$B$7,0)*'Loan Inputs'!$B$14+0,ISNUMBER(G1517),G1517&gt;0),1512,"")</f>
        <v/>
      </c>
      <c r="B1518" s="4" t="str">
        <f>IF(A1518="","",IF('Loan Inputs'!$B$14=12,DATE(YEAR('Loan Inputs'!$B$8),MONTH('Loan Inputs'!$B$8)+A1518,DAY('Loan Inputs'!$B$8)),'Loan Inputs'!$B$8+A1518*IF('Loan Inputs'!$B$14=26,14,7)))</f>
        <v/>
      </c>
      <c r="C1518" s="2" t="str">
        <f t="shared" si="71"/>
        <v/>
      </c>
      <c r="D1518" s="2" t="str">
        <f>IF(A1518="","",MIN('Loan Inputs'!$B$17,C1518+E1518)+H1518)</f>
        <v/>
      </c>
      <c r="E1518" s="2" t="str">
        <f>IF(A1518="","",C1518*'Loan Inputs'!$B$15)</f>
        <v/>
      </c>
      <c r="F1518" s="2" t="str">
        <f t="shared" si="69"/>
        <v/>
      </c>
      <c r="G1518" s="2" t="str">
        <f t="shared" si="70"/>
        <v/>
      </c>
      <c r="H1518" s="2" t="str">
        <f>IF(A1518="","",MIN(0,MAX(0,C1518+E1518-'Loan Inputs'!$B$17)))</f>
        <v/>
      </c>
    </row>
    <row r="1519" spans="1:8" ht="22" customHeight="1">
      <c r="A1519" s="1" t="str">
        <f>IF(AND('Loan Inputs'!$B$12,1513&lt;=IF('Loan Inputs'!$B$12,'Loan Inputs'!$B$7,0)*'Loan Inputs'!$B$14+0,ISNUMBER(G1518),G1518&gt;0),1513,"")</f>
        <v/>
      </c>
      <c r="B1519" s="4" t="str">
        <f>IF(A1519="","",IF('Loan Inputs'!$B$14=12,DATE(YEAR('Loan Inputs'!$B$8),MONTH('Loan Inputs'!$B$8)+A1519,DAY('Loan Inputs'!$B$8)),'Loan Inputs'!$B$8+A1519*IF('Loan Inputs'!$B$14=26,14,7)))</f>
        <v/>
      </c>
      <c r="C1519" s="2" t="str">
        <f t="shared" si="71"/>
        <v/>
      </c>
      <c r="D1519" s="2" t="str">
        <f>IF(A1519="","",MIN('Loan Inputs'!$B$17,C1519+E1519)+H1519)</f>
        <v/>
      </c>
      <c r="E1519" s="2" t="str">
        <f>IF(A1519="","",C1519*'Loan Inputs'!$B$15)</f>
        <v/>
      </c>
      <c r="F1519" s="2" t="str">
        <f t="shared" si="69"/>
        <v/>
      </c>
      <c r="G1519" s="2" t="str">
        <f t="shared" si="70"/>
        <v/>
      </c>
      <c r="H1519" s="2" t="str">
        <f>IF(A1519="","",MIN(0,MAX(0,C1519+E1519-'Loan Inputs'!$B$17)))</f>
        <v/>
      </c>
    </row>
    <row r="1520" spans="1:8" ht="22" customHeight="1">
      <c r="A1520" s="1" t="str">
        <f>IF(AND('Loan Inputs'!$B$12,1514&lt;=IF('Loan Inputs'!$B$12,'Loan Inputs'!$B$7,0)*'Loan Inputs'!$B$14+0,ISNUMBER(G1519),G1519&gt;0),1514,"")</f>
        <v/>
      </c>
      <c r="B1520" s="4" t="str">
        <f>IF(A1520="","",IF('Loan Inputs'!$B$14=12,DATE(YEAR('Loan Inputs'!$B$8),MONTH('Loan Inputs'!$B$8)+A1520,DAY('Loan Inputs'!$B$8)),'Loan Inputs'!$B$8+A1520*IF('Loan Inputs'!$B$14=26,14,7)))</f>
        <v/>
      </c>
      <c r="C1520" s="2" t="str">
        <f t="shared" si="71"/>
        <v/>
      </c>
      <c r="D1520" s="2" t="str">
        <f>IF(A1520="","",MIN('Loan Inputs'!$B$17,C1520+E1520)+H1520)</f>
        <v/>
      </c>
      <c r="E1520" s="2" t="str">
        <f>IF(A1520="","",C1520*'Loan Inputs'!$B$15)</f>
        <v/>
      </c>
      <c r="F1520" s="2" t="str">
        <f t="shared" si="69"/>
        <v/>
      </c>
      <c r="G1520" s="2" t="str">
        <f t="shared" si="70"/>
        <v/>
      </c>
      <c r="H1520" s="2" t="str">
        <f>IF(A1520="","",MIN(0,MAX(0,C1520+E1520-'Loan Inputs'!$B$17)))</f>
        <v/>
      </c>
    </row>
    <row r="1521" spans="1:8" ht="22" customHeight="1">
      <c r="A1521" s="1" t="str">
        <f>IF(AND('Loan Inputs'!$B$12,1515&lt;=IF('Loan Inputs'!$B$12,'Loan Inputs'!$B$7,0)*'Loan Inputs'!$B$14+0,ISNUMBER(G1520),G1520&gt;0),1515,"")</f>
        <v/>
      </c>
      <c r="B1521" s="4" t="str">
        <f>IF(A1521="","",IF('Loan Inputs'!$B$14=12,DATE(YEAR('Loan Inputs'!$B$8),MONTH('Loan Inputs'!$B$8)+A1521,DAY('Loan Inputs'!$B$8)),'Loan Inputs'!$B$8+A1521*IF('Loan Inputs'!$B$14=26,14,7)))</f>
        <v/>
      </c>
      <c r="C1521" s="2" t="str">
        <f t="shared" si="71"/>
        <v/>
      </c>
      <c r="D1521" s="2" t="str">
        <f>IF(A1521="","",MIN('Loan Inputs'!$B$17,C1521+E1521)+H1521)</f>
        <v/>
      </c>
      <c r="E1521" s="2" t="str">
        <f>IF(A1521="","",C1521*'Loan Inputs'!$B$15)</f>
        <v/>
      </c>
      <c r="F1521" s="2" t="str">
        <f t="shared" si="69"/>
        <v/>
      </c>
      <c r="G1521" s="2" t="str">
        <f t="shared" si="70"/>
        <v/>
      </c>
      <c r="H1521" s="2" t="str">
        <f>IF(A1521="","",MIN(0,MAX(0,C1521+E1521-'Loan Inputs'!$B$17)))</f>
        <v/>
      </c>
    </row>
    <row r="1522" spans="1:8" ht="22" customHeight="1">
      <c r="A1522" s="1" t="str">
        <f>IF(AND('Loan Inputs'!$B$12,1516&lt;=IF('Loan Inputs'!$B$12,'Loan Inputs'!$B$7,0)*'Loan Inputs'!$B$14+0,ISNUMBER(G1521),G1521&gt;0),1516,"")</f>
        <v/>
      </c>
      <c r="B1522" s="4" t="str">
        <f>IF(A1522="","",IF('Loan Inputs'!$B$14=12,DATE(YEAR('Loan Inputs'!$B$8),MONTH('Loan Inputs'!$B$8)+A1522,DAY('Loan Inputs'!$B$8)),'Loan Inputs'!$B$8+A1522*IF('Loan Inputs'!$B$14=26,14,7)))</f>
        <v/>
      </c>
      <c r="C1522" s="2" t="str">
        <f t="shared" si="71"/>
        <v/>
      </c>
      <c r="D1522" s="2" t="str">
        <f>IF(A1522="","",MIN('Loan Inputs'!$B$17,C1522+E1522)+H1522)</f>
        <v/>
      </c>
      <c r="E1522" s="2" t="str">
        <f>IF(A1522="","",C1522*'Loan Inputs'!$B$15)</f>
        <v/>
      </c>
      <c r="F1522" s="2" t="str">
        <f t="shared" si="69"/>
        <v/>
      </c>
      <c r="G1522" s="2" t="str">
        <f t="shared" si="70"/>
        <v/>
      </c>
      <c r="H1522" s="2" t="str">
        <f>IF(A1522="","",MIN(0,MAX(0,C1522+E1522-'Loan Inputs'!$B$17)))</f>
        <v/>
      </c>
    </row>
    <row r="1523" spans="1:8" ht="22" customHeight="1">
      <c r="A1523" s="1" t="str">
        <f>IF(AND('Loan Inputs'!$B$12,1517&lt;=IF('Loan Inputs'!$B$12,'Loan Inputs'!$B$7,0)*'Loan Inputs'!$B$14+0,ISNUMBER(G1522),G1522&gt;0),1517,"")</f>
        <v/>
      </c>
      <c r="B1523" s="4" t="str">
        <f>IF(A1523="","",IF('Loan Inputs'!$B$14=12,DATE(YEAR('Loan Inputs'!$B$8),MONTH('Loan Inputs'!$B$8)+A1523,DAY('Loan Inputs'!$B$8)),'Loan Inputs'!$B$8+A1523*IF('Loan Inputs'!$B$14=26,14,7)))</f>
        <v/>
      </c>
      <c r="C1523" s="2" t="str">
        <f t="shared" si="71"/>
        <v/>
      </c>
      <c r="D1523" s="2" t="str">
        <f>IF(A1523="","",MIN('Loan Inputs'!$B$17,C1523+E1523)+H1523)</f>
        <v/>
      </c>
      <c r="E1523" s="2" t="str">
        <f>IF(A1523="","",C1523*'Loan Inputs'!$B$15)</f>
        <v/>
      </c>
      <c r="F1523" s="2" t="str">
        <f t="shared" si="69"/>
        <v/>
      </c>
      <c r="G1523" s="2" t="str">
        <f t="shared" si="70"/>
        <v/>
      </c>
      <c r="H1523" s="2" t="str">
        <f>IF(A1523="","",MIN(0,MAX(0,C1523+E1523-'Loan Inputs'!$B$17)))</f>
        <v/>
      </c>
    </row>
    <row r="1524" spans="1:8" ht="22" customHeight="1">
      <c r="A1524" s="1" t="str">
        <f>IF(AND('Loan Inputs'!$B$12,1518&lt;=IF('Loan Inputs'!$B$12,'Loan Inputs'!$B$7,0)*'Loan Inputs'!$B$14+0,ISNUMBER(G1523),G1523&gt;0),1518,"")</f>
        <v/>
      </c>
      <c r="B1524" s="4" t="str">
        <f>IF(A1524="","",IF('Loan Inputs'!$B$14=12,DATE(YEAR('Loan Inputs'!$B$8),MONTH('Loan Inputs'!$B$8)+A1524,DAY('Loan Inputs'!$B$8)),'Loan Inputs'!$B$8+A1524*IF('Loan Inputs'!$B$14=26,14,7)))</f>
        <v/>
      </c>
      <c r="C1524" s="2" t="str">
        <f t="shared" si="71"/>
        <v/>
      </c>
      <c r="D1524" s="2" t="str">
        <f>IF(A1524="","",MIN('Loan Inputs'!$B$17,C1524+E1524)+H1524)</f>
        <v/>
      </c>
      <c r="E1524" s="2" t="str">
        <f>IF(A1524="","",C1524*'Loan Inputs'!$B$15)</f>
        <v/>
      </c>
      <c r="F1524" s="2" t="str">
        <f t="shared" si="69"/>
        <v/>
      </c>
      <c r="G1524" s="2" t="str">
        <f t="shared" si="70"/>
        <v/>
      </c>
      <c r="H1524" s="2" t="str">
        <f>IF(A1524="","",MIN(0,MAX(0,C1524+E1524-'Loan Inputs'!$B$17)))</f>
        <v/>
      </c>
    </row>
    <row r="1525" spans="1:8" ht="22" customHeight="1">
      <c r="A1525" s="1" t="str">
        <f>IF(AND('Loan Inputs'!$B$12,1519&lt;=IF('Loan Inputs'!$B$12,'Loan Inputs'!$B$7,0)*'Loan Inputs'!$B$14+0,ISNUMBER(G1524),G1524&gt;0),1519,"")</f>
        <v/>
      </c>
      <c r="B1525" s="4" t="str">
        <f>IF(A1525="","",IF('Loan Inputs'!$B$14=12,DATE(YEAR('Loan Inputs'!$B$8),MONTH('Loan Inputs'!$B$8)+A1525,DAY('Loan Inputs'!$B$8)),'Loan Inputs'!$B$8+A1525*IF('Loan Inputs'!$B$14=26,14,7)))</f>
        <v/>
      </c>
      <c r="C1525" s="2" t="str">
        <f t="shared" si="71"/>
        <v/>
      </c>
      <c r="D1525" s="2" t="str">
        <f>IF(A1525="","",MIN('Loan Inputs'!$B$17,C1525+E1525)+H1525)</f>
        <v/>
      </c>
      <c r="E1525" s="2" t="str">
        <f>IF(A1525="","",C1525*'Loan Inputs'!$B$15)</f>
        <v/>
      </c>
      <c r="F1525" s="2" t="str">
        <f t="shared" si="69"/>
        <v/>
      </c>
      <c r="G1525" s="2" t="str">
        <f t="shared" si="70"/>
        <v/>
      </c>
      <c r="H1525" s="2" t="str">
        <f>IF(A1525="","",MIN(0,MAX(0,C1525+E1525-'Loan Inputs'!$B$17)))</f>
        <v/>
      </c>
    </row>
    <row r="1526" spans="1:8" ht="22" customHeight="1">
      <c r="A1526" s="1" t="str">
        <f>IF(AND('Loan Inputs'!$B$12,1520&lt;=IF('Loan Inputs'!$B$12,'Loan Inputs'!$B$7,0)*'Loan Inputs'!$B$14+0,ISNUMBER(G1525),G1525&gt;0),1520,"")</f>
        <v/>
      </c>
      <c r="B1526" s="4" t="str">
        <f>IF(A1526="","",IF('Loan Inputs'!$B$14=12,DATE(YEAR('Loan Inputs'!$B$8),MONTH('Loan Inputs'!$B$8)+A1526,DAY('Loan Inputs'!$B$8)),'Loan Inputs'!$B$8+A1526*IF('Loan Inputs'!$B$14=26,14,7)))</f>
        <v/>
      </c>
      <c r="C1526" s="2" t="str">
        <f t="shared" si="71"/>
        <v/>
      </c>
      <c r="D1526" s="2" t="str">
        <f>IF(A1526="","",MIN('Loan Inputs'!$B$17,C1526+E1526)+H1526)</f>
        <v/>
      </c>
      <c r="E1526" s="2" t="str">
        <f>IF(A1526="","",C1526*'Loan Inputs'!$B$15)</f>
        <v/>
      </c>
      <c r="F1526" s="2" t="str">
        <f t="shared" si="69"/>
        <v/>
      </c>
      <c r="G1526" s="2" t="str">
        <f t="shared" si="70"/>
        <v/>
      </c>
      <c r="H1526" s="2" t="str">
        <f>IF(A1526="","",MIN(0,MAX(0,C1526+E1526-'Loan Inputs'!$B$17)))</f>
        <v/>
      </c>
    </row>
    <row r="1527" spans="1:8" ht="22" customHeight="1">
      <c r="A1527" s="1" t="str">
        <f>IF(AND('Loan Inputs'!$B$12,1521&lt;=IF('Loan Inputs'!$B$12,'Loan Inputs'!$B$7,0)*'Loan Inputs'!$B$14+0,ISNUMBER(G1526),G1526&gt;0),1521,"")</f>
        <v/>
      </c>
      <c r="B1527" s="4" t="str">
        <f>IF(A1527="","",IF('Loan Inputs'!$B$14=12,DATE(YEAR('Loan Inputs'!$B$8),MONTH('Loan Inputs'!$B$8)+A1527,DAY('Loan Inputs'!$B$8)),'Loan Inputs'!$B$8+A1527*IF('Loan Inputs'!$B$14=26,14,7)))</f>
        <v/>
      </c>
      <c r="C1527" s="2" t="str">
        <f t="shared" si="71"/>
        <v/>
      </c>
      <c r="D1527" s="2" t="str">
        <f>IF(A1527="","",MIN('Loan Inputs'!$B$17,C1527+E1527)+H1527)</f>
        <v/>
      </c>
      <c r="E1527" s="2" t="str">
        <f>IF(A1527="","",C1527*'Loan Inputs'!$B$15)</f>
        <v/>
      </c>
      <c r="F1527" s="2" t="str">
        <f t="shared" si="69"/>
        <v/>
      </c>
      <c r="G1527" s="2" t="str">
        <f t="shared" si="70"/>
        <v/>
      </c>
      <c r="H1527" s="2" t="str">
        <f>IF(A1527="","",MIN(0,MAX(0,C1527+E1527-'Loan Inputs'!$B$17)))</f>
        <v/>
      </c>
    </row>
    <row r="1528" spans="1:8" ht="22" customHeight="1">
      <c r="A1528" s="1" t="str">
        <f>IF(AND('Loan Inputs'!$B$12,1522&lt;=IF('Loan Inputs'!$B$12,'Loan Inputs'!$B$7,0)*'Loan Inputs'!$B$14+0,ISNUMBER(G1527),G1527&gt;0),1522,"")</f>
        <v/>
      </c>
      <c r="B1528" s="4" t="str">
        <f>IF(A1528="","",IF('Loan Inputs'!$B$14=12,DATE(YEAR('Loan Inputs'!$B$8),MONTH('Loan Inputs'!$B$8)+A1528,DAY('Loan Inputs'!$B$8)),'Loan Inputs'!$B$8+A1528*IF('Loan Inputs'!$B$14=26,14,7)))</f>
        <v/>
      </c>
      <c r="C1528" s="2" t="str">
        <f t="shared" si="71"/>
        <v/>
      </c>
      <c r="D1528" s="2" t="str">
        <f>IF(A1528="","",MIN('Loan Inputs'!$B$17,C1528+E1528)+H1528)</f>
        <v/>
      </c>
      <c r="E1528" s="2" t="str">
        <f>IF(A1528="","",C1528*'Loan Inputs'!$B$15)</f>
        <v/>
      </c>
      <c r="F1528" s="2" t="str">
        <f t="shared" si="69"/>
        <v/>
      </c>
      <c r="G1528" s="2" t="str">
        <f t="shared" si="70"/>
        <v/>
      </c>
      <c r="H1528" s="2" t="str">
        <f>IF(A1528="","",MIN(0,MAX(0,C1528+E1528-'Loan Inputs'!$B$17)))</f>
        <v/>
      </c>
    </row>
    <row r="1529" spans="1:8" ht="22" customHeight="1">
      <c r="A1529" s="1" t="str">
        <f>IF(AND('Loan Inputs'!$B$12,1523&lt;=IF('Loan Inputs'!$B$12,'Loan Inputs'!$B$7,0)*'Loan Inputs'!$B$14+0,ISNUMBER(G1528),G1528&gt;0),1523,"")</f>
        <v/>
      </c>
      <c r="B1529" s="4" t="str">
        <f>IF(A1529="","",IF('Loan Inputs'!$B$14=12,DATE(YEAR('Loan Inputs'!$B$8),MONTH('Loan Inputs'!$B$8)+A1529,DAY('Loan Inputs'!$B$8)),'Loan Inputs'!$B$8+A1529*IF('Loan Inputs'!$B$14=26,14,7)))</f>
        <v/>
      </c>
      <c r="C1529" s="2" t="str">
        <f t="shared" si="71"/>
        <v/>
      </c>
      <c r="D1529" s="2" t="str">
        <f>IF(A1529="","",MIN('Loan Inputs'!$B$17,C1529+E1529)+H1529)</f>
        <v/>
      </c>
      <c r="E1529" s="2" t="str">
        <f>IF(A1529="","",C1529*'Loan Inputs'!$B$15)</f>
        <v/>
      </c>
      <c r="F1529" s="2" t="str">
        <f t="shared" si="69"/>
        <v/>
      </c>
      <c r="G1529" s="2" t="str">
        <f t="shared" si="70"/>
        <v/>
      </c>
      <c r="H1529" s="2" t="str">
        <f>IF(A1529="","",MIN(0,MAX(0,C1529+E1529-'Loan Inputs'!$B$17)))</f>
        <v/>
      </c>
    </row>
    <row r="1530" spans="1:8" ht="22" customHeight="1">
      <c r="A1530" s="1" t="str">
        <f>IF(AND('Loan Inputs'!$B$12,1524&lt;=IF('Loan Inputs'!$B$12,'Loan Inputs'!$B$7,0)*'Loan Inputs'!$B$14+0,ISNUMBER(G1529),G1529&gt;0),1524,"")</f>
        <v/>
      </c>
      <c r="B1530" s="4" t="str">
        <f>IF(A1530="","",IF('Loan Inputs'!$B$14=12,DATE(YEAR('Loan Inputs'!$B$8),MONTH('Loan Inputs'!$B$8)+A1530,DAY('Loan Inputs'!$B$8)),'Loan Inputs'!$B$8+A1530*IF('Loan Inputs'!$B$14=26,14,7)))</f>
        <v/>
      </c>
      <c r="C1530" s="2" t="str">
        <f t="shared" si="71"/>
        <v/>
      </c>
      <c r="D1530" s="2" t="str">
        <f>IF(A1530="","",MIN('Loan Inputs'!$B$17,C1530+E1530)+H1530)</f>
        <v/>
      </c>
      <c r="E1530" s="2" t="str">
        <f>IF(A1530="","",C1530*'Loan Inputs'!$B$15)</f>
        <v/>
      </c>
      <c r="F1530" s="2" t="str">
        <f t="shared" si="69"/>
        <v/>
      </c>
      <c r="G1530" s="2" t="str">
        <f t="shared" si="70"/>
        <v/>
      </c>
      <c r="H1530" s="2" t="str">
        <f>IF(A1530="","",MIN(0,MAX(0,C1530+E1530-'Loan Inputs'!$B$17)))</f>
        <v/>
      </c>
    </row>
    <row r="1531" spans="1:8" ht="22" customHeight="1">
      <c r="A1531" s="1" t="str">
        <f>IF(AND('Loan Inputs'!$B$12,1525&lt;=IF('Loan Inputs'!$B$12,'Loan Inputs'!$B$7,0)*'Loan Inputs'!$B$14+0,ISNUMBER(G1530),G1530&gt;0),1525,"")</f>
        <v/>
      </c>
      <c r="B1531" s="4" t="str">
        <f>IF(A1531="","",IF('Loan Inputs'!$B$14=12,DATE(YEAR('Loan Inputs'!$B$8),MONTH('Loan Inputs'!$B$8)+A1531,DAY('Loan Inputs'!$B$8)),'Loan Inputs'!$B$8+A1531*IF('Loan Inputs'!$B$14=26,14,7)))</f>
        <v/>
      </c>
      <c r="C1531" s="2" t="str">
        <f t="shared" si="71"/>
        <v/>
      </c>
      <c r="D1531" s="2" t="str">
        <f>IF(A1531="","",MIN('Loan Inputs'!$B$17,C1531+E1531)+H1531)</f>
        <v/>
      </c>
      <c r="E1531" s="2" t="str">
        <f>IF(A1531="","",C1531*'Loan Inputs'!$B$15)</f>
        <v/>
      </c>
      <c r="F1531" s="2" t="str">
        <f t="shared" si="69"/>
        <v/>
      </c>
      <c r="G1531" s="2" t="str">
        <f t="shared" si="70"/>
        <v/>
      </c>
      <c r="H1531" s="2" t="str">
        <f>IF(A1531="","",MIN(0,MAX(0,C1531+E1531-'Loan Inputs'!$B$17)))</f>
        <v/>
      </c>
    </row>
    <row r="1532" spans="1:8" ht="22" customHeight="1">
      <c r="A1532" s="1" t="str">
        <f>IF(AND('Loan Inputs'!$B$12,1526&lt;=IF('Loan Inputs'!$B$12,'Loan Inputs'!$B$7,0)*'Loan Inputs'!$B$14+0,ISNUMBER(G1531),G1531&gt;0),1526,"")</f>
        <v/>
      </c>
      <c r="B1532" s="4" t="str">
        <f>IF(A1532="","",IF('Loan Inputs'!$B$14=12,DATE(YEAR('Loan Inputs'!$B$8),MONTH('Loan Inputs'!$B$8)+A1532,DAY('Loan Inputs'!$B$8)),'Loan Inputs'!$B$8+A1532*IF('Loan Inputs'!$B$14=26,14,7)))</f>
        <v/>
      </c>
      <c r="C1532" s="2" t="str">
        <f t="shared" si="71"/>
        <v/>
      </c>
      <c r="D1532" s="2" t="str">
        <f>IF(A1532="","",MIN('Loan Inputs'!$B$17,C1532+E1532)+H1532)</f>
        <v/>
      </c>
      <c r="E1532" s="2" t="str">
        <f>IF(A1532="","",C1532*'Loan Inputs'!$B$15)</f>
        <v/>
      </c>
      <c r="F1532" s="2" t="str">
        <f t="shared" si="69"/>
        <v/>
      </c>
      <c r="G1532" s="2" t="str">
        <f t="shared" si="70"/>
        <v/>
      </c>
      <c r="H1532" s="2" t="str">
        <f>IF(A1532="","",MIN(0,MAX(0,C1532+E1532-'Loan Inputs'!$B$17)))</f>
        <v/>
      </c>
    </row>
    <row r="1533" spans="1:8" ht="22" customHeight="1">
      <c r="A1533" s="1" t="str">
        <f>IF(AND('Loan Inputs'!$B$12,1527&lt;=IF('Loan Inputs'!$B$12,'Loan Inputs'!$B$7,0)*'Loan Inputs'!$B$14+0,ISNUMBER(G1532),G1532&gt;0),1527,"")</f>
        <v/>
      </c>
      <c r="B1533" s="4" t="str">
        <f>IF(A1533="","",IF('Loan Inputs'!$B$14=12,DATE(YEAR('Loan Inputs'!$B$8),MONTH('Loan Inputs'!$B$8)+A1533,DAY('Loan Inputs'!$B$8)),'Loan Inputs'!$B$8+A1533*IF('Loan Inputs'!$B$14=26,14,7)))</f>
        <v/>
      </c>
      <c r="C1533" s="2" t="str">
        <f t="shared" si="71"/>
        <v/>
      </c>
      <c r="D1533" s="2" t="str">
        <f>IF(A1533="","",MIN('Loan Inputs'!$B$17,C1533+E1533)+H1533)</f>
        <v/>
      </c>
      <c r="E1533" s="2" t="str">
        <f>IF(A1533="","",C1533*'Loan Inputs'!$B$15)</f>
        <v/>
      </c>
      <c r="F1533" s="2" t="str">
        <f t="shared" si="69"/>
        <v/>
      </c>
      <c r="G1533" s="2" t="str">
        <f t="shared" si="70"/>
        <v/>
      </c>
      <c r="H1533" s="2" t="str">
        <f>IF(A1533="","",MIN(0,MAX(0,C1533+E1533-'Loan Inputs'!$B$17)))</f>
        <v/>
      </c>
    </row>
    <row r="1534" spans="1:8" ht="22" customHeight="1">
      <c r="A1534" s="1" t="str">
        <f>IF(AND('Loan Inputs'!$B$12,1528&lt;=IF('Loan Inputs'!$B$12,'Loan Inputs'!$B$7,0)*'Loan Inputs'!$B$14+0,ISNUMBER(G1533),G1533&gt;0),1528,"")</f>
        <v/>
      </c>
      <c r="B1534" s="4" t="str">
        <f>IF(A1534="","",IF('Loan Inputs'!$B$14=12,DATE(YEAR('Loan Inputs'!$B$8),MONTH('Loan Inputs'!$B$8)+A1534,DAY('Loan Inputs'!$B$8)),'Loan Inputs'!$B$8+A1534*IF('Loan Inputs'!$B$14=26,14,7)))</f>
        <v/>
      </c>
      <c r="C1534" s="2" t="str">
        <f t="shared" si="71"/>
        <v/>
      </c>
      <c r="D1534" s="2" t="str">
        <f>IF(A1534="","",MIN('Loan Inputs'!$B$17,C1534+E1534)+H1534)</f>
        <v/>
      </c>
      <c r="E1534" s="2" t="str">
        <f>IF(A1534="","",C1534*'Loan Inputs'!$B$15)</f>
        <v/>
      </c>
      <c r="F1534" s="2" t="str">
        <f t="shared" si="69"/>
        <v/>
      </c>
      <c r="G1534" s="2" t="str">
        <f t="shared" si="70"/>
        <v/>
      </c>
      <c r="H1534" s="2" t="str">
        <f>IF(A1534="","",MIN(0,MAX(0,C1534+E1534-'Loan Inputs'!$B$17)))</f>
        <v/>
      </c>
    </row>
    <row r="1535" spans="1:8" ht="22" customHeight="1">
      <c r="A1535" s="1" t="str">
        <f>IF(AND('Loan Inputs'!$B$12,1529&lt;=IF('Loan Inputs'!$B$12,'Loan Inputs'!$B$7,0)*'Loan Inputs'!$B$14+0,ISNUMBER(G1534),G1534&gt;0),1529,"")</f>
        <v/>
      </c>
      <c r="B1535" s="4" t="str">
        <f>IF(A1535="","",IF('Loan Inputs'!$B$14=12,DATE(YEAR('Loan Inputs'!$B$8),MONTH('Loan Inputs'!$B$8)+A1535,DAY('Loan Inputs'!$B$8)),'Loan Inputs'!$B$8+A1535*IF('Loan Inputs'!$B$14=26,14,7)))</f>
        <v/>
      </c>
      <c r="C1535" s="2" t="str">
        <f t="shared" si="71"/>
        <v/>
      </c>
      <c r="D1535" s="2" t="str">
        <f>IF(A1535="","",MIN('Loan Inputs'!$B$17,C1535+E1535)+H1535)</f>
        <v/>
      </c>
      <c r="E1535" s="2" t="str">
        <f>IF(A1535="","",C1535*'Loan Inputs'!$B$15)</f>
        <v/>
      </c>
      <c r="F1535" s="2" t="str">
        <f t="shared" si="69"/>
        <v/>
      </c>
      <c r="G1535" s="2" t="str">
        <f t="shared" si="70"/>
        <v/>
      </c>
      <c r="H1535" s="2" t="str">
        <f>IF(A1535="","",MIN(0,MAX(0,C1535+E1535-'Loan Inputs'!$B$17)))</f>
        <v/>
      </c>
    </row>
    <row r="1536" spans="1:8" ht="22" customHeight="1">
      <c r="A1536" s="1" t="str">
        <f>IF(AND('Loan Inputs'!$B$12,1530&lt;=IF('Loan Inputs'!$B$12,'Loan Inputs'!$B$7,0)*'Loan Inputs'!$B$14+0,ISNUMBER(G1535),G1535&gt;0),1530,"")</f>
        <v/>
      </c>
      <c r="B1536" s="4" t="str">
        <f>IF(A1536="","",IF('Loan Inputs'!$B$14=12,DATE(YEAR('Loan Inputs'!$B$8),MONTH('Loan Inputs'!$B$8)+A1536,DAY('Loan Inputs'!$B$8)),'Loan Inputs'!$B$8+A1536*IF('Loan Inputs'!$B$14=26,14,7)))</f>
        <v/>
      </c>
      <c r="C1536" s="2" t="str">
        <f t="shared" si="71"/>
        <v/>
      </c>
      <c r="D1536" s="2" t="str">
        <f>IF(A1536="","",MIN('Loan Inputs'!$B$17,C1536+E1536)+H1536)</f>
        <v/>
      </c>
      <c r="E1536" s="2" t="str">
        <f>IF(A1536="","",C1536*'Loan Inputs'!$B$15)</f>
        <v/>
      </c>
      <c r="F1536" s="2" t="str">
        <f t="shared" si="69"/>
        <v/>
      </c>
      <c r="G1536" s="2" t="str">
        <f t="shared" si="70"/>
        <v/>
      </c>
      <c r="H1536" s="2" t="str">
        <f>IF(A1536="","",MIN(0,MAX(0,C1536+E1536-'Loan Inputs'!$B$17)))</f>
        <v/>
      </c>
    </row>
    <row r="1537" spans="1:8" ht="22" customHeight="1">
      <c r="A1537" s="1" t="str">
        <f>IF(AND('Loan Inputs'!$B$12,1531&lt;=IF('Loan Inputs'!$B$12,'Loan Inputs'!$B$7,0)*'Loan Inputs'!$B$14+0,ISNUMBER(G1536),G1536&gt;0),1531,"")</f>
        <v/>
      </c>
      <c r="B1537" s="4" t="str">
        <f>IF(A1537="","",IF('Loan Inputs'!$B$14=12,DATE(YEAR('Loan Inputs'!$B$8),MONTH('Loan Inputs'!$B$8)+A1537,DAY('Loan Inputs'!$B$8)),'Loan Inputs'!$B$8+A1537*IF('Loan Inputs'!$B$14=26,14,7)))</f>
        <v/>
      </c>
      <c r="C1537" s="2" t="str">
        <f t="shared" si="71"/>
        <v/>
      </c>
      <c r="D1537" s="2" t="str">
        <f>IF(A1537="","",MIN('Loan Inputs'!$B$17,C1537+E1537)+H1537)</f>
        <v/>
      </c>
      <c r="E1537" s="2" t="str">
        <f>IF(A1537="","",C1537*'Loan Inputs'!$B$15)</f>
        <v/>
      </c>
      <c r="F1537" s="2" t="str">
        <f t="shared" si="69"/>
        <v/>
      </c>
      <c r="G1537" s="2" t="str">
        <f t="shared" si="70"/>
        <v/>
      </c>
      <c r="H1537" s="2" t="str">
        <f>IF(A1537="","",MIN(0,MAX(0,C1537+E1537-'Loan Inputs'!$B$17)))</f>
        <v/>
      </c>
    </row>
    <row r="1538" spans="1:8" ht="22" customHeight="1">
      <c r="A1538" s="1" t="str">
        <f>IF(AND('Loan Inputs'!$B$12,1532&lt;=IF('Loan Inputs'!$B$12,'Loan Inputs'!$B$7,0)*'Loan Inputs'!$B$14+0,ISNUMBER(G1537),G1537&gt;0),1532,"")</f>
        <v/>
      </c>
      <c r="B1538" s="4" t="str">
        <f>IF(A1538="","",IF('Loan Inputs'!$B$14=12,DATE(YEAR('Loan Inputs'!$B$8),MONTH('Loan Inputs'!$B$8)+A1538,DAY('Loan Inputs'!$B$8)),'Loan Inputs'!$B$8+A1538*IF('Loan Inputs'!$B$14=26,14,7)))</f>
        <v/>
      </c>
      <c r="C1538" s="2" t="str">
        <f t="shared" si="71"/>
        <v/>
      </c>
      <c r="D1538" s="2" t="str">
        <f>IF(A1538="","",MIN('Loan Inputs'!$B$17,C1538+E1538)+H1538)</f>
        <v/>
      </c>
      <c r="E1538" s="2" t="str">
        <f>IF(A1538="","",C1538*'Loan Inputs'!$B$15)</f>
        <v/>
      </c>
      <c r="F1538" s="2" t="str">
        <f t="shared" si="69"/>
        <v/>
      </c>
      <c r="G1538" s="2" t="str">
        <f t="shared" si="70"/>
        <v/>
      </c>
      <c r="H1538" s="2" t="str">
        <f>IF(A1538="","",MIN(0,MAX(0,C1538+E1538-'Loan Inputs'!$B$17)))</f>
        <v/>
      </c>
    </row>
    <row r="1539" spans="1:8" ht="22" customHeight="1">
      <c r="A1539" s="1" t="str">
        <f>IF(AND('Loan Inputs'!$B$12,1533&lt;=IF('Loan Inputs'!$B$12,'Loan Inputs'!$B$7,0)*'Loan Inputs'!$B$14+0,ISNUMBER(G1538),G1538&gt;0),1533,"")</f>
        <v/>
      </c>
      <c r="B1539" s="4" t="str">
        <f>IF(A1539="","",IF('Loan Inputs'!$B$14=12,DATE(YEAR('Loan Inputs'!$B$8),MONTH('Loan Inputs'!$B$8)+A1539,DAY('Loan Inputs'!$B$8)),'Loan Inputs'!$B$8+A1539*IF('Loan Inputs'!$B$14=26,14,7)))</f>
        <v/>
      </c>
      <c r="C1539" s="2" t="str">
        <f t="shared" si="71"/>
        <v/>
      </c>
      <c r="D1539" s="2" t="str">
        <f>IF(A1539="","",MIN('Loan Inputs'!$B$17,C1539+E1539)+H1539)</f>
        <v/>
      </c>
      <c r="E1539" s="2" t="str">
        <f>IF(A1539="","",C1539*'Loan Inputs'!$B$15)</f>
        <v/>
      </c>
      <c r="F1539" s="2" t="str">
        <f t="shared" si="69"/>
        <v/>
      </c>
      <c r="G1539" s="2" t="str">
        <f t="shared" si="70"/>
        <v/>
      </c>
      <c r="H1539" s="2" t="str">
        <f>IF(A1539="","",MIN(0,MAX(0,C1539+E1539-'Loan Inputs'!$B$17)))</f>
        <v/>
      </c>
    </row>
    <row r="1540" spans="1:8" ht="22" customHeight="1">
      <c r="A1540" s="1" t="str">
        <f>IF(AND('Loan Inputs'!$B$12,1534&lt;=IF('Loan Inputs'!$B$12,'Loan Inputs'!$B$7,0)*'Loan Inputs'!$B$14+0,ISNUMBER(G1539),G1539&gt;0),1534,"")</f>
        <v/>
      </c>
      <c r="B1540" s="4" t="str">
        <f>IF(A1540="","",IF('Loan Inputs'!$B$14=12,DATE(YEAR('Loan Inputs'!$B$8),MONTH('Loan Inputs'!$B$8)+A1540,DAY('Loan Inputs'!$B$8)),'Loan Inputs'!$B$8+A1540*IF('Loan Inputs'!$B$14=26,14,7)))</f>
        <v/>
      </c>
      <c r="C1540" s="2" t="str">
        <f t="shared" si="71"/>
        <v/>
      </c>
      <c r="D1540" s="2" t="str">
        <f>IF(A1540="","",MIN('Loan Inputs'!$B$17,C1540+E1540)+H1540)</f>
        <v/>
      </c>
      <c r="E1540" s="2" t="str">
        <f>IF(A1540="","",C1540*'Loan Inputs'!$B$15)</f>
        <v/>
      </c>
      <c r="F1540" s="2" t="str">
        <f t="shared" si="69"/>
        <v/>
      </c>
      <c r="G1540" s="2" t="str">
        <f t="shared" si="70"/>
        <v/>
      </c>
      <c r="H1540" s="2" t="str">
        <f>IF(A1540="","",MIN(0,MAX(0,C1540+E1540-'Loan Inputs'!$B$17)))</f>
        <v/>
      </c>
    </row>
    <row r="1541" spans="1:8" ht="22" customHeight="1">
      <c r="A1541" s="1" t="str">
        <f>IF(AND('Loan Inputs'!$B$12,1535&lt;=IF('Loan Inputs'!$B$12,'Loan Inputs'!$B$7,0)*'Loan Inputs'!$B$14+0,ISNUMBER(G1540),G1540&gt;0),1535,"")</f>
        <v/>
      </c>
      <c r="B1541" s="4" t="str">
        <f>IF(A1541="","",IF('Loan Inputs'!$B$14=12,DATE(YEAR('Loan Inputs'!$B$8),MONTH('Loan Inputs'!$B$8)+A1541,DAY('Loan Inputs'!$B$8)),'Loan Inputs'!$B$8+A1541*IF('Loan Inputs'!$B$14=26,14,7)))</f>
        <v/>
      </c>
      <c r="C1541" s="2" t="str">
        <f t="shared" si="71"/>
        <v/>
      </c>
      <c r="D1541" s="2" t="str">
        <f>IF(A1541="","",MIN('Loan Inputs'!$B$17,C1541+E1541)+H1541)</f>
        <v/>
      </c>
      <c r="E1541" s="2" t="str">
        <f>IF(A1541="","",C1541*'Loan Inputs'!$B$15)</f>
        <v/>
      </c>
      <c r="F1541" s="2" t="str">
        <f t="shared" si="69"/>
        <v/>
      </c>
      <c r="G1541" s="2" t="str">
        <f t="shared" si="70"/>
        <v/>
      </c>
      <c r="H1541" s="2" t="str">
        <f>IF(A1541="","",MIN(0,MAX(0,C1541+E1541-'Loan Inputs'!$B$17)))</f>
        <v/>
      </c>
    </row>
    <row r="1542" spans="1:8" ht="22" customHeight="1">
      <c r="A1542" s="1" t="str">
        <f>IF(AND('Loan Inputs'!$B$12,1536&lt;=IF('Loan Inputs'!$B$12,'Loan Inputs'!$B$7,0)*'Loan Inputs'!$B$14+0,ISNUMBER(G1541),G1541&gt;0),1536,"")</f>
        <v/>
      </c>
      <c r="B1542" s="4" t="str">
        <f>IF(A1542="","",IF('Loan Inputs'!$B$14=12,DATE(YEAR('Loan Inputs'!$B$8),MONTH('Loan Inputs'!$B$8)+A1542,DAY('Loan Inputs'!$B$8)),'Loan Inputs'!$B$8+A1542*IF('Loan Inputs'!$B$14=26,14,7)))</f>
        <v/>
      </c>
      <c r="C1542" s="2" t="str">
        <f t="shared" si="71"/>
        <v/>
      </c>
      <c r="D1542" s="2" t="str">
        <f>IF(A1542="","",MIN('Loan Inputs'!$B$17,C1542+E1542)+H1542)</f>
        <v/>
      </c>
      <c r="E1542" s="2" t="str">
        <f>IF(A1542="","",C1542*'Loan Inputs'!$B$15)</f>
        <v/>
      </c>
      <c r="F1542" s="2" t="str">
        <f t="shared" si="69"/>
        <v/>
      </c>
      <c r="G1542" s="2" t="str">
        <f t="shared" si="70"/>
        <v/>
      </c>
      <c r="H1542" s="2" t="str">
        <f>IF(A1542="","",MIN(0,MAX(0,C1542+E1542-'Loan Inputs'!$B$17)))</f>
        <v/>
      </c>
    </row>
    <row r="1543" spans="1:8" ht="22" customHeight="1">
      <c r="A1543" s="1" t="str">
        <f>IF(AND('Loan Inputs'!$B$12,1537&lt;=IF('Loan Inputs'!$B$12,'Loan Inputs'!$B$7,0)*'Loan Inputs'!$B$14+0,ISNUMBER(G1542),G1542&gt;0),1537,"")</f>
        <v/>
      </c>
      <c r="B1543" s="4" t="str">
        <f>IF(A1543="","",IF('Loan Inputs'!$B$14=12,DATE(YEAR('Loan Inputs'!$B$8),MONTH('Loan Inputs'!$B$8)+A1543,DAY('Loan Inputs'!$B$8)),'Loan Inputs'!$B$8+A1543*IF('Loan Inputs'!$B$14=26,14,7)))</f>
        <v/>
      </c>
      <c r="C1543" s="2" t="str">
        <f t="shared" si="71"/>
        <v/>
      </c>
      <c r="D1543" s="2" t="str">
        <f>IF(A1543="","",MIN('Loan Inputs'!$B$17,C1543+E1543)+H1543)</f>
        <v/>
      </c>
      <c r="E1543" s="2" t="str">
        <f>IF(A1543="","",C1543*'Loan Inputs'!$B$15)</f>
        <v/>
      </c>
      <c r="F1543" s="2" t="str">
        <f t="shared" ref="F1543:F1606" si="72">IF(A1543="","",MIN(C1543,D1543-E1543))</f>
        <v/>
      </c>
      <c r="G1543" s="2" t="str">
        <f t="shared" ref="G1543:G1606" si="73">IF(A1543="","",IF(C1543-F1543&lt;0.01,0,MAX(0,C1543-F1543)))</f>
        <v/>
      </c>
      <c r="H1543" s="2" t="str">
        <f>IF(A1543="","",MIN(0,MAX(0,C1543+E1543-'Loan Inputs'!$B$17)))</f>
        <v/>
      </c>
    </row>
    <row r="1544" spans="1:8" ht="22" customHeight="1">
      <c r="A1544" s="1" t="str">
        <f>IF(AND('Loan Inputs'!$B$12,1538&lt;=IF('Loan Inputs'!$B$12,'Loan Inputs'!$B$7,0)*'Loan Inputs'!$B$14+0,ISNUMBER(G1543),G1543&gt;0),1538,"")</f>
        <v/>
      </c>
      <c r="B1544" s="4" t="str">
        <f>IF(A1544="","",IF('Loan Inputs'!$B$14=12,DATE(YEAR('Loan Inputs'!$B$8),MONTH('Loan Inputs'!$B$8)+A1544,DAY('Loan Inputs'!$B$8)),'Loan Inputs'!$B$8+A1544*IF('Loan Inputs'!$B$14=26,14,7)))</f>
        <v/>
      </c>
      <c r="C1544" s="2" t="str">
        <f t="shared" ref="C1544:C1607" si="74">IF(A1544="","",G1543)</f>
        <v/>
      </c>
      <c r="D1544" s="2" t="str">
        <f>IF(A1544="","",MIN('Loan Inputs'!$B$17,C1544+E1544)+H1544)</f>
        <v/>
      </c>
      <c r="E1544" s="2" t="str">
        <f>IF(A1544="","",C1544*'Loan Inputs'!$B$15)</f>
        <v/>
      </c>
      <c r="F1544" s="2" t="str">
        <f t="shared" si="72"/>
        <v/>
      </c>
      <c r="G1544" s="2" t="str">
        <f t="shared" si="73"/>
        <v/>
      </c>
      <c r="H1544" s="2" t="str">
        <f>IF(A1544="","",MIN(0,MAX(0,C1544+E1544-'Loan Inputs'!$B$17)))</f>
        <v/>
      </c>
    </row>
    <row r="1545" spans="1:8" ht="22" customHeight="1">
      <c r="A1545" s="1" t="str">
        <f>IF(AND('Loan Inputs'!$B$12,1539&lt;=IF('Loan Inputs'!$B$12,'Loan Inputs'!$B$7,0)*'Loan Inputs'!$B$14+0,ISNUMBER(G1544),G1544&gt;0),1539,"")</f>
        <v/>
      </c>
      <c r="B1545" s="4" t="str">
        <f>IF(A1545="","",IF('Loan Inputs'!$B$14=12,DATE(YEAR('Loan Inputs'!$B$8),MONTH('Loan Inputs'!$B$8)+A1545,DAY('Loan Inputs'!$B$8)),'Loan Inputs'!$B$8+A1545*IF('Loan Inputs'!$B$14=26,14,7)))</f>
        <v/>
      </c>
      <c r="C1545" s="2" t="str">
        <f t="shared" si="74"/>
        <v/>
      </c>
      <c r="D1545" s="2" t="str">
        <f>IF(A1545="","",MIN('Loan Inputs'!$B$17,C1545+E1545)+H1545)</f>
        <v/>
      </c>
      <c r="E1545" s="2" t="str">
        <f>IF(A1545="","",C1545*'Loan Inputs'!$B$15)</f>
        <v/>
      </c>
      <c r="F1545" s="2" t="str">
        <f t="shared" si="72"/>
        <v/>
      </c>
      <c r="G1545" s="2" t="str">
        <f t="shared" si="73"/>
        <v/>
      </c>
      <c r="H1545" s="2" t="str">
        <f>IF(A1545="","",MIN(0,MAX(0,C1545+E1545-'Loan Inputs'!$B$17)))</f>
        <v/>
      </c>
    </row>
    <row r="1546" spans="1:8" ht="22" customHeight="1">
      <c r="A1546" s="1" t="str">
        <f>IF(AND('Loan Inputs'!$B$12,1540&lt;=IF('Loan Inputs'!$B$12,'Loan Inputs'!$B$7,0)*'Loan Inputs'!$B$14+0,ISNUMBER(G1545),G1545&gt;0),1540,"")</f>
        <v/>
      </c>
      <c r="B1546" s="4" t="str">
        <f>IF(A1546="","",IF('Loan Inputs'!$B$14=12,DATE(YEAR('Loan Inputs'!$B$8),MONTH('Loan Inputs'!$B$8)+A1546,DAY('Loan Inputs'!$B$8)),'Loan Inputs'!$B$8+A1546*IF('Loan Inputs'!$B$14=26,14,7)))</f>
        <v/>
      </c>
      <c r="C1546" s="2" t="str">
        <f t="shared" si="74"/>
        <v/>
      </c>
      <c r="D1546" s="2" t="str">
        <f>IF(A1546="","",MIN('Loan Inputs'!$B$17,C1546+E1546)+H1546)</f>
        <v/>
      </c>
      <c r="E1546" s="2" t="str">
        <f>IF(A1546="","",C1546*'Loan Inputs'!$B$15)</f>
        <v/>
      </c>
      <c r="F1546" s="2" t="str">
        <f t="shared" si="72"/>
        <v/>
      </c>
      <c r="G1546" s="2" t="str">
        <f t="shared" si="73"/>
        <v/>
      </c>
      <c r="H1546" s="2" t="str">
        <f>IF(A1546="","",MIN(0,MAX(0,C1546+E1546-'Loan Inputs'!$B$17)))</f>
        <v/>
      </c>
    </row>
    <row r="1547" spans="1:8" ht="22" customHeight="1">
      <c r="A1547" s="1" t="str">
        <f>IF(AND('Loan Inputs'!$B$12,1541&lt;=IF('Loan Inputs'!$B$12,'Loan Inputs'!$B$7,0)*'Loan Inputs'!$B$14+0,ISNUMBER(G1546),G1546&gt;0),1541,"")</f>
        <v/>
      </c>
      <c r="B1547" s="4" t="str">
        <f>IF(A1547="","",IF('Loan Inputs'!$B$14=12,DATE(YEAR('Loan Inputs'!$B$8),MONTH('Loan Inputs'!$B$8)+A1547,DAY('Loan Inputs'!$B$8)),'Loan Inputs'!$B$8+A1547*IF('Loan Inputs'!$B$14=26,14,7)))</f>
        <v/>
      </c>
      <c r="C1547" s="2" t="str">
        <f t="shared" si="74"/>
        <v/>
      </c>
      <c r="D1547" s="2" t="str">
        <f>IF(A1547="","",MIN('Loan Inputs'!$B$17,C1547+E1547)+H1547)</f>
        <v/>
      </c>
      <c r="E1547" s="2" t="str">
        <f>IF(A1547="","",C1547*'Loan Inputs'!$B$15)</f>
        <v/>
      </c>
      <c r="F1547" s="2" t="str">
        <f t="shared" si="72"/>
        <v/>
      </c>
      <c r="G1547" s="2" t="str">
        <f t="shared" si="73"/>
        <v/>
      </c>
      <c r="H1547" s="2" t="str">
        <f>IF(A1547="","",MIN(0,MAX(0,C1547+E1547-'Loan Inputs'!$B$17)))</f>
        <v/>
      </c>
    </row>
    <row r="1548" spans="1:8" ht="22" customHeight="1">
      <c r="A1548" s="1" t="str">
        <f>IF(AND('Loan Inputs'!$B$12,1542&lt;=IF('Loan Inputs'!$B$12,'Loan Inputs'!$B$7,0)*'Loan Inputs'!$B$14+0,ISNUMBER(G1547),G1547&gt;0),1542,"")</f>
        <v/>
      </c>
      <c r="B1548" s="4" t="str">
        <f>IF(A1548="","",IF('Loan Inputs'!$B$14=12,DATE(YEAR('Loan Inputs'!$B$8),MONTH('Loan Inputs'!$B$8)+A1548,DAY('Loan Inputs'!$B$8)),'Loan Inputs'!$B$8+A1548*IF('Loan Inputs'!$B$14=26,14,7)))</f>
        <v/>
      </c>
      <c r="C1548" s="2" t="str">
        <f t="shared" si="74"/>
        <v/>
      </c>
      <c r="D1548" s="2" t="str">
        <f>IF(A1548="","",MIN('Loan Inputs'!$B$17,C1548+E1548)+H1548)</f>
        <v/>
      </c>
      <c r="E1548" s="2" t="str">
        <f>IF(A1548="","",C1548*'Loan Inputs'!$B$15)</f>
        <v/>
      </c>
      <c r="F1548" s="2" t="str">
        <f t="shared" si="72"/>
        <v/>
      </c>
      <c r="G1548" s="2" t="str">
        <f t="shared" si="73"/>
        <v/>
      </c>
      <c r="H1548" s="2" t="str">
        <f>IF(A1548="","",MIN(0,MAX(0,C1548+E1548-'Loan Inputs'!$B$17)))</f>
        <v/>
      </c>
    </row>
    <row r="1549" spans="1:8" ht="22" customHeight="1">
      <c r="A1549" s="1" t="str">
        <f>IF(AND('Loan Inputs'!$B$12,1543&lt;=IF('Loan Inputs'!$B$12,'Loan Inputs'!$B$7,0)*'Loan Inputs'!$B$14+0,ISNUMBER(G1548),G1548&gt;0),1543,"")</f>
        <v/>
      </c>
      <c r="B1549" s="4" t="str">
        <f>IF(A1549="","",IF('Loan Inputs'!$B$14=12,DATE(YEAR('Loan Inputs'!$B$8),MONTH('Loan Inputs'!$B$8)+A1549,DAY('Loan Inputs'!$B$8)),'Loan Inputs'!$B$8+A1549*IF('Loan Inputs'!$B$14=26,14,7)))</f>
        <v/>
      </c>
      <c r="C1549" s="2" t="str">
        <f t="shared" si="74"/>
        <v/>
      </c>
      <c r="D1549" s="2" t="str">
        <f>IF(A1549="","",MIN('Loan Inputs'!$B$17,C1549+E1549)+H1549)</f>
        <v/>
      </c>
      <c r="E1549" s="2" t="str">
        <f>IF(A1549="","",C1549*'Loan Inputs'!$B$15)</f>
        <v/>
      </c>
      <c r="F1549" s="2" t="str">
        <f t="shared" si="72"/>
        <v/>
      </c>
      <c r="G1549" s="2" t="str">
        <f t="shared" si="73"/>
        <v/>
      </c>
      <c r="H1549" s="2" t="str">
        <f>IF(A1549="","",MIN(0,MAX(0,C1549+E1549-'Loan Inputs'!$B$17)))</f>
        <v/>
      </c>
    </row>
    <row r="1550" spans="1:8" ht="22" customHeight="1">
      <c r="A1550" s="1" t="str">
        <f>IF(AND('Loan Inputs'!$B$12,1544&lt;=IF('Loan Inputs'!$B$12,'Loan Inputs'!$B$7,0)*'Loan Inputs'!$B$14+0,ISNUMBER(G1549),G1549&gt;0),1544,"")</f>
        <v/>
      </c>
      <c r="B1550" s="4" t="str">
        <f>IF(A1550="","",IF('Loan Inputs'!$B$14=12,DATE(YEAR('Loan Inputs'!$B$8),MONTH('Loan Inputs'!$B$8)+A1550,DAY('Loan Inputs'!$B$8)),'Loan Inputs'!$B$8+A1550*IF('Loan Inputs'!$B$14=26,14,7)))</f>
        <v/>
      </c>
      <c r="C1550" s="2" t="str">
        <f t="shared" si="74"/>
        <v/>
      </c>
      <c r="D1550" s="2" t="str">
        <f>IF(A1550="","",MIN('Loan Inputs'!$B$17,C1550+E1550)+H1550)</f>
        <v/>
      </c>
      <c r="E1550" s="2" t="str">
        <f>IF(A1550="","",C1550*'Loan Inputs'!$B$15)</f>
        <v/>
      </c>
      <c r="F1550" s="2" t="str">
        <f t="shared" si="72"/>
        <v/>
      </c>
      <c r="G1550" s="2" t="str">
        <f t="shared" si="73"/>
        <v/>
      </c>
      <c r="H1550" s="2" t="str">
        <f>IF(A1550="","",MIN(0,MAX(0,C1550+E1550-'Loan Inputs'!$B$17)))</f>
        <v/>
      </c>
    </row>
    <row r="1551" spans="1:8" ht="22" customHeight="1">
      <c r="A1551" s="1" t="str">
        <f>IF(AND('Loan Inputs'!$B$12,1545&lt;=IF('Loan Inputs'!$B$12,'Loan Inputs'!$B$7,0)*'Loan Inputs'!$B$14+0,ISNUMBER(G1550),G1550&gt;0),1545,"")</f>
        <v/>
      </c>
      <c r="B1551" s="4" t="str">
        <f>IF(A1551="","",IF('Loan Inputs'!$B$14=12,DATE(YEAR('Loan Inputs'!$B$8),MONTH('Loan Inputs'!$B$8)+A1551,DAY('Loan Inputs'!$B$8)),'Loan Inputs'!$B$8+A1551*IF('Loan Inputs'!$B$14=26,14,7)))</f>
        <v/>
      </c>
      <c r="C1551" s="2" t="str">
        <f t="shared" si="74"/>
        <v/>
      </c>
      <c r="D1551" s="2" t="str">
        <f>IF(A1551="","",MIN('Loan Inputs'!$B$17,C1551+E1551)+H1551)</f>
        <v/>
      </c>
      <c r="E1551" s="2" t="str">
        <f>IF(A1551="","",C1551*'Loan Inputs'!$B$15)</f>
        <v/>
      </c>
      <c r="F1551" s="2" t="str">
        <f t="shared" si="72"/>
        <v/>
      </c>
      <c r="G1551" s="2" t="str">
        <f t="shared" si="73"/>
        <v/>
      </c>
      <c r="H1551" s="2" t="str">
        <f>IF(A1551="","",MIN(0,MAX(0,C1551+E1551-'Loan Inputs'!$B$17)))</f>
        <v/>
      </c>
    </row>
    <row r="1552" spans="1:8" ht="22" customHeight="1">
      <c r="A1552" s="1" t="str">
        <f>IF(AND('Loan Inputs'!$B$12,1546&lt;=IF('Loan Inputs'!$B$12,'Loan Inputs'!$B$7,0)*'Loan Inputs'!$B$14+0,ISNUMBER(G1551),G1551&gt;0),1546,"")</f>
        <v/>
      </c>
      <c r="B1552" s="4" t="str">
        <f>IF(A1552="","",IF('Loan Inputs'!$B$14=12,DATE(YEAR('Loan Inputs'!$B$8),MONTH('Loan Inputs'!$B$8)+A1552,DAY('Loan Inputs'!$B$8)),'Loan Inputs'!$B$8+A1552*IF('Loan Inputs'!$B$14=26,14,7)))</f>
        <v/>
      </c>
      <c r="C1552" s="2" t="str">
        <f t="shared" si="74"/>
        <v/>
      </c>
      <c r="D1552" s="2" t="str">
        <f>IF(A1552="","",MIN('Loan Inputs'!$B$17,C1552+E1552)+H1552)</f>
        <v/>
      </c>
      <c r="E1552" s="2" t="str">
        <f>IF(A1552="","",C1552*'Loan Inputs'!$B$15)</f>
        <v/>
      </c>
      <c r="F1552" s="2" t="str">
        <f t="shared" si="72"/>
        <v/>
      </c>
      <c r="G1552" s="2" t="str">
        <f t="shared" si="73"/>
        <v/>
      </c>
      <c r="H1552" s="2" t="str">
        <f>IF(A1552="","",MIN(0,MAX(0,C1552+E1552-'Loan Inputs'!$B$17)))</f>
        <v/>
      </c>
    </row>
    <row r="1553" spans="1:8" ht="22" customHeight="1">
      <c r="A1553" s="1" t="str">
        <f>IF(AND('Loan Inputs'!$B$12,1547&lt;=IF('Loan Inputs'!$B$12,'Loan Inputs'!$B$7,0)*'Loan Inputs'!$B$14+0,ISNUMBER(G1552),G1552&gt;0),1547,"")</f>
        <v/>
      </c>
      <c r="B1553" s="4" t="str">
        <f>IF(A1553="","",IF('Loan Inputs'!$B$14=12,DATE(YEAR('Loan Inputs'!$B$8),MONTH('Loan Inputs'!$B$8)+A1553,DAY('Loan Inputs'!$B$8)),'Loan Inputs'!$B$8+A1553*IF('Loan Inputs'!$B$14=26,14,7)))</f>
        <v/>
      </c>
      <c r="C1553" s="2" t="str">
        <f t="shared" si="74"/>
        <v/>
      </c>
      <c r="D1553" s="2" t="str">
        <f>IF(A1553="","",MIN('Loan Inputs'!$B$17,C1553+E1553)+H1553)</f>
        <v/>
      </c>
      <c r="E1553" s="2" t="str">
        <f>IF(A1553="","",C1553*'Loan Inputs'!$B$15)</f>
        <v/>
      </c>
      <c r="F1553" s="2" t="str">
        <f t="shared" si="72"/>
        <v/>
      </c>
      <c r="G1553" s="2" t="str">
        <f t="shared" si="73"/>
        <v/>
      </c>
      <c r="H1553" s="2" t="str">
        <f>IF(A1553="","",MIN(0,MAX(0,C1553+E1553-'Loan Inputs'!$B$17)))</f>
        <v/>
      </c>
    </row>
    <row r="1554" spans="1:8" ht="22" customHeight="1">
      <c r="A1554" s="1" t="str">
        <f>IF(AND('Loan Inputs'!$B$12,1548&lt;=IF('Loan Inputs'!$B$12,'Loan Inputs'!$B$7,0)*'Loan Inputs'!$B$14+0,ISNUMBER(G1553),G1553&gt;0),1548,"")</f>
        <v/>
      </c>
      <c r="B1554" s="4" t="str">
        <f>IF(A1554="","",IF('Loan Inputs'!$B$14=12,DATE(YEAR('Loan Inputs'!$B$8),MONTH('Loan Inputs'!$B$8)+A1554,DAY('Loan Inputs'!$B$8)),'Loan Inputs'!$B$8+A1554*IF('Loan Inputs'!$B$14=26,14,7)))</f>
        <v/>
      </c>
      <c r="C1554" s="2" t="str">
        <f t="shared" si="74"/>
        <v/>
      </c>
      <c r="D1554" s="2" t="str">
        <f>IF(A1554="","",MIN('Loan Inputs'!$B$17,C1554+E1554)+H1554)</f>
        <v/>
      </c>
      <c r="E1554" s="2" t="str">
        <f>IF(A1554="","",C1554*'Loan Inputs'!$B$15)</f>
        <v/>
      </c>
      <c r="F1554" s="2" t="str">
        <f t="shared" si="72"/>
        <v/>
      </c>
      <c r="G1554" s="2" t="str">
        <f t="shared" si="73"/>
        <v/>
      </c>
      <c r="H1554" s="2" t="str">
        <f>IF(A1554="","",MIN(0,MAX(0,C1554+E1554-'Loan Inputs'!$B$17)))</f>
        <v/>
      </c>
    </row>
    <row r="1555" spans="1:8" ht="22" customHeight="1">
      <c r="A1555" s="1" t="str">
        <f>IF(AND('Loan Inputs'!$B$12,1549&lt;=IF('Loan Inputs'!$B$12,'Loan Inputs'!$B$7,0)*'Loan Inputs'!$B$14+0,ISNUMBER(G1554),G1554&gt;0),1549,"")</f>
        <v/>
      </c>
      <c r="B1555" s="4" t="str">
        <f>IF(A1555="","",IF('Loan Inputs'!$B$14=12,DATE(YEAR('Loan Inputs'!$B$8),MONTH('Loan Inputs'!$B$8)+A1555,DAY('Loan Inputs'!$B$8)),'Loan Inputs'!$B$8+A1555*IF('Loan Inputs'!$B$14=26,14,7)))</f>
        <v/>
      </c>
      <c r="C1555" s="2" t="str">
        <f t="shared" si="74"/>
        <v/>
      </c>
      <c r="D1555" s="2" t="str">
        <f>IF(A1555="","",MIN('Loan Inputs'!$B$17,C1555+E1555)+H1555)</f>
        <v/>
      </c>
      <c r="E1555" s="2" t="str">
        <f>IF(A1555="","",C1555*'Loan Inputs'!$B$15)</f>
        <v/>
      </c>
      <c r="F1555" s="2" t="str">
        <f t="shared" si="72"/>
        <v/>
      </c>
      <c r="G1555" s="2" t="str">
        <f t="shared" si="73"/>
        <v/>
      </c>
      <c r="H1555" s="2" t="str">
        <f>IF(A1555="","",MIN(0,MAX(0,C1555+E1555-'Loan Inputs'!$B$17)))</f>
        <v/>
      </c>
    </row>
    <row r="1556" spans="1:8" ht="22" customHeight="1">
      <c r="A1556" s="1" t="str">
        <f>IF(AND('Loan Inputs'!$B$12,1550&lt;=IF('Loan Inputs'!$B$12,'Loan Inputs'!$B$7,0)*'Loan Inputs'!$B$14+0,ISNUMBER(G1555),G1555&gt;0),1550,"")</f>
        <v/>
      </c>
      <c r="B1556" s="4" t="str">
        <f>IF(A1556="","",IF('Loan Inputs'!$B$14=12,DATE(YEAR('Loan Inputs'!$B$8),MONTH('Loan Inputs'!$B$8)+A1556,DAY('Loan Inputs'!$B$8)),'Loan Inputs'!$B$8+A1556*IF('Loan Inputs'!$B$14=26,14,7)))</f>
        <v/>
      </c>
      <c r="C1556" s="2" t="str">
        <f t="shared" si="74"/>
        <v/>
      </c>
      <c r="D1556" s="2" t="str">
        <f>IF(A1556="","",MIN('Loan Inputs'!$B$17,C1556+E1556)+H1556)</f>
        <v/>
      </c>
      <c r="E1556" s="2" t="str">
        <f>IF(A1556="","",C1556*'Loan Inputs'!$B$15)</f>
        <v/>
      </c>
      <c r="F1556" s="2" t="str">
        <f t="shared" si="72"/>
        <v/>
      </c>
      <c r="G1556" s="2" t="str">
        <f t="shared" si="73"/>
        <v/>
      </c>
      <c r="H1556" s="2" t="str">
        <f>IF(A1556="","",MIN(0,MAX(0,C1556+E1556-'Loan Inputs'!$B$17)))</f>
        <v/>
      </c>
    </row>
    <row r="1557" spans="1:8" ht="22" customHeight="1">
      <c r="A1557" s="1" t="str">
        <f>IF(AND('Loan Inputs'!$B$12,1551&lt;=IF('Loan Inputs'!$B$12,'Loan Inputs'!$B$7,0)*'Loan Inputs'!$B$14+0,ISNUMBER(G1556),G1556&gt;0),1551,"")</f>
        <v/>
      </c>
      <c r="B1557" s="4" t="str">
        <f>IF(A1557="","",IF('Loan Inputs'!$B$14=12,DATE(YEAR('Loan Inputs'!$B$8),MONTH('Loan Inputs'!$B$8)+A1557,DAY('Loan Inputs'!$B$8)),'Loan Inputs'!$B$8+A1557*IF('Loan Inputs'!$B$14=26,14,7)))</f>
        <v/>
      </c>
      <c r="C1557" s="2" t="str">
        <f t="shared" si="74"/>
        <v/>
      </c>
      <c r="D1557" s="2" t="str">
        <f>IF(A1557="","",MIN('Loan Inputs'!$B$17,C1557+E1557)+H1557)</f>
        <v/>
      </c>
      <c r="E1557" s="2" t="str">
        <f>IF(A1557="","",C1557*'Loan Inputs'!$B$15)</f>
        <v/>
      </c>
      <c r="F1557" s="2" t="str">
        <f t="shared" si="72"/>
        <v/>
      </c>
      <c r="G1557" s="2" t="str">
        <f t="shared" si="73"/>
        <v/>
      </c>
      <c r="H1557" s="2" t="str">
        <f>IF(A1557="","",MIN(0,MAX(0,C1557+E1557-'Loan Inputs'!$B$17)))</f>
        <v/>
      </c>
    </row>
    <row r="1558" spans="1:8" ht="22" customHeight="1">
      <c r="A1558" s="1" t="str">
        <f>IF(AND('Loan Inputs'!$B$12,1552&lt;=IF('Loan Inputs'!$B$12,'Loan Inputs'!$B$7,0)*'Loan Inputs'!$B$14+0,ISNUMBER(G1557),G1557&gt;0),1552,"")</f>
        <v/>
      </c>
      <c r="B1558" s="4" t="str">
        <f>IF(A1558="","",IF('Loan Inputs'!$B$14=12,DATE(YEAR('Loan Inputs'!$B$8),MONTH('Loan Inputs'!$B$8)+A1558,DAY('Loan Inputs'!$B$8)),'Loan Inputs'!$B$8+A1558*IF('Loan Inputs'!$B$14=26,14,7)))</f>
        <v/>
      </c>
      <c r="C1558" s="2" t="str">
        <f t="shared" si="74"/>
        <v/>
      </c>
      <c r="D1558" s="2" t="str">
        <f>IF(A1558="","",MIN('Loan Inputs'!$B$17,C1558+E1558)+H1558)</f>
        <v/>
      </c>
      <c r="E1558" s="2" t="str">
        <f>IF(A1558="","",C1558*'Loan Inputs'!$B$15)</f>
        <v/>
      </c>
      <c r="F1558" s="2" t="str">
        <f t="shared" si="72"/>
        <v/>
      </c>
      <c r="G1558" s="2" t="str">
        <f t="shared" si="73"/>
        <v/>
      </c>
      <c r="H1558" s="2" t="str">
        <f>IF(A1558="","",MIN(0,MAX(0,C1558+E1558-'Loan Inputs'!$B$17)))</f>
        <v/>
      </c>
    </row>
    <row r="1559" spans="1:8" ht="22" customHeight="1">
      <c r="A1559" s="1" t="str">
        <f>IF(AND('Loan Inputs'!$B$12,1553&lt;=IF('Loan Inputs'!$B$12,'Loan Inputs'!$B$7,0)*'Loan Inputs'!$B$14+0,ISNUMBER(G1558),G1558&gt;0),1553,"")</f>
        <v/>
      </c>
      <c r="B1559" s="4" t="str">
        <f>IF(A1559="","",IF('Loan Inputs'!$B$14=12,DATE(YEAR('Loan Inputs'!$B$8),MONTH('Loan Inputs'!$B$8)+A1559,DAY('Loan Inputs'!$B$8)),'Loan Inputs'!$B$8+A1559*IF('Loan Inputs'!$B$14=26,14,7)))</f>
        <v/>
      </c>
      <c r="C1559" s="2" t="str">
        <f t="shared" si="74"/>
        <v/>
      </c>
      <c r="D1559" s="2" t="str">
        <f>IF(A1559="","",MIN('Loan Inputs'!$B$17,C1559+E1559)+H1559)</f>
        <v/>
      </c>
      <c r="E1559" s="2" t="str">
        <f>IF(A1559="","",C1559*'Loan Inputs'!$B$15)</f>
        <v/>
      </c>
      <c r="F1559" s="2" t="str">
        <f t="shared" si="72"/>
        <v/>
      </c>
      <c r="G1559" s="2" t="str">
        <f t="shared" si="73"/>
        <v/>
      </c>
      <c r="H1559" s="2" t="str">
        <f>IF(A1559="","",MIN(0,MAX(0,C1559+E1559-'Loan Inputs'!$B$17)))</f>
        <v/>
      </c>
    </row>
    <row r="1560" spans="1:8" ht="22" customHeight="1">
      <c r="A1560" s="1" t="str">
        <f>IF(AND('Loan Inputs'!$B$12,1554&lt;=IF('Loan Inputs'!$B$12,'Loan Inputs'!$B$7,0)*'Loan Inputs'!$B$14+0,ISNUMBER(G1559),G1559&gt;0),1554,"")</f>
        <v/>
      </c>
      <c r="B1560" s="4" t="str">
        <f>IF(A1560="","",IF('Loan Inputs'!$B$14=12,DATE(YEAR('Loan Inputs'!$B$8),MONTH('Loan Inputs'!$B$8)+A1560,DAY('Loan Inputs'!$B$8)),'Loan Inputs'!$B$8+A1560*IF('Loan Inputs'!$B$14=26,14,7)))</f>
        <v/>
      </c>
      <c r="C1560" s="2" t="str">
        <f t="shared" si="74"/>
        <v/>
      </c>
      <c r="D1560" s="2" t="str">
        <f>IF(A1560="","",MIN('Loan Inputs'!$B$17,C1560+E1560)+H1560)</f>
        <v/>
      </c>
      <c r="E1560" s="2" t="str">
        <f>IF(A1560="","",C1560*'Loan Inputs'!$B$15)</f>
        <v/>
      </c>
      <c r="F1560" s="2" t="str">
        <f t="shared" si="72"/>
        <v/>
      </c>
      <c r="G1560" s="2" t="str">
        <f t="shared" si="73"/>
        <v/>
      </c>
      <c r="H1560" s="2" t="str">
        <f>IF(A1560="","",MIN(0,MAX(0,C1560+E1560-'Loan Inputs'!$B$17)))</f>
        <v/>
      </c>
    </row>
    <row r="1561" spans="1:8" ht="22" customHeight="1">
      <c r="A1561" s="1" t="str">
        <f>IF(AND('Loan Inputs'!$B$12,1555&lt;=IF('Loan Inputs'!$B$12,'Loan Inputs'!$B$7,0)*'Loan Inputs'!$B$14+0,ISNUMBER(G1560),G1560&gt;0),1555,"")</f>
        <v/>
      </c>
      <c r="B1561" s="4" t="str">
        <f>IF(A1561="","",IF('Loan Inputs'!$B$14=12,DATE(YEAR('Loan Inputs'!$B$8),MONTH('Loan Inputs'!$B$8)+A1561,DAY('Loan Inputs'!$B$8)),'Loan Inputs'!$B$8+A1561*IF('Loan Inputs'!$B$14=26,14,7)))</f>
        <v/>
      </c>
      <c r="C1561" s="2" t="str">
        <f t="shared" si="74"/>
        <v/>
      </c>
      <c r="D1561" s="2" t="str">
        <f>IF(A1561="","",MIN('Loan Inputs'!$B$17,C1561+E1561)+H1561)</f>
        <v/>
      </c>
      <c r="E1561" s="2" t="str">
        <f>IF(A1561="","",C1561*'Loan Inputs'!$B$15)</f>
        <v/>
      </c>
      <c r="F1561" s="2" t="str">
        <f t="shared" si="72"/>
        <v/>
      </c>
      <c r="G1561" s="2" t="str">
        <f t="shared" si="73"/>
        <v/>
      </c>
      <c r="H1561" s="2" t="str">
        <f>IF(A1561="","",MIN(0,MAX(0,C1561+E1561-'Loan Inputs'!$B$17)))</f>
        <v/>
      </c>
    </row>
    <row r="1562" spans="1:8" ht="22" customHeight="1">
      <c r="A1562" s="1" t="str">
        <f>IF(AND('Loan Inputs'!$B$12,1556&lt;=IF('Loan Inputs'!$B$12,'Loan Inputs'!$B$7,0)*'Loan Inputs'!$B$14+0,ISNUMBER(G1561),G1561&gt;0),1556,"")</f>
        <v/>
      </c>
      <c r="B1562" s="4" t="str">
        <f>IF(A1562="","",IF('Loan Inputs'!$B$14=12,DATE(YEAR('Loan Inputs'!$B$8),MONTH('Loan Inputs'!$B$8)+A1562,DAY('Loan Inputs'!$B$8)),'Loan Inputs'!$B$8+A1562*IF('Loan Inputs'!$B$14=26,14,7)))</f>
        <v/>
      </c>
      <c r="C1562" s="2" t="str">
        <f t="shared" si="74"/>
        <v/>
      </c>
      <c r="D1562" s="2" t="str">
        <f>IF(A1562="","",MIN('Loan Inputs'!$B$17,C1562+E1562)+H1562)</f>
        <v/>
      </c>
      <c r="E1562" s="2" t="str">
        <f>IF(A1562="","",C1562*'Loan Inputs'!$B$15)</f>
        <v/>
      </c>
      <c r="F1562" s="2" t="str">
        <f t="shared" si="72"/>
        <v/>
      </c>
      <c r="G1562" s="2" t="str">
        <f t="shared" si="73"/>
        <v/>
      </c>
      <c r="H1562" s="2" t="str">
        <f>IF(A1562="","",MIN(0,MAX(0,C1562+E1562-'Loan Inputs'!$B$17)))</f>
        <v/>
      </c>
    </row>
    <row r="1563" spans="1:8" ht="22" customHeight="1">
      <c r="A1563" s="1" t="str">
        <f>IF(AND('Loan Inputs'!$B$12,1557&lt;=IF('Loan Inputs'!$B$12,'Loan Inputs'!$B$7,0)*'Loan Inputs'!$B$14+0,ISNUMBER(G1562),G1562&gt;0),1557,"")</f>
        <v/>
      </c>
      <c r="B1563" s="4" t="str">
        <f>IF(A1563="","",IF('Loan Inputs'!$B$14=12,DATE(YEAR('Loan Inputs'!$B$8),MONTH('Loan Inputs'!$B$8)+A1563,DAY('Loan Inputs'!$B$8)),'Loan Inputs'!$B$8+A1563*IF('Loan Inputs'!$B$14=26,14,7)))</f>
        <v/>
      </c>
      <c r="C1563" s="2" t="str">
        <f t="shared" si="74"/>
        <v/>
      </c>
      <c r="D1563" s="2" t="str">
        <f>IF(A1563="","",MIN('Loan Inputs'!$B$17,C1563+E1563)+H1563)</f>
        <v/>
      </c>
      <c r="E1563" s="2" t="str">
        <f>IF(A1563="","",C1563*'Loan Inputs'!$B$15)</f>
        <v/>
      </c>
      <c r="F1563" s="2" t="str">
        <f t="shared" si="72"/>
        <v/>
      </c>
      <c r="G1563" s="2" t="str">
        <f t="shared" si="73"/>
        <v/>
      </c>
      <c r="H1563" s="2" t="str">
        <f>IF(A1563="","",MIN(0,MAX(0,C1563+E1563-'Loan Inputs'!$B$17)))</f>
        <v/>
      </c>
    </row>
    <row r="1564" spans="1:8" ht="22" customHeight="1">
      <c r="A1564" s="1" t="str">
        <f>IF(AND('Loan Inputs'!$B$12,1558&lt;=IF('Loan Inputs'!$B$12,'Loan Inputs'!$B$7,0)*'Loan Inputs'!$B$14+0,ISNUMBER(G1563),G1563&gt;0),1558,"")</f>
        <v/>
      </c>
      <c r="B1564" s="4" t="str">
        <f>IF(A1564="","",IF('Loan Inputs'!$B$14=12,DATE(YEAR('Loan Inputs'!$B$8),MONTH('Loan Inputs'!$B$8)+A1564,DAY('Loan Inputs'!$B$8)),'Loan Inputs'!$B$8+A1564*IF('Loan Inputs'!$B$14=26,14,7)))</f>
        <v/>
      </c>
      <c r="C1564" s="2" t="str">
        <f t="shared" si="74"/>
        <v/>
      </c>
      <c r="D1564" s="2" t="str">
        <f>IF(A1564="","",MIN('Loan Inputs'!$B$17,C1564+E1564)+H1564)</f>
        <v/>
      </c>
      <c r="E1564" s="2" t="str">
        <f>IF(A1564="","",C1564*'Loan Inputs'!$B$15)</f>
        <v/>
      </c>
      <c r="F1564" s="2" t="str">
        <f t="shared" si="72"/>
        <v/>
      </c>
      <c r="G1564" s="2" t="str">
        <f t="shared" si="73"/>
        <v/>
      </c>
      <c r="H1564" s="2" t="str">
        <f>IF(A1564="","",MIN(0,MAX(0,C1564+E1564-'Loan Inputs'!$B$17)))</f>
        <v/>
      </c>
    </row>
    <row r="1565" spans="1:8" ht="22" customHeight="1">
      <c r="A1565" s="1" t="str">
        <f>IF(AND('Loan Inputs'!$B$12,1559&lt;=IF('Loan Inputs'!$B$12,'Loan Inputs'!$B$7,0)*'Loan Inputs'!$B$14+0,ISNUMBER(G1564),G1564&gt;0),1559,"")</f>
        <v/>
      </c>
      <c r="B1565" s="4" t="str">
        <f>IF(A1565="","",IF('Loan Inputs'!$B$14=12,DATE(YEAR('Loan Inputs'!$B$8),MONTH('Loan Inputs'!$B$8)+A1565,DAY('Loan Inputs'!$B$8)),'Loan Inputs'!$B$8+A1565*IF('Loan Inputs'!$B$14=26,14,7)))</f>
        <v/>
      </c>
      <c r="C1565" s="2" t="str">
        <f t="shared" si="74"/>
        <v/>
      </c>
      <c r="D1565" s="2" t="str">
        <f>IF(A1565="","",MIN('Loan Inputs'!$B$17,C1565+E1565)+H1565)</f>
        <v/>
      </c>
      <c r="E1565" s="2" t="str">
        <f>IF(A1565="","",C1565*'Loan Inputs'!$B$15)</f>
        <v/>
      </c>
      <c r="F1565" s="2" t="str">
        <f t="shared" si="72"/>
        <v/>
      </c>
      <c r="G1565" s="2" t="str">
        <f t="shared" si="73"/>
        <v/>
      </c>
      <c r="H1565" s="2" t="str">
        <f>IF(A1565="","",MIN(0,MAX(0,C1565+E1565-'Loan Inputs'!$B$17)))</f>
        <v/>
      </c>
    </row>
    <row r="1566" spans="1:8" ht="22" customHeight="1">
      <c r="A1566" s="1" t="str">
        <f>IF(AND('Loan Inputs'!$B$12,1560&lt;=IF('Loan Inputs'!$B$12,'Loan Inputs'!$B$7,0)*'Loan Inputs'!$B$14+0,ISNUMBER(G1565),G1565&gt;0),1560,"")</f>
        <v/>
      </c>
      <c r="B1566" s="4" t="str">
        <f>IF(A1566="","",IF('Loan Inputs'!$B$14=12,DATE(YEAR('Loan Inputs'!$B$8),MONTH('Loan Inputs'!$B$8)+A1566,DAY('Loan Inputs'!$B$8)),'Loan Inputs'!$B$8+A1566*IF('Loan Inputs'!$B$14=26,14,7)))</f>
        <v/>
      </c>
      <c r="C1566" s="2" t="str">
        <f t="shared" si="74"/>
        <v/>
      </c>
      <c r="D1566" s="2" t="str">
        <f>IF(A1566="","",MIN('Loan Inputs'!$B$17,C1566+E1566)+H1566)</f>
        <v/>
      </c>
      <c r="E1566" s="2" t="str">
        <f>IF(A1566="","",C1566*'Loan Inputs'!$B$15)</f>
        <v/>
      </c>
      <c r="F1566" s="2" t="str">
        <f t="shared" si="72"/>
        <v/>
      </c>
      <c r="G1566" s="2" t="str">
        <f t="shared" si="73"/>
        <v/>
      </c>
      <c r="H1566" s="2" t="str">
        <f>IF(A1566="","",MIN(0,MAX(0,C1566+E1566-'Loan Inputs'!$B$17)))</f>
        <v/>
      </c>
    </row>
    <row r="1567" spans="1:8" ht="22" customHeight="1">
      <c r="A1567" s="1" t="str">
        <f>IF(AND('Loan Inputs'!$B$12,1561&lt;=IF('Loan Inputs'!$B$12,'Loan Inputs'!$B$7,0)*'Loan Inputs'!$B$14+0,ISNUMBER(G1566),G1566&gt;0),1561,"")</f>
        <v/>
      </c>
      <c r="B1567" s="4" t="str">
        <f>IF(A1567="","",IF('Loan Inputs'!$B$14=12,DATE(YEAR('Loan Inputs'!$B$8),MONTH('Loan Inputs'!$B$8)+A1567,DAY('Loan Inputs'!$B$8)),'Loan Inputs'!$B$8+A1567*IF('Loan Inputs'!$B$14=26,14,7)))</f>
        <v/>
      </c>
      <c r="C1567" s="2" t="str">
        <f t="shared" si="74"/>
        <v/>
      </c>
      <c r="D1567" s="2" t="str">
        <f>IF(A1567="","",MIN('Loan Inputs'!$B$17,C1567+E1567)+H1567)</f>
        <v/>
      </c>
      <c r="E1567" s="2" t="str">
        <f>IF(A1567="","",C1567*'Loan Inputs'!$B$15)</f>
        <v/>
      </c>
      <c r="F1567" s="2" t="str">
        <f t="shared" si="72"/>
        <v/>
      </c>
      <c r="G1567" s="2" t="str">
        <f t="shared" si="73"/>
        <v/>
      </c>
      <c r="H1567" s="2" t="str">
        <f>IF(A1567="","",MIN(0,MAX(0,C1567+E1567-'Loan Inputs'!$B$17)))</f>
        <v/>
      </c>
    </row>
    <row r="1568" spans="1:8" ht="22" customHeight="1">
      <c r="A1568" s="1" t="str">
        <f>IF(AND('Loan Inputs'!$B$12,1562&lt;=IF('Loan Inputs'!$B$12,'Loan Inputs'!$B$7,0)*'Loan Inputs'!$B$14+0,ISNUMBER(G1567),G1567&gt;0),1562,"")</f>
        <v/>
      </c>
      <c r="B1568" s="4" t="str">
        <f>IF(A1568="","",IF('Loan Inputs'!$B$14=12,DATE(YEAR('Loan Inputs'!$B$8),MONTH('Loan Inputs'!$B$8)+A1568,DAY('Loan Inputs'!$B$8)),'Loan Inputs'!$B$8+A1568*IF('Loan Inputs'!$B$14=26,14,7)))</f>
        <v/>
      </c>
      <c r="C1568" s="2" t="str">
        <f t="shared" si="74"/>
        <v/>
      </c>
      <c r="D1568" s="2" t="str">
        <f>IF(A1568="","",MIN('Loan Inputs'!$B$17,C1568+E1568)+H1568)</f>
        <v/>
      </c>
      <c r="E1568" s="2" t="str">
        <f>IF(A1568="","",C1568*'Loan Inputs'!$B$15)</f>
        <v/>
      </c>
      <c r="F1568" s="2" t="str">
        <f t="shared" si="72"/>
        <v/>
      </c>
      <c r="G1568" s="2" t="str">
        <f t="shared" si="73"/>
        <v/>
      </c>
      <c r="H1568" s="2" t="str">
        <f>IF(A1568="","",MIN(0,MAX(0,C1568+E1568-'Loan Inputs'!$B$17)))</f>
        <v/>
      </c>
    </row>
    <row r="1569" spans="1:8" ht="22" customHeight="1">
      <c r="A1569" s="1" t="str">
        <f>IF(AND('Loan Inputs'!$B$12,1563&lt;=IF('Loan Inputs'!$B$12,'Loan Inputs'!$B$7,0)*'Loan Inputs'!$B$14+0,ISNUMBER(G1568),G1568&gt;0),1563,"")</f>
        <v/>
      </c>
      <c r="B1569" s="4" t="str">
        <f>IF(A1569="","",IF('Loan Inputs'!$B$14=12,DATE(YEAR('Loan Inputs'!$B$8),MONTH('Loan Inputs'!$B$8)+A1569,DAY('Loan Inputs'!$B$8)),'Loan Inputs'!$B$8+A1569*IF('Loan Inputs'!$B$14=26,14,7)))</f>
        <v/>
      </c>
      <c r="C1569" s="2" t="str">
        <f t="shared" si="74"/>
        <v/>
      </c>
      <c r="D1569" s="2" t="str">
        <f>IF(A1569="","",MIN('Loan Inputs'!$B$17,C1569+E1569)+H1569)</f>
        <v/>
      </c>
      <c r="E1569" s="2" t="str">
        <f>IF(A1569="","",C1569*'Loan Inputs'!$B$15)</f>
        <v/>
      </c>
      <c r="F1569" s="2" t="str">
        <f t="shared" si="72"/>
        <v/>
      </c>
      <c r="G1569" s="2" t="str">
        <f t="shared" si="73"/>
        <v/>
      </c>
      <c r="H1569" s="2" t="str">
        <f>IF(A1569="","",MIN(0,MAX(0,C1569+E1569-'Loan Inputs'!$B$17)))</f>
        <v/>
      </c>
    </row>
    <row r="1570" spans="1:8" ht="22" customHeight="1">
      <c r="A1570" s="1" t="str">
        <f>IF(AND('Loan Inputs'!$B$12,1564&lt;=IF('Loan Inputs'!$B$12,'Loan Inputs'!$B$7,0)*'Loan Inputs'!$B$14+0,ISNUMBER(G1569),G1569&gt;0),1564,"")</f>
        <v/>
      </c>
      <c r="B1570" s="4" t="str">
        <f>IF(A1570="","",IF('Loan Inputs'!$B$14=12,DATE(YEAR('Loan Inputs'!$B$8),MONTH('Loan Inputs'!$B$8)+A1570,DAY('Loan Inputs'!$B$8)),'Loan Inputs'!$B$8+A1570*IF('Loan Inputs'!$B$14=26,14,7)))</f>
        <v/>
      </c>
      <c r="C1570" s="2" t="str">
        <f t="shared" si="74"/>
        <v/>
      </c>
      <c r="D1570" s="2" t="str">
        <f>IF(A1570="","",MIN('Loan Inputs'!$B$17,C1570+E1570)+H1570)</f>
        <v/>
      </c>
      <c r="E1570" s="2" t="str">
        <f>IF(A1570="","",C1570*'Loan Inputs'!$B$15)</f>
        <v/>
      </c>
      <c r="F1570" s="2" t="str">
        <f t="shared" si="72"/>
        <v/>
      </c>
      <c r="G1570" s="2" t="str">
        <f t="shared" si="73"/>
        <v/>
      </c>
      <c r="H1570" s="2" t="str">
        <f>IF(A1570="","",MIN(0,MAX(0,C1570+E1570-'Loan Inputs'!$B$17)))</f>
        <v/>
      </c>
    </row>
    <row r="1571" spans="1:8" ht="22" customHeight="1">
      <c r="A1571" s="1" t="str">
        <f>IF(AND('Loan Inputs'!$B$12,1565&lt;=IF('Loan Inputs'!$B$12,'Loan Inputs'!$B$7,0)*'Loan Inputs'!$B$14+0,ISNUMBER(G1570),G1570&gt;0),1565,"")</f>
        <v/>
      </c>
      <c r="B1571" s="4" t="str">
        <f>IF(A1571="","",IF('Loan Inputs'!$B$14=12,DATE(YEAR('Loan Inputs'!$B$8),MONTH('Loan Inputs'!$B$8)+A1571,DAY('Loan Inputs'!$B$8)),'Loan Inputs'!$B$8+A1571*IF('Loan Inputs'!$B$14=26,14,7)))</f>
        <v/>
      </c>
      <c r="C1571" s="2" t="str">
        <f t="shared" si="74"/>
        <v/>
      </c>
      <c r="D1571" s="2" t="str">
        <f>IF(A1571="","",MIN('Loan Inputs'!$B$17,C1571+E1571)+H1571)</f>
        <v/>
      </c>
      <c r="E1571" s="2" t="str">
        <f>IF(A1571="","",C1571*'Loan Inputs'!$B$15)</f>
        <v/>
      </c>
      <c r="F1571" s="2" t="str">
        <f t="shared" si="72"/>
        <v/>
      </c>
      <c r="G1571" s="2" t="str">
        <f t="shared" si="73"/>
        <v/>
      </c>
      <c r="H1571" s="2" t="str">
        <f>IF(A1571="","",MIN(0,MAX(0,C1571+E1571-'Loan Inputs'!$B$17)))</f>
        <v/>
      </c>
    </row>
    <row r="1572" spans="1:8" ht="22" customHeight="1">
      <c r="A1572" s="1" t="str">
        <f>IF(AND('Loan Inputs'!$B$12,1566&lt;=IF('Loan Inputs'!$B$12,'Loan Inputs'!$B$7,0)*'Loan Inputs'!$B$14+0,ISNUMBER(G1571),G1571&gt;0),1566,"")</f>
        <v/>
      </c>
      <c r="B1572" s="4" t="str">
        <f>IF(A1572="","",IF('Loan Inputs'!$B$14=12,DATE(YEAR('Loan Inputs'!$B$8),MONTH('Loan Inputs'!$B$8)+A1572,DAY('Loan Inputs'!$B$8)),'Loan Inputs'!$B$8+A1572*IF('Loan Inputs'!$B$14=26,14,7)))</f>
        <v/>
      </c>
      <c r="C1572" s="2" t="str">
        <f t="shared" si="74"/>
        <v/>
      </c>
      <c r="D1572" s="2" t="str">
        <f>IF(A1572="","",MIN('Loan Inputs'!$B$17,C1572+E1572)+H1572)</f>
        <v/>
      </c>
      <c r="E1572" s="2" t="str">
        <f>IF(A1572="","",C1572*'Loan Inputs'!$B$15)</f>
        <v/>
      </c>
      <c r="F1572" s="2" t="str">
        <f t="shared" si="72"/>
        <v/>
      </c>
      <c r="G1572" s="2" t="str">
        <f t="shared" si="73"/>
        <v/>
      </c>
      <c r="H1572" s="2" t="str">
        <f>IF(A1572="","",MIN(0,MAX(0,C1572+E1572-'Loan Inputs'!$B$17)))</f>
        <v/>
      </c>
    </row>
    <row r="1573" spans="1:8" ht="22" customHeight="1">
      <c r="A1573" s="1" t="str">
        <f>IF(AND('Loan Inputs'!$B$12,1567&lt;=IF('Loan Inputs'!$B$12,'Loan Inputs'!$B$7,0)*'Loan Inputs'!$B$14+0,ISNUMBER(G1572),G1572&gt;0),1567,"")</f>
        <v/>
      </c>
      <c r="B1573" s="4" t="str">
        <f>IF(A1573="","",IF('Loan Inputs'!$B$14=12,DATE(YEAR('Loan Inputs'!$B$8),MONTH('Loan Inputs'!$B$8)+A1573,DAY('Loan Inputs'!$B$8)),'Loan Inputs'!$B$8+A1573*IF('Loan Inputs'!$B$14=26,14,7)))</f>
        <v/>
      </c>
      <c r="C1573" s="2" t="str">
        <f t="shared" si="74"/>
        <v/>
      </c>
      <c r="D1573" s="2" t="str">
        <f>IF(A1573="","",MIN('Loan Inputs'!$B$17,C1573+E1573)+H1573)</f>
        <v/>
      </c>
      <c r="E1573" s="2" t="str">
        <f>IF(A1573="","",C1573*'Loan Inputs'!$B$15)</f>
        <v/>
      </c>
      <c r="F1573" s="2" t="str">
        <f t="shared" si="72"/>
        <v/>
      </c>
      <c r="G1573" s="2" t="str">
        <f t="shared" si="73"/>
        <v/>
      </c>
      <c r="H1573" s="2" t="str">
        <f>IF(A1573="","",MIN(0,MAX(0,C1573+E1573-'Loan Inputs'!$B$17)))</f>
        <v/>
      </c>
    </row>
    <row r="1574" spans="1:8" ht="22" customHeight="1">
      <c r="A1574" s="1" t="str">
        <f>IF(AND('Loan Inputs'!$B$12,1568&lt;=IF('Loan Inputs'!$B$12,'Loan Inputs'!$B$7,0)*'Loan Inputs'!$B$14+0,ISNUMBER(G1573),G1573&gt;0),1568,"")</f>
        <v/>
      </c>
      <c r="B1574" s="4" t="str">
        <f>IF(A1574="","",IF('Loan Inputs'!$B$14=12,DATE(YEAR('Loan Inputs'!$B$8),MONTH('Loan Inputs'!$B$8)+A1574,DAY('Loan Inputs'!$B$8)),'Loan Inputs'!$B$8+A1574*IF('Loan Inputs'!$B$14=26,14,7)))</f>
        <v/>
      </c>
      <c r="C1574" s="2" t="str">
        <f t="shared" si="74"/>
        <v/>
      </c>
      <c r="D1574" s="2" t="str">
        <f>IF(A1574="","",MIN('Loan Inputs'!$B$17,C1574+E1574)+H1574)</f>
        <v/>
      </c>
      <c r="E1574" s="2" t="str">
        <f>IF(A1574="","",C1574*'Loan Inputs'!$B$15)</f>
        <v/>
      </c>
      <c r="F1574" s="2" t="str">
        <f t="shared" si="72"/>
        <v/>
      </c>
      <c r="G1574" s="2" t="str">
        <f t="shared" si="73"/>
        <v/>
      </c>
      <c r="H1574" s="2" t="str">
        <f>IF(A1574="","",MIN(0,MAX(0,C1574+E1574-'Loan Inputs'!$B$17)))</f>
        <v/>
      </c>
    </row>
    <row r="1575" spans="1:8" ht="22" customHeight="1">
      <c r="A1575" s="1" t="str">
        <f>IF(AND('Loan Inputs'!$B$12,1569&lt;=IF('Loan Inputs'!$B$12,'Loan Inputs'!$B$7,0)*'Loan Inputs'!$B$14+0,ISNUMBER(G1574),G1574&gt;0),1569,"")</f>
        <v/>
      </c>
      <c r="B1575" s="4" t="str">
        <f>IF(A1575="","",IF('Loan Inputs'!$B$14=12,DATE(YEAR('Loan Inputs'!$B$8),MONTH('Loan Inputs'!$B$8)+A1575,DAY('Loan Inputs'!$B$8)),'Loan Inputs'!$B$8+A1575*IF('Loan Inputs'!$B$14=26,14,7)))</f>
        <v/>
      </c>
      <c r="C1575" s="2" t="str">
        <f t="shared" si="74"/>
        <v/>
      </c>
      <c r="D1575" s="2" t="str">
        <f>IF(A1575="","",MIN('Loan Inputs'!$B$17,C1575+E1575)+H1575)</f>
        <v/>
      </c>
      <c r="E1575" s="2" t="str">
        <f>IF(A1575="","",C1575*'Loan Inputs'!$B$15)</f>
        <v/>
      </c>
      <c r="F1575" s="2" t="str">
        <f t="shared" si="72"/>
        <v/>
      </c>
      <c r="G1575" s="2" t="str">
        <f t="shared" si="73"/>
        <v/>
      </c>
      <c r="H1575" s="2" t="str">
        <f>IF(A1575="","",MIN(0,MAX(0,C1575+E1575-'Loan Inputs'!$B$17)))</f>
        <v/>
      </c>
    </row>
    <row r="1576" spans="1:8" ht="22" customHeight="1">
      <c r="A1576" s="1" t="str">
        <f>IF(AND('Loan Inputs'!$B$12,1570&lt;=IF('Loan Inputs'!$B$12,'Loan Inputs'!$B$7,0)*'Loan Inputs'!$B$14+0,ISNUMBER(G1575),G1575&gt;0),1570,"")</f>
        <v/>
      </c>
      <c r="B1576" s="4" t="str">
        <f>IF(A1576="","",IF('Loan Inputs'!$B$14=12,DATE(YEAR('Loan Inputs'!$B$8),MONTH('Loan Inputs'!$B$8)+A1576,DAY('Loan Inputs'!$B$8)),'Loan Inputs'!$B$8+A1576*IF('Loan Inputs'!$B$14=26,14,7)))</f>
        <v/>
      </c>
      <c r="C1576" s="2" t="str">
        <f t="shared" si="74"/>
        <v/>
      </c>
      <c r="D1576" s="2" t="str">
        <f>IF(A1576="","",MIN('Loan Inputs'!$B$17,C1576+E1576)+H1576)</f>
        <v/>
      </c>
      <c r="E1576" s="2" t="str">
        <f>IF(A1576="","",C1576*'Loan Inputs'!$B$15)</f>
        <v/>
      </c>
      <c r="F1576" s="2" t="str">
        <f t="shared" si="72"/>
        <v/>
      </c>
      <c r="G1576" s="2" t="str">
        <f t="shared" si="73"/>
        <v/>
      </c>
      <c r="H1576" s="2" t="str">
        <f>IF(A1576="","",MIN(0,MAX(0,C1576+E1576-'Loan Inputs'!$B$17)))</f>
        <v/>
      </c>
    </row>
    <row r="1577" spans="1:8" ht="22" customHeight="1">
      <c r="A1577" s="1" t="str">
        <f>IF(AND('Loan Inputs'!$B$12,1571&lt;=IF('Loan Inputs'!$B$12,'Loan Inputs'!$B$7,0)*'Loan Inputs'!$B$14+0,ISNUMBER(G1576),G1576&gt;0),1571,"")</f>
        <v/>
      </c>
      <c r="B1577" s="4" t="str">
        <f>IF(A1577="","",IF('Loan Inputs'!$B$14=12,DATE(YEAR('Loan Inputs'!$B$8),MONTH('Loan Inputs'!$B$8)+A1577,DAY('Loan Inputs'!$B$8)),'Loan Inputs'!$B$8+A1577*IF('Loan Inputs'!$B$14=26,14,7)))</f>
        <v/>
      </c>
      <c r="C1577" s="2" t="str">
        <f t="shared" si="74"/>
        <v/>
      </c>
      <c r="D1577" s="2" t="str">
        <f>IF(A1577="","",MIN('Loan Inputs'!$B$17,C1577+E1577)+H1577)</f>
        <v/>
      </c>
      <c r="E1577" s="2" t="str">
        <f>IF(A1577="","",C1577*'Loan Inputs'!$B$15)</f>
        <v/>
      </c>
      <c r="F1577" s="2" t="str">
        <f t="shared" si="72"/>
        <v/>
      </c>
      <c r="G1577" s="2" t="str">
        <f t="shared" si="73"/>
        <v/>
      </c>
      <c r="H1577" s="2" t="str">
        <f>IF(A1577="","",MIN(0,MAX(0,C1577+E1577-'Loan Inputs'!$B$17)))</f>
        <v/>
      </c>
    </row>
    <row r="1578" spans="1:8" ht="22" customHeight="1">
      <c r="A1578" s="1" t="str">
        <f>IF(AND('Loan Inputs'!$B$12,1572&lt;=IF('Loan Inputs'!$B$12,'Loan Inputs'!$B$7,0)*'Loan Inputs'!$B$14+0,ISNUMBER(G1577),G1577&gt;0),1572,"")</f>
        <v/>
      </c>
      <c r="B1578" s="4" t="str">
        <f>IF(A1578="","",IF('Loan Inputs'!$B$14=12,DATE(YEAR('Loan Inputs'!$B$8),MONTH('Loan Inputs'!$B$8)+A1578,DAY('Loan Inputs'!$B$8)),'Loan Inputs'!$B$8+A1578*IF('Loan Inputs'!$B$14=26,14,7)))</f>
        <v/>
      </c>
      <c r="C1578" s="2" t="str">
        <f t="shared" si="74"/>
        <v/>
      </c>
      <c r="D1578" s="2" t="str">
        <f>IF(A1578="","",MIN('Loan Inputs'!$B$17,C1578+E1578)+H1578)</f>
        <v/>
      </c>
      <c r="E1578" s="2" t="str">
        <f>IF(A1578="","",C1578*'Loan Inputs'!$B$15)</f>
        <v/>
      </c>
      <c r="F1578" s="2" t="str">
        <f t="shared" si="72"/>
        <v/>
      </c>
      <c r="G1578" s="2" t="str">
        <f t="shared" si="73"/>
        <v/>
      </c>
      <c r="H1578" s="2" t="str">
        <f>IF(A1578="","",MIN(0,MAX(0,C1578+E1578-'Loan Inputs'!$B$17)))</f>
        <v/>
      </c>
    </row>
    <row r="1579" spans="1:8" ht="22" customHeight="1">
      <c r="A1579" s="1" t="str">
        <f>IF(AND('Loan Inputs'!$B$12,1573&lt;=IF('Loan Inputs'!$B$12,'Loan Inputs'!$B$7,0)*'Loan Inputs'!$B$14+0,ISNUMBER(G1578),G1578&gt;0),1573,"")</f>
        <v/>
      </c>
      <c r="B1579" s="4" t="str">
        <f>IF(A1579="","",IF('Loan Inputs'!$B$14=12,DATE(YEAR('Loan Inputs'!$B$8),MONTH('Loan Inputs'!$B$8)+A1579,DAY('Loan Inputs'!$B$8)),'Loan Inputs'!$B$8+A1579*IF('Loan Inputs'!$B$14=26,14,7)))</f>
        <v/>
      </c>
      <c r="C1579" s="2" t="str">
        <f t="shared" si="74"/>
        <v/>
      </c>
      <c r="D1579" s="2" t="str">
        <f>IF(A1579="","",MIN('Loan Inputs'!$B$17,C1579+E1579)+H1579)</f>
        <v/>
      </c>
      <c r="E1579" s="2" t="str">
        <f>IF(A1579="","",C1579*'Loan Inputs'!$B$15)</f>
        <v/>
      </c>
      <c r="F1579" s="2" t="str">
        <f t="shared" si="72"/>
        <v/>
      </c>
      <c r="G1579" s="2" t="str">
        <f t="shared" si="73"/>
        <v/>
      </c>
      <c r="H1579" s="2" t="str">
        <f>IF(A1579="","",MIN(0,MAX(0,C1579+E1579-'Loan Inputs'!$B$17)))</f>
        <v/>
      </c>
    </row>
    <row r="1580" spans="1:8" ht="22" customHeight="1">
      <c r="A1580" s="1" t="str">
        <f>IF(AND('Loan Inputs'!$B$12,1574&lt;=IF('Loan Inputs'!$B$12,'Loan Inputs'!$B$7,0)*'Loan Inputs'!$B$14+0,ISNUMBER(G1579),G1579&gt;0),1574,"")</f>
        <v/>
      </c>
      <c r="B1580" s="4" t="str">
        <f>IF(A1580="","",IF('Loan Inputs'!$B$14=12,DATE(YEAR('Loan Inputs'!$B$8),MONTH('Loan Inputs'!$B$8)+A1580,DAY('Loan Inputs'!$B$8)),'Loan Inputs'!$B$8+A1580*IF('Loan Inputs'!$B$14=26,14,7)))</f>
        <v/>
      </c>
      <c r="C1580" s="2" t="str">
        <f t="shared" si="74"/>
        <v/>
      </c>
      <c r="D1580" s="2" t="str">
        <f>IF(A1580="","",MIN('Loan Inputs'!$B$17,C1580+E1580)+H1580)</f>
        <v/>
      </c>
      <c r="E1580" s="2" t="str">
        <f>IF(A1580="","",C1580*'Loan Inputs'!$B$15)</f>
        <v/>
      </c>
      <c r="F1580" s="2" t="str">
        <f t="shared" si="72"/>
        <v/>
      </c>
      <c r="G1580" s="2" t="str">
        <f t="shared" si="73"/>
        <v/>
      </c>
      <c r="H1580" s="2" t="str">
        <f>IF(A1580="","",MIN(0,MAX(0,C1580+E1580-'Loan Inputs'!$B$17)))</f>
        <v/>
      </c>
    </row>
    <row r="1581" spans="1:8" ht="22" customHeight="1">
      <c r="A1581" s="1" t="str">
        <f>IF(AND('Loan Inputs'!$B$12,1575&lt;=IF('Loan Inputs'!$B$12,'Loan Inputs'!$B$7,0)*'Loan Inputs'!$B$14+0,ISNUMBER(G1580),G1580&gt;0),1575,"")</f>
        <v/>
      </c>
      <c r="B1581" s="4" t="str">
        <f>IF(A1581="","",IF('Loan Inputs'!$B$14=12,DATE(YEAR('Loan Inputs'!$B$8),MONTH('Loan Inputs'!$B$8)+A1581,DAY('Loan Inputs'!$B$8)),'Loan Inputs'!$B$8+A1581*IF('Loan Inputs'!$B$14=26,14,7)))</f>
        <v/>
      </c>
      <c r="C1581" s="2" t="str">
        <f t="shared" si="74"/>
        <v/>
      </c>
      <c r="D1581" s="2" t="str">
        <f>IF(A1581="","",MIN('Loan Inputs'!$B$17,C1581+E1581)+H1581)</f>
        <v/>
      </c>
      <c r="E1581" s="2" t="str">
        <f>IF(A1581="","",C1581*'Loan Inputs'!$B$15)</f>
        <v/>
      </c>
      <c r="F1581" s="2" t="str">
        <f t="shared" si="72"/>
        <v/>
      </c>
      <c r="G1581" s="2" t="str">
        <f t="shared" si="73"/>
        <v/>
      </c>
      <c r="H1581" s="2" t="str">
        <f>IF(A1581="","",MIN(0,MAX(0,C1581+E1581-'Loan Inputs'!$B$17)))</f>
        <v/>
      </c>
    </row>
    <row r="1582" spans="1:8" ht="22" customHeight="1">
      <c r="A1582" s="1" t="str">
        <f>IF(AND('Loan Inputs'!$B$12,1576&lt;=IF('Loan Inputs'!$B$12,'Loan Inputs'!$B$7,0)*'Loan Inputs'!$B$14+0,ISNUMBER(G1581),G1581&gt;0),1576,"")</f>
        <v/>
      </c>
      <c r="B1582" s="4" t="str">
        <f>IF(A1582="","",IF('Loan Inputs'!$B$14=12,DATE(YEAR('Loan Inputs'!$B$8),MONTH('Loan Inputs'!$B$8)+A1582,DAY('Loan Inputs'!$B$8)),'Loan Inputs'!$B$8+A1582*IF('Loan Inputs'!$B$14=26,14,7)))</f>
        <v/>
      </c>
      <c r="C1582" s="2" t="str">
        <f t="shared" si="74"/>
        <v/>
      </c>
      <c r="D1582" s="2" t="str">
        <f>IF(A1582="","",MIN('Loan Inputs'!$B$17,C1582+E1582)+H1582)</f>
        <v/>
      </c>
      <c r="E1582" s="2" t="str">
        <f>IF(A1582="","",C1582*'Loan Inputs'!$B$15)</f>
        <v/>
      </c>
      <c r="F1582" s="2" t="str">
        <f t="shared" si="72"/>
        <v/>
      </c>
      <c r="G1582" s="2" t="str">
        <f t="shared" si="73"/>
        <v/>
      </c>
      <c r="H1582" s="2" t="str">
        <f>IF(A1582="","",MIN(0,MAX(0,C1582+E1582-'Loan Inputs'!$B$17)))</f>
        <v/>
      </c>
    </row>
    <row r="1583" spans="1:8" ht="22" customHeight="1">
      <c r="A1583" s="1" t="str">
        <f>IF(AND('Loan Inputs'!$B$12,1577&lt;=IF('Loan Inputs'!$B$12,'Loan Inputs'!$B$7,0)*'Loan Inputs'!$B$14+0,ISNUMBER(G1582),G1582&gt;0),1577,"")</f>
        <v/>
      </c>
      <c r="B1583" s="4" t="str">
        <f>IF(A1583="","",IF('Loan Inputs'!$B$14=12,DATE(YEAR('Loan Inputs'!$B$8),MONTH('Loan Inputs'!$B$8)+A1583,DAY('Loan Inputs'!$B$8)),'Loan Inputs'!$B$8+A1583*IF('Loan Inputs'!$B$14=26,14,7)))</f>
        <v/>
      </c>
      <c r="C1583" s="2" t="str">
        <f t="shared" si="74"/>
        <v/>
      </c>
      <c r="D1583" s="2" t="str">
        <f>IF(A1583="","",MIN('Loan Inputs'!$B$17,C1583+E1583)+H1583)</f>
        <v/>
      </c>
      <c r="E1583" s="2" t="str">
        <f>IF(A1583="","",C1583*'Loan Inputs'!$B$15)</f>
        <v/>
      </c>
      <c r="F1583" s="2" t="str">
        <f t="shared" si="72"/>
        <v/>
      </c>
      <c r="G1583" s="2" t="str">
        <f t="shared" si="73"/>
        <v/>
      </c>
      <c r="H1583" s="2" t="str">
        <f>IF(A1583="","",MIN(0,MAX(0,C1583+E1583-'Loan Inputs'!$B$17)))</f>
        <v/>
      </c>
    </row>
    <row r="1584" spans="1:8" ht="22" customHeight="1">
      <c r="A1584" s="1" t="str">
        <f>IF(AND('Loan Inputs'!$B$12,1578&lt;=IF('Loan Inputs'!$B$12,'Loan Inputs'!$B$7,0)*'Loan Inputs'!$B$14+0,ISNUMBER(G1583),G1583&gt;0),1578,"")</f>
        <v/>
      </c>
      <c r="B1584" s="4" t="str">
        <f>IF(A1584="","",IF('Loan Inputs'!$B$14=12,DATE(YEAR('Loan Inputs'!$B$8),MONTH('Loan Inputs'!$B$8)+A1584,DAY('Loan Inputs'!$B$8)),'Loan Inputs'!$B$8+A1584*IF('Loan Inputs'!$B$14=26,14,7)))</f>
        <v/>
      </c>
      <c r="C1584" s="2" t="str">
        <f t="shared" si="74"/>
        <v/>
      </c>
      <c r="D1584" s="2" t="str">
        <f>IF(A1584="","",MIN('Loan Inputs'!$B$17,C1584+E1584)+H1584)</f>
        <v/>
      </c>
      <c r="E1584" s="2" t="str">
        <f>IF(A1584="","",C1584*'Loan Inputs'!$B$15)</f>
        <v/>
      </c>
      <c r="F1584" s="2" t="str">
        <f t="shared" si="72"/>
        <v/>
      </c>
      <c r="G1584" s="2" t="str">
        <f t="shared" si="73"/>
        <v/>
      </c>
      <c r="H1584" s="2" t="str">
        <f>IF(A1584="","",MIN(0,MAX(0,C1584+E1584-'Loan Inputs'!$B$17)))</f>
        <v/>
      </c>
    </row>
    <row r="1585" spans="1:8" ht="22" customHeight="1">
      <c r="A1585" s="1" t="str">
        <f>IF(AND('Loan Inputs'!$B$12,1579&lt;=IF('Loan Inputs'!$B$12,'Loan Inputs'!$B$7,0)*'Loan Inputs'!$B$14+0,ISNUMBER(G1584),G1584&gt;0),1579,"")</f>
        <v/>
      </c>
      <c r="B1585" s="4" t="str">
        <f>IF(A1585="","",IF('Loan Inputs'!$B$14=12,DATE(YEAR('Loan Inputs'!$B$8),MONTH('Loan Inputs'!$B$8)+A1585,DAY('Loan Inputs'!$B$8)),'Loan Inputs'!$B$8+A1585*IF('Loan Inputs'!$B$14=26,14,7)))</f>
        <v/>
      </c>
      <c r="C1585" s="2" t="str">
        <f t="shared" si="74"/>
        <v/>
      </c>
      <c r="D1585" s="2" t="str">
        <f>IF(A1585="","",MIN('Loan Inputs'!$B$17,C1585+E1585)+H1585)</f>
        <v/>
      </c>
      <c r="E1585" s="2" t="str">
        <f>IF(A1585="","",C1585*'Loan Inputs'!$B$15)</f>
        <v/>
      </c>
      <c r="F1585" s="2" t="str">
        <f t="shared" si="72"/>
        <v/>
      </c>
      <c r="G1585" s="2" t="str">
        <f t="shared" si="73"/>
        <v/>
      </c>
      <c r="H1585" s="2" t="str">
        <f>IF(A1585="","",MIN(0,MAX(0,C1585+E1585-'Loan Inputs'!$B$17)))</f>
        <v/>
      </c>
    </row>
    <row r="1586" spans="1:8" ht="22" customHeight="1">
      <c r="A1586" s="1" t="str">
        <f>IF(AND('Loan Inputs'!$B$12,1580&lt;=IF('Loan Inputs'!$B$12,'Loan Inputs'!$B$7,0)*'Loan Inputs'!$B$14+0,ISNUMBER(G1585),G1585&gt;0),1580,"")</f>
        <v/>
      </c>
      <c r="B1586" s="4" t="str">
        <f>IF(A1586="","",IF('Loan Inputs'!$B$14=12,DATE(YEAR('Loan Inputs'!$B$8),MONTH('Loan Inputs'!$B$8)+A1586,DAY('Loan Inputs'!$B$8)),'Loan Inputs'!$B$8+A1586*IF('Loan Inputs'!$B$14=26,14,7)))</f>
        <v/>
      </c>
      <c r="C1586" s="2" t="str">
        <f t="shared" si="74"/>
        <v/>
      </c>
      <c r="D1586" s="2" t="str">
        <f>IF(A1586="","",MIN('Loan Inputs'!$B$17,C1586+E1586)+H1586)</f>
        <v/>
      </c>
      <c r="E1586" s="2" t="str">
        <f>IF(A1586="","",C1586*'Loan Inputs'!$B$15)</f>
        <v/>
      </c>
      <c r="F1586" s="2" t="str">
        <f t="shared" si="72"/>
        <v/>
      </c>
      <c r="G1586" s="2" t="str">
        <f t="shared" si="73"/>
        <v/>
      </c>
      <c r="H1586" s="2" t="str">
        <f>IF(A1586="","",MIN(0,MAX(0,C1586+E1586-'Loan Inputs'!$B$17)))</f>
        <v/>
      </c>
    </row>
    <row r="1587" spans="1:8" ht="22" customHeight="1">
      <c r="A1587" s="1" t="str">
        <f>IF(AND('Loan Inputs'!$B$12,1581&lt;=IF('Loan Inputs'!$B$12,'Loan Inputs'!$B$7,0)*'Loan Inputs'!$B$14+0,ISNUMBER(G1586),G1586&gt;0),1581,"")</f>
        <v/>
      </c>
      <c r="B1587" s="4" t="str">
        <f>IF(A1587="","",IF('Loan Inputs'!$B$14=12,DATE(YEAR('Loan Inputs'!$B$8),MONTH('Loan Inputs'!$B$8)+A1587,DAY('Loan Inputs'!$B$8)),'Loan Inputs'!$B$8+A1587*IF('Loan Inputs'!$B$14=26,14,7)))</f>
        <v/>
      </c>
      <c r="C1587" s="2" t="str">
        <f t="shared" si="74"/>
        <v/>
      </c>
      <c r="D1587" s="2" t="str">
        <f>IF(A1587="","",MIN('Loan Inputs'!$B$17,C1587+E1587)+H1587)</f>
        <v/>
      </c>
      <c r="E1587" s="2" t="str">
        <f>IF(A1587="","",C1587*'Loan Inputs'!$B$15)</f>
        <v/>
      </c>
      <c r="F1587" s="2" t="str">
        <f t="shared" si="72"/>
        <v/>
      </c>
      <c r="G1587" s="2" t="str">
        <f t="shared" si="73"/>
        <v/>
      </c>
      <c r="H1587" s="2" t="str">
        <f>IF(A1587="","",MIN(0,MAX(0,C1587+E1587-'Loan Inputs'!$B$17)))</f>
        <v/>
      </c>
    </row>
    <row r="1588" spans="1:8" ht="22" customHeight="1">
      <c r="A1588" s="1" t="str">
        <f>IF(AND('Loan Inputs'!$B$12,1582&lt;=IF('Loan Inputs'!$B$12,'Loan Inputs'!$B$7,0)*'Loan Inputs'!$B$14+0,ISNUMBER(G1587),G1587&gt;0),1582,"")</f>
        <v/>
      </c>
      <c r="B1588" s="4" t="str">
        <f>IF(A1588="","",IF('Loan Inputs'!$B$14=12,DATE(YEAR('Loan Inputs'!$B$8),MONTH('Loan Inputs'!$B$8)+A1588,DAY('Loan Inputs'!$B$8)),'Loan Inputs'!$B$8+A1588*IF('Loan Inputs'!$B$14=26,14,7)))</f>
        <v/>
      </c>
      <c r="C1588" s="2" t="str">
        <f t="shared" si="74"/>
        <v/>
      </c>
      <c r="D1588" s="2" t="str">
        <f>IF(A1588="","",MIN('Loan Inputs'!$B$17,C1588+E1588)+H1588)</f>
        <v/>
      </c>
      <c r="E1588" s="2" t="str">
        <f>IF(A1588="","",C1588*'Loan Inputs'!$B$15)</f>
        <v/>
      </c>
      <c r="F1588" s="2" t="str">
        <f t="shared" si="72"/>
        <v/>
      </c>
      <c r="G1588" s="2" t="str">
        <f t="shared" si="73"/>
        <v/>
      </c>
      <c r="H1588" s="2" t="str">
        <f>IF(A1588="","",MIN(0,MAX(0,C1588+E1588-'Loan Inputs'!$B$17)))</f>
        <v/>
      </c>
    </row>
    <row r="1589" spans="1:8" ht="22" customHeight="1">
      <c r="A1589" s="1" t="str">
        <f>IF(AND('Loan Inputs'!$B$12,1583&lt;=IF('Loan Inputs'!$B$12,'Loan Inputs'!$B$7,0)*'Loan Inputs'!$B$14+0,ISNUMBER(G1588),G1588&gt;0),1583,"")</f>
        <v/>
      </c>
      <c r="B1589" s="4" t="str">
        <f>IF(A1589="","",IF('Loan Inputs'!$B$14=12,DATE(YEAR('Loan Inputs'!$B$8),MONTH('Loan Inputs'!$B$8)+A1589,DAY('Loan Inputs'!$B$8)),'Loan Inputs'!$B$8+A1589*IF('Loan Inputs'!$B$14=26,14,7)))</f>
        <v/>
      </c>
      <c r="C1589" s="2" t="str">
        <f t="shared" si="74"/>
        <v/>
      </c>
      <c r="D1589" s="2" t="str">
        <f>IF(A1589="","",MIN('Loan Inputs'!$B$17,C1589+E1589)+H1589)</f>
        <v/>
      </c>
      <c r="E1589" s="2" t="str">
        <f>IF(A1589="","",C1589*'Loan Inputs'!$B$15)</f>
        <v/>
      </c>
      <c r="F1589" s="2" t="str">
        <f t="shared" si="72"/>
        <v/>
      </c>
      <c r="G1589" s="2" t="str">
        <f t="shared" si="73"/>
        <v/>
      </c>
      <c r="H1589" s="2" t="str">
        <f>IF(A1589="","",MIN(0,MAX(0,C1589+E1589-'Loan Inputs'!$B$17)))</f>
        <v/>
      </c>
    </row>
    <row r="1590" spans="1:8" ht="22" customHeight="1">
      <c r="A1590" s="1" t="str">
        <f>IF(AND('Loan Inputs'!$B$12,1584&lt;=IF('Loan Inputs'!$B$12,'Loan Inputs'!$B$7,0)*'Loan Inputs'!$B$14+0,ISNUMBER(G1589),G1589&gt;0),1584,"")</f>
        <v/>
      </c>
      <c r="B1590" s="4" t="str">
        <f>IF(A1590="","",IF('Loan Inputs'!$B$14=12,DATE(YEAR('Loan Inputs'!$B$8),MONTH('Loan Inputs'!$B$8)+A1590,DAY('Loan Inputs'!$B$8)),'Loan Inputs'!$B$8+A1590*IF('Loan Inputs'!$B$14=26,14,7)))</f>
        <v/>
      </c>
      <c r="C1590" s="2" t="str">
        <f t="shared" si="74"/>
        <v/>
      </c>
      <c r="D1590" s="2" t="str">
        <f>IF(A1590="","",MIN('Loan Inputs'!$B$17,C1590+E1590)+H1590)</f>
        <v/>
      </c>
      <c r="E1590" s="2" t="str">
        <f>IF(A1590="","",C1590*'Loan Inputs'!$B$15)</f>
        <v/>
      </c>
      <c r="F1590" s="2" t="str">
        <f t="shared" si="72"/>
        <v/>
      </c>
      <c r="G1590" s="2" t="str">
        <f t="shared" si="73"/>
        <v/>
      </c>
      <c r="H1590" s="2" t="str">
        <f>IF(A1590="","",MIN(0,MAX(0,C1590+E1590-'Loan Inputs'!$B$17)))</f>
        <v/>
      </c>
    </row>
    <row r="1591" spans="1:8" ht="22" customHeight="1">
      <c r="A1591" s="1" t="str">
        <f>IF(AND('Loan Inputs'!$B$12,1585&lt;=IF('Loan Inputs'!$B$12,'Loan Inputs'!$B$7,0)*'Loan Inputs'!$B$14+0,ISNUMBER(G1590),G1590&gt;0),1585,"")</f>
        <v/>
      </c>
      <c r="B1591" s="4" t="str">
        <f>IF(A1591="","",IF('Loan Inputs'!$B$14=12,DATE(YEAR('Loan Inputs'!$B$8),MONTH('Loan Inputs'!$B$8)+A1591,DAY('Loan Inputs'!$B$8)),'Loan Inputs'!$B$8+A1591*IF('Loan Inputs'!$B$14=26,14,7)))</f>
        <v/>
      </c>
      <c r="C1591" s="2" t="str">
        <f t="shared" si="74"/>
        <v/>
      </c>
      <c r="D1591" s="2" t="str">
        <f>IF(A1591="","",MIN('Loan Inputs'!$B$17,C1591+E1591)+H1591)</f>
        <v/>
      </c>
      <c r="E1591" s="2" t="str">
        <f>IF(A1591="","",C1591*'Loan Inputs'!$B$15)</f>
        <v/>
      </c>
      <c r="F1591" s="2" t="str">
        <f t="shared" si="72"/>
        <v/>
      </c>
      <c r="G1591" s="2" t="str">
        <f t="shared" si="73"/>
        <v/>
      </c>
      <c r="H1591" s="2" t="str">
        <f>IF(A1591="","",MIN(0,MAX(0,C1591+E1591-'Loan Inputs'!$B$17)))</f>
        <v/>
      </c>
    </row>
    <row r="1592" spans="1:8" ht="22" customHeight="1">
      <c r="A1592" s="1" t="str">
        <f>IF(AND('Loan Inputs'!$B$12,1586&lt;=IF('Loan Inputs'!$B$12,'Loan Inputs'!$B$7,0)*'Loan Inputs'!$B$14+0,ISNUMBER(G1591),G1591&gt;0),1586,"")</f>
        <v/>
      </c>
      <c r="B1592" s="4" t="str">
        <f>IF(A1592="","",IF('Loan Inputs'!$B$14=12,DATE(YEAR('Loan Inputs'!$B$8),MONTH('Loan Inputs'!$B$8)+A1592,DAY('Loan Inputs'!$B$8)),'Loan Inputs'!$B$8+A1592*IF('Loan Inputs'!$B$14=26,14,7)))</f>
        <v/>
      </c>
      <c r="C1592" s="2" t="str">
        <f t="shared" si="74"/>
        <v/>
      </c>
      <c r="D1592" s="2" t="str">
        <f>IF(A1592="","",MIN('Loan Inputs'!$B$17,C1592+E1592)+H1592)</f>
        <v/>
      </c>
      <c r="E1592" s="2" t="str">
        <f>IF(A1592="","",C1592*'Loan Inputs'!$B$15)</f>
        <v/>
      </c>
      <c r="F1592" s="2" t="str">
        <f t="shared" si="72"/>
        <v/>
      </c>
      <c r="G1592" s="2" t="str">
        <f t="shared" si="73"/>
        <v/>
      </c>
      <c r="H1592" s="2" t="str">
        <f>IF(A1592="","",MIN(0,MAX(0,C1592+E1592-'Loan Inputs'!$B$17)))</f>
        <v/>
      </c>
    </row>
    <row r="1593" spans="1:8" ht="22" customHeight="1">
      <c r="A1593" s="1" t="str">
        <f>IF(AND('Loan Inputs'!$B$12,1587&lt;=IF('Loan Inputs'!$B$12,'Loan Inputs'!$B$7,0)*'Loan Inputs'!$B$14+0,ISNUMBER(G1592),G1592&gt;0),1587,"")</f>
        <v/>
      </c>
      <c r="B1593" s="4" t="str">
        <f>IF(A1593="","",IF('Loan Inputs'!$B$14=12,DATE(YEAR('Loan Inputs'!$B$8),MONTH('Loan Inputs'!$B$8)+A1593,DAY('Loan Inputs'!$B$8)),'Loan Inputs'!$B$8+A1593*IF('Loan Inputs'!$B$14=26,14,7)))</f>
        <v/>
      </c>
      <c r="C1593" s="2" t="str">
        <f t="shared" si="74"/>
        <v/>
      </c>
      <c r="D1593" s="2" t="str">
        <f>IF(A1593="","",MIN('Loan Inputs'!$B$17,C1593+E1593)+H1593)</f>
        <v/>
      </c>
      <c r="E1593" s="2" t="str">
        <f>IF(A1593="","",C1593*'Loan Inputs'!$B$15)</f>
        <v/>
      </c>
      <c r="F1593" s="2" t="str">
        <f t="shared" si="72"/>
        <v/>
      </c>
      <c r="G1593" s="2" t="str">
        <f t="shared" si="73"/>
        <v/>
      </c>
      <c r="H1593" s="2" t="str">
        <f>IF(A1593="","",MIN(0,MAX(0,C1593+E1593-'Loan Inputs'!$B$17)))</f>
        <v/>
      </c>
    </row>
    <row r="1594" spans="1:8" ht="22" customHeight="1">
      <c r="A1594" s="1" t="str">
        <f>IF(AND('Loan Inputs'!$B$12,1588&lt;=IF('Loan Inputs'!$B$12,'Loan Inputs'!$B$7,0)*'Loan Inputs'!$B$14+0,ISNUMBER(G1593),G1593&gt;0),1588,"")</f>
        <v/>
      </c>
      <c r="B1594" s="4" t="str">
        <f>IF(A1594="","",IF('Loan Inputs'!$B$14=12,DATE(YEAR('Loan Inputs'!$B$8),MONTH('Loan Inputs'!$B$8)+A1594,DAY('Loan Inputs'!$B$8)),'Loan Inputs'!$B$8+A1594*IF('Loan Inputs'!$B$14=26,14,7)))</f>
        <v/>
      </c>
      <c r="C1594" s="2" t="str">
        <f t="shared" si="74"/>
        <v/>
      </c>
      <c r="D1594" s="2" t="str">
        <f>IF(A1594="","",MIN('Loan Inputs'!$B$17,C1594+E1594)+H1594)</f>
        <v/>
      </c>
      <c r="E1594" s="2" t="str">
        <f>IF(A1594="","",C1594*'Loan Inputs'!$B$15)</f>
        <v/>
      </c>
      <c r="F1594" s="2" t="str">
        <f t="shared" si="72"/>
        <v/>
      </c>
      <c r="G1594" s="2" t="str">
        <f t="shared" si="73"/>
        <v/>
      </c>
      <c r="H1594" s="2" t="str">
        <f>IF(A1594="","",MIN(0,MAX(0,C1594+E1594-'Loan Inputs'!$B$17)))</f>
        <v/>
      </c>
    </row>
    <row r="1595" spans="1:8" ht="22" customHeight="1">
      <c r="A1595" s="1" t="str">
        <f>IF(AND('Loan Inputs'!$B$12,1589&lt;=IF('Loan Inputs'!$B$12,'Loan Inputs'!$B$7,0)*'Loan Inputs'!$B$14+0,ISNUMBER(G1594),G1594&gt;0),1589,"")</f>
        <v/>
      </c>
      <c r="B1595" s="4" t="str">
        <f>IF(A1595="","",IF('Loan Inputs'!$B$14=12,DATE(YEAR('Loan Inputs'!$B$8),MONTH('Loan Inputs'!$B$8)+A1595,DAY('Loan Inputs'!$B$8)),'Loan Inputs'!$B$8+A1595*IF('Loan Inputs'!$B$14=26,14,7)))</f>
        <v/>
      </c>
      <c r="C1595" s="2" t="str">
        <f t="shared" si="74"/>
        <v/>
      </c>
      <c r="D1595" s="2" t="str">
        <f>IF(A1595="","",MIN('Loan Inputs'!$B$17,C1595+E1595)+H1595)</f>
        <v/>
      </c>
      <c r="E1595" s="2" t="str">
        <f>IF(A1595="","",C1595*'Loan Inputs'!$B$15)</f>
        <v/>
      </c>
      <c r="F1595" s="2" t="str">
        <f t="shared" si="72"/>
        <v/>
      </c>
      <c r="G1595" s="2" t="str">
        <f t="shared" si="73"/>
        <v/>
      </c>
      <c r="H1595" s="2" t="str">
        <f>IF(A1595="","",MIN(0,MAX(0,C1595+E1595-'Loan Inputs'!$B$17)))</f>
        <v/>
      </c>
    </row>
    <row r="1596" spans="1:8" ht="22" customHeight="1">
      <c r="A1596" s="1" t="str">
        <f>IF(AND('Loan Inputs'!$B$12,1590&lt;=IF('Loan Inputs'!$B$12,'Loan Inputs'!$B$7,0)*'Loan Inputs'!$B$14+0,ISNUMBER(G1595),G1595&gt;0),1590,"")</f>
        <v/>
      </c>
      <c r="B1596" s="4" t="str">
        <f>IF(A1596="","",IF('Loan Inputs'!$B$14=12,DATE(YEAR('Loan Inputs'!$B$8),MONTH('Loan Inputs'!$B$8)+A1596,DAY('Loan Inputs'!$B$8)),'Loan Inputs'!$B$8+A1596*IF('Loan Inputs'!$B$14=26,14,7)))</f>
        <v/>
      </c>
      <c r="C1596" s="2" t="str">
        <f t="shared" si="74"/>
        <v/>
      </c>
      <c r="D1596" s="2" t="str">
        <f>IF(A1596="","",MIN('Loan Inputs'!$B$17,C1596+E1596)+H1596)</f>
        <v/>
      </c>
      <c r="E1596" s="2" t="str">
        <f>IF(A1596="","",C1596*'Loan Inputs'!$B$15)</f>
        <v/>
      </c>
      <c r="F1596" s="2" t="str">
        <f t="shared" si="72"/>
        <v/>
      </c>
      <c r="G1596" s="2" t="str">
        <f t="shared" si="73"/>
        <v/>
      </c>
      <c r="H1596" s="2" t="str">
        <f>IF(A1596="","",MIN(0,MAX(0,C1596+E1596-'Loan Inputs'!$B$17)))</f>
        <v/>
      </c>
    </row>
    <row r="1597" spans="1:8" ht="22" customHeight="1">
      <c r="A1597" s="1" t="str">
        <f>IF(AND('Loan Inputs'!$B$12,1591&lt;=IF('Loan Inputs'!$B$12,'Loan Inputs'!$B$7,0)*'Loan Inputs'!$B$14+0,ISNUMBER(G1596),G1596&gt;0),1591,"")</f>
        <v/>
      </c>
      <c r="B1597" s="4" t="str">
        <f>IF(A1597="","",IF('Loan Inputs'!$B$14=12,DATE(YEAR('Loan Inputs'!$B$8),MONTH('Loan Inputs'!$B$8)+A1597,DAY('Loan Inputs'!$B$8)),'Loan Inputs'!$B$8+A1597*IF('Loan Inputs'!$B$14=26,14,7)))</f>
        <v/>
      </c>
      <c r="C1597" s="2" t="str">
        <f t="shared" si="74"/>
        <v/>
      </c>
      <c r="D1597" s="2" t="str">
        <f>IF(A1597="","",MIN('Loan Inputs'!$B$17,C1597+E1597)+H1597)</f>
        <v/>
      </c>
      <c r="E1597" s="2" t="str">
        <f>IF(A1597="","",C1597*'Loan Inputs'!$B$15)</f>
        <v/>
      </c>
      <c r="F1597" s="2" t="str">
        <f t="shared" si="72"/>
        <v/>
      </c>
      <c r="G1597" s="2" t="str">
        <f t="shared" si="73"/>
        <v/>
      </c>
      <c r="H1597" s="2" t="str">
        <f>IF(A1597="","",MIN(0,MAX(0,C1597+E1597-'Loan Inputs'!$B$17)))</f>
        <v/>
      </c>
    </row>
    <row r="1598" spans="1:8" ht="22" customHeight="1">
      <c r="A1598" s="1" t="str">
        <f>IF(AND('Loan Inputs'!$B$12,1592&lt;=IF('Loan Inputs'!$B$12,'Loan Inputs'!$B$7,0)*'Loan Inputs'!$B$14+0,ISNUMBER(G1597),G1597&gt;0),1592,"")</f>
        <v/>
      </c>
      <c r="B1598" s="4" t="str">
        <f>IF(A1598="","",IF('Loan Inputs'!$B$14=12,DATE(YEAR('Loan Inputs'!$B$8),MONTH('Loan Inputs'!$B$8)+A1598,DAY('Loan Inputs'!$B$8)),'Loan Inputs'!$B$8+A1598*IF('Loan Inputs'!$B$14=26,14,7)))</f>
        <v/>
      </c>
      <c r="C1598" s="2" t="str">
        <f t="shared" si="74"/>
        <v/>
      </c>
      <c r="D1598" s="2" t="str">
        <f>IF(A1598="","",MIN('Loan Inputs'!$B$17,C1598+E1598)+H1598)</f>
        <v/>
      </c>
      <c r="E1598" s="2" t="str">
        <f>IF(A1598="","",C1598*'Loan Inputs'!$B$15)</f>
        <v/>
      </c>
      <c r="F1598" s="2" t="str">
        <f t="shared" si="72"/>
        <v/>
      </c>
      <c r="G1598" s="2" t="str">
        <f t="shared" si="73"/>
        <v/>
      </c>
      <c r="H1598" s="2" t="str">
        <f>IF(A1598="","",MIN(0,MAX(0,C1598+E1598-'Loan Inputs'!$B$17)))</f>
        <v/>
      </c>
    </row>
    <row r="1599" spans="1:8" ht="22" customHeight="1">
      <c r="A1599" s="1" t="str">
        <f>IF(AND('Loan Inputs'!$B$12,1593&lt;=IF('Loan Inputs'!$B$12,'Loan Inputs'!$B$7,0)*'Loan Inputs'!$B$14+0,ISNUMBER(G1598),G1598&gt;0),1593,"")</f>
        <v/>
      </c>
      <c r="B1599" s="4" t="str">
        <f>IF(A1599="","",IF('Loan Inputs'!$B$14=12,DATE(YEAR('Loan Inputs'!$B$8),MONTH('Loan Inputs'!$B$8)+A1599,DAY('Loan Inputs'!$B$8)),'Loan Inputs'!$B$8+A1599*IF('Loan Inputs'!$B$14=26,14,7)))</f>
        <v/>
      </c>
      <c r="C1599" s="2" t="str">
        <f t="shared" si="74"/>
        <v/>
      </c>
      <c r="D1599" s="2" t="str">
        <f>IF(A1599="","",MIN('Loan Inputs'!$B$17,C1599+E1599)+H1599)</f>
        <v/>
      </c>
      <c r="E1599" s="2" t="str">
        <f>IF(A1599="","",C1599*'Loan Inputs'!$B$15)</f>
        <v/>
      </c>
      <c r="F1599" s="2" t="str">
        <f t="shared" si="72"/>
        <v/>
      </c>
      <c r="G1599" s="2" t="str">
        <f t="shared" si="73"/>
        <v/>
      </c>
      <c r="H1599" s="2" t="str">
        <f>IF(A1599="","",MIN(0,MAX(0,C1599+E1599-'Loan Inputs'!$B$17)))</f>
        <v/>
      </c>
    </row>
    <row r="1600" spans="1:8" ht="22" customHeight="1">
      <c r="A1600" s="1" t="str">
        <f>IF(AND('Loan Inputs'!$B$12,1594&lt;=IF('Loan Inputs'!$B$12,'Loan Inputs'!$B$7,0)*'Loan Inputs'!$B$14+0,ISNUMBER(G1599),G1599&gt;0),1594,"")</f>
        <v/>
      </c>
      <c r="B1600" s="4" t="str">
        <f>IF(A1600="","",IF('Loan Inputs'!$B$14=12,DATE(YEAR('Loan Inputs'!$B$8),MONTH('Loan Inputs'!$B$8)+A1600,DAY('Loan Inputs'!$B$8)),'Loan Inputs'!$B$8+A1600*IF('Loan Inputs'!$B$14=26,14,7)))</f>
        <v/>
      </c>
      <c r="C1600" s="2" t="str">
        <f t="shared" si="74"/>
        <v/>
      </c>
      <c r="D1600" s="2" t="str">
        <f>IF(A1600="","",MIN('Loan Inputs'!$B$17,C1600+E1600)+H1600)</f>
        <v/>
      </c>
      <c r="E1600" s="2" t="str">
        <f>IF(A1600="","",C1600*'Loan Inputs'!$B$15)</f>
        <v/>
      </c>
      <c r="F1600" s="2" t="str">
        <f t="shared" si="72"/>
        <v/>
      </c>
      <c r="G1600" s="2" t="str">
        <f t="shared" si="73"/>
        <v/>
      </c>
      <c r="H1600" s="2" t="str">
        <f>IF(A1600="","",MIN(0,MAX(0,C1600+E1600-'Loan Inputs'!$B$17)))</f>
        <v/>
      </c>
    </row>
    <row r="1601" spans="1:8" ht="22" customHeight="1">
      <c r="A1601" s="1" t="str">
        <f>IF(AND('Loan Inputs'!$B$12,1595&lt;=IF('Loan Inputs'!$B$12,'Loan Inputs'!$B$7,0)*'Loan Inputs'!$B$14+0,ISNUMBER(G1600),G1600&gt;0),1595,"")</f>
        <v/>
      </c>
      <c r="B1601" s="4" t="str">
        <f>IF(A1601="","",IF('Loan Inputs'!$B$14=12,DATE(YEAR('Loan Inputs'!$B$8),MONTH('Loan Inputs'!$B$8)+A1601,DAY('Loan Inputs'!$B$8)),'Loan Inputs'!$B$8+A1601*IF('Loan Inputs'!$B$14=26,14,7)))</f>
        <v/>
      </c>
      <c r="C1601" s="2" t="str">
        <f t="shared" si="74"/>
        <v/>
      </c>
      <c r="D1601" s="2" t="str">
        <f>IF(A1601="","",MIN('Loan Inputs'!$B$17,C1601+E1601)+H1601)</f>
        <v/>
      </c>
      <c r="E1601" s="2" t="str">
        <f>IF(A1601="","",C1601*'Loan Inputs'!$B$15)</f>
        <v/>
      </c>
      <c r="F1601" s="2" t="str">
        <f t="shared" si="72"/>
        <v/>
      </c>
      <c r="G1601" s="2" t="str">
        <f t="shared" si="73"/>
        <v/>
      </c>
      <c r="H1601" s="2" t="str">
        <f>IF(A1601="","",MIN(0,MAX(0,C1601+E1601-'Loan Inputs'!$B$17)))</f>
        <v/>
      </c>
    </row>
    <row r="1602" spans="1:8" ht="22" customHeight="1">
      <c r="A1602" s="1" t="str">
        <f>IF(AND('Loan Inputs'!$B$12,1596&lt;=IF('Loan Inputs'!$B$12,'Loan Inputs'!$B$7,0)*'Loan Inputs'!$B$14+0,ISNUMBER(G1601),G1601&gt;0),1596,"")</f>
        <v/>
      </c>
      <c r="B1602" s="4" t="str">
        <f>IF(A1602="","",IF('Loan Inputs'!$B$14=12,DATE(YEAR('Loan Inputs'!$B$8),MONTH('Loan Inputs'!$B$8)+A1602,DAY('Loan Inputs'!$B$8)),'Loan Inputs'!$B$8+A1602*IF('Loan Inputs'!$B$14=26,14,7)))</f>
        <v/>
      </c>
      <c r="C1602" s="2" t="str">
        <f t="shared" si="74"/>
        <v/>
      </c>
      <c r="D1602" s="2" t="str">
        <f>IF(A1602="","",MIN('Loan Inputs'!$B$17,C1602+E1602)+H1602)</f>
        <v/>
      </c>
      <c r="E1602" s="2" t="str">
        <f>IF(A1602="","",C1602*'Loan Inputs'!$B$15)</f>
        <v/>
      </c>
      <c r="F1602" s="2" t="str">
        <f t="shared" si="72"/>
        <v/>
      </c>
      <c r="G1602" s="2" t="str">
        <f t="shared" si="73"/>
        <v/>
      </c>
      <c r="H1602" s="2" t="str">
        <f>IF(A1602="","",MIN(0,MAX(0,C1602+E1602-'Loan Inputs'!$B$17)))</f>
        <v/>
      </c>
    </row>
    <row r="1603" spans="1:8" ht="22" customHeight="1">
      <c r="A1603" s="1" t="str">
        <f>IF(AND('Loan Inputs'!$B$12,1597&lt;=IF('Loan Inputs'!$B$12,'Loan Inputs'!$B$7,0)*'Loan Inputs'!$B$14+0,ISNUMBER(G1602),G1602&gt;0),1597,"")</f>
        <v/>
      </c>
      <c r="B1603" s="4" t="str">
        <f>IF(A1603="","",IF('Loan Inputs'!$B$14=12,DATE(YEAR('Loan Inputs'!$B$8),MONTH('Loan Inputs'!$B$8)+A1603,DAY('Loan Inputs'!$B$8)),'Loan Inputs'!$B$8+A1603*IF('Loan Inputs'!$B$14=26,14,7)))</f>
        <v/>
      </c>
      <c r="C1603" s="2" t="str">
        <f t="shared" si="74"/>
        <v/>
      </c>
      <c r="D1603" s="2" t="str">
        <f>IF(A1603="","",MIN('Loan Inputs'!$B$17,C1603+E1603)+H1603)</f>
        <v/>
      </c>
      <c r="E1603" s="2" t="str">
        <f>IF(A1603="","",C1603*'Loan Inputs'!$B$15)</f>
        <v/>
      </c>
      <c r="F1603" s="2" t="str">
        <f t="shared" si="72"/>
        <v/>
      </c>
      <c r="G1603" s="2" t="str">
        <f t="shared" si="73"/>
        <v/>
      </c>
      <c r="H1603" s="2" t="str">
        <f>IF(A1603="","",MIN(0,MAX(0,C1603+E1603-'Loan Inputs'!$B$17)))</f>
        <v/>
      </c>
    </row>
    <row r="1604" spans="1:8" ht="22" customHeight="1">
      <c r="A1604" s="1" t="str">
        <f>IF(AND('Loan Inputs'!$B$12,1598&lt;=IF('Loan Inputs'!$B$12,'Loan Inputs'!$B$7,0)*'Loan Inputs'!$B$14+0,ISNUMBER(G1603),G1603&gt;0),1598,"")</f>
        <v/>
      </c>
      <c r="B1604" s="4" t="str">
        <f>IF(A1604="","",IF('Loan Inputs'!$B$14=12,DATE(YEAR('Loan Inputs'!$B$8),MONTH('Loan Inputs'!$B$8)+A1604,DAY('Loan Inputs'!$B$8)),'Loan Inputs'!$B$8+A1604*IF('Loan Inputs'!$B$14=26,14,7)))</f>
        <v/>
      </c>
      <c r="C1604" s="2" t="str">
        <f t="shared" si="74"/>
        <v/>
      </c>
      <c r="D1604" s="2" t="str">
        <f>IF(A1604="","",MIN('Loan Inputs'!$B$17,C1604+E1604)+H1604)</f>
        <v/>
      </c>
      <c r="E1604" s="2" t="str">
        <f>IF(A1604="","",C1604*'Loan Inputs'!$B$15)</f>
        <v/>
      </c>
      <c r="F1604" s="2" t="str">
        <f t="shared" si="72"/>
        <v/>
      </c>
      <c r="G1604" s="2" t="str">
        <f t="shared" si="73"/>
        <v/>
      </c>
      <c r="H1604" s="2" t="str">
        <f>IF(A1604="","",MIN(0,MAX(0,C1604+E1604-'Loan Inputs'!$B$17)))</f>
        <v/>
      </c>
    </row>
    <row r="1605" spans="1:8" ht="22" customHeight="1">
      <c r="A1605" s="1" t="str">
        <f>IF(AND('Loan Inputs'!$B$12,1599&lt;=IF('Loan Inputs'!$B$12,'Loan Inputs'!$B$7,0)*'Loan Inputs'!$B$14+0,ISNUMBER(G1604),G1604&gt;0),1599,"")</f>
        <v/>
      </c>
      <c r="B1605" s="4" t="str">
        <f>IF(A1605="","",IF('Loan Inputs'!$B$14=12,DATE(YEAR('Loan Inputs'!$B$8),MONTH('Loan Inputs'!$B$8)+A1605,DAY('Loan Inputs'!$B$8)),'Loan Inputs'!$B$8+A1605*IF('Loan Inputs'!$B$14=26,14,7)))</f>
        <v/>
      </c>
      <c r="C1605" s="2" t="str">
        <f t="shared" si="74"/>
        <v/>
      </c>
      <c r="D1605" s="2" t="str">
        <f>IF(A1605="","",MIN('Loan Inputs'!$B$17,C1605+E1605)+H1605)</f>
        <v/>
      </c>
      <c r="E1605" s="2" t="str">
        <f>IF(A1605="","",C1605*'Loan Inputs'!$B$15)</f>
        <v/>
      </c>
      <c r="F1605" s="2" t="str">
        <f t="shared" si="72"/>
        <v/>
      </c>
      <c r="G1605" s="2" t="str">
        <f t="shared" si="73"/>
        <v/>
      </c>
      <c r="H1605" s="2" t="str">
        <f>IF(A1605="","",MIN(0,MAX(0,C1605+E1605-'Loan Inputs'!$B$17)))</f>
        <v/>
      </c>
    </row>
    <row r="1606" spans="1:8" ht="22" customHeight="1">
      <c r="A1606" s="1" t="str">
        <f>IF(AND('Loan Inputs'!$B$12,1600&lt;=IF('Loan Inputs'!$B$12,'Loan Inputs'!$B$7,0)*'Loan Inputs'!$B$14+0,ISNUMBER(G1605),G1605&gt;0),1600,"")</f>
        <v/>
      </c>
      <c r="B1606" s="4" t="str">
        <f>IF(A1606="","",IF('Loan Inputs'!$B$14=12,DATE(YEAR('Loan Inputs'!$B$8),MONTH('Loan Inputs'!$B$8)+A1606,DAY('Loan Inputs'!$B$8)),'Loan Inputs'!$B$8+A1606*IF('Loan Inputs'!$B$14=26,14,7)))</f>
        <v/>
      </c>
      <c r="C1606" s="2" t="str">
        <f t="shared" si="74"/>
        <v/>
      </c>
      <c r="D1606" s="2" t="str">
        <f>IF(A1606="","",MIN('Loan Inputs'!$B$17,C1606+E1606)+H1606)</f>
        <v/>
      </c>
      <c r="E1606" s="2" t="str">
        <f>IF(A1606="","",C1606*'Loan Inputs'!$B$15)</f>
        <v/>
      </c>
      <c r="F1606" s="2" t="str">
        <f t="shared" si="72"/>
        <v/>
      </c>
      <c r="G1606" s="2" t="str">
        <f t="shared" si="73"/>
        <v/>
      </c>
      <c r="H1606" s="2" t="str">
        <f>IF(A1606="","",MIN(0,MAX(0,C1606+E1606-'Loan Inputs'!$B$17)))</f>
        <v/>
      </c>
    </row>
    <row r="1607" spans="1:8" ht="22" customHeight="1">
      <c r="A1607" s="1" t="str">
        <f>IF(AND('Loan Inputs'!$B$12,1601&lt;=IF('Loan Inputs'!$B$12,'Loan Inputs'!$B$7,0)*'Loan Inputs'!$B$14+0,ISNUMBER(G1606),G1606&gt;0),1601,"")</f>
        <v/>
      </c>
      <c r="B1607" s="4" t="str">
        <f>IF(A1607="","",IF('Loan Inputs'!$B$14=12,DATE(YEAR('Loan Inputs'!$B$8),MONTH('Loan Inputs'!$B$8)+A1607,DAY('Loan Inputs'!$B$8)),'Loan Inputs'!$B$8+A1607*IF('Loan Inputs'!$B$14=26,14,7)))</f>
        <v/>
      </c>
      <c r="C1607" s="2" t="str">
        <f t="shared" si="74"/>
        <v/>
      </c>
      <c r="D1607" s="2" t="str">
        <f>IF(A1607="","",MIN('Loan Inputs'!$B$17,C1607+E1607)+H1607)</f>
        <v/>
      </c>
      <c r="E1607" s="2" t="str">
        <f>IF(A1607="","",C1607*'Loan Inputs'!$B$15)</f>
        <v/>
      </c>
      <c r="F1607" s="2" t="str">
        <f t="shared" ref="F1607:F1670" si="75">IF(A1607="","",MIN(C1607,D1607-E1607))</f>
        <v/>
      </c>
      <c r="G1607" s="2" t="str">
        <f t="shared" ref="G1607:G1670" si="76">IF(A1607="","",IF(C1607-F1607&lt;0.01,0,MAX(0,C1607-F1607)))</f>
        <v/>
      </c>
      <c r="H1607" s="2" t="str">
        <f>IF(A1607="","",MIN(0,MAX(0,C1607+E1607-'Loan Inputs'!$B$17)))</f>
        <v/>
      </c>
    </row>
    <row r="1608" spans="1:8" ht="22" customHeight="1">
      <c r="A1608" s="1" t="str">
        <f>IF(AND('Loan Inputs'!$B$12,1602&lt;=IF('Loan Inputs'!$B$12,'Loan Inputs'!$B$7,0)*'Loan Inputs'!$B$14+0,ISNUMBER(G1607),G1607&gt;0),1602,"")</f>
        <v/>
      </c>
      <c r="B1608" s="4" t="str">
        <f>IF(A1608="","",IF('Loan Inputs'!$B$14=12,DATE(YEAR('Loan Inputs'!$B$8),MONTH('Loan Inputs'!$B$8)+A1608,DAY('Loan Inputs'!$B$8)),'Loan Inputs'!$B$8+A1608*IF('Loan Inputs'!$B$14=26,14,7)))</f>
        <v/>
      </c>
      <c r="C1608" s="2" t="str">
        <f t="shared" ref="C1608:C1671" si="77">IF(A1608="","",G1607)</f>
        <v/>
      </c>
      <c r="D1608" s="2" t="str">
        <f>IF(A1608="","",MIN('Loan Inputs'!$B$17,C1608+E1608)+H1608)</f>
        <v/>
      </c>
      <c r="E1608" s="2" t="str">
        <f>IF(A1608="","",C1608*'Loan Inputs'!$B$15)</f>
        <v/>
      </c>
      <c r="F1608" s="2" t="str">
        <f t="shared" si="75"/>
        <v/>
      </c>
      <c r="G1608" s="2" t="str">
        <f t="shared" si="76"/>
        <v/>
      </c>
      <c r="H1608" s="2" t="str">
        <f>IF(A1608="","",MIN(0,MAX(0,C1608+E1608-'Loan Inputs'!$B$17)))</f>
        <v/>
      </c>
    </row>
    <row r="1609" spans="1:8" ht="22" customHeight="1">
      <c r="A1609" s="1" t="str">
        <f>IF(AND('Loan Inputs'!$B$12,1603&lt;=IF('Loan Inputs'!$B$12,'Loan Inputs'!$B$7,0)*'Loan Inputs'!$B$14+0,ISNUMBER(G1608),G1608&gt;0),1603,"")</f>
        <v/>
      </c>
      <c r="B1609" s="4" t="str">
        <f>IF(A1609="","",IF('Loan Inputs'!$B$14=12,DATE(YEAR('Loan Inputs'!$B$8),MONTH('Loan Inputs'!$B$8)+A1609,DAY('Loan Inputs'!$B$8)),'Loan Inputs'!$B$8+A1609*IF('Loan Inputs'!$B$14=26,14,7)))</f>
        <v/>
      </c>
      <c r="C1609" s="2" t="str">
        <f t="shared" si="77"/>
        <v/>
      </c>
      <c r="D1609" s="2" t="str">
        <f>IF(A1609="","",MIN('Loan Inputs'!$B$17,C1609+E1609)+H1609)</f>
        <v/>
      </c>
      <c r="E1609" s="2" t="str">
        <f>IF(A1609="","",C1609*'Loan Inputs'!$B$15)</f>
        <v/>
      </c>
      <c r="F1609" s="2" t="str">
        <f t="shared" si="75"/>
        <v/>
      </c>
      <c r="G1609" s="2" t="str">
        <f t="shared" si="76"/>
        <v/>
      </c>
      <c r="H1609" s="2" t="str">
        <f>IF(A1609="","",MIN(0,MAX(0,C1609+E1609-'Loan Inputs'!$B$17)))</f>
        <v/>
      </c>
    </row>
    <row r="1610" spans="1:8" ht="22" customHeight="1">
      <c r="A1610" s="1" t="str">
        <f>IF(AND('Loan Inputs'!$B$12,1604&lt;=IF('Loan Inputs'!$B$12,'Loan Inputs'!$B$7,0)*'Loan Inputs'!$B$14+0,ISNUMBER(G1609),G1609&gt;0),1604,"")</f>
        <v/>
      </c>
      <c r="B1610" s="4" t="str">
        <f>IF(A1610="","",IF('Loan Inputs'!$B$14=12,DATE(YEAR('Loan Inputs'!$B$8),MONTH('Loan Inputs'!$B$8)+A1610,DAY('Loan Inputs'!$B$8)),'Loan Inputs'!$B$8+A1610*IF('Loan Inputs'!$B$14=26,14,7)))</f>
        <v/>
      </c>
      <c r="C1610" s="2" t="str">
        <f t="shared" si="77"/>
        <v/>
      </c>
      <c r="D1610" s="2" t="str">
        <f>IF(A1610="","",MIN('Loan Inputs'!$B$17,C1610+E1610)+H1610)</f>
        <v/>
      </c>
      <c r="E1610" s="2" t="str">
        <f>IF(A1610="","",C1610*'Loan Inputs'!$B$15)</f>
        <v/>
      </c>
      <c r="F1610" s="2" t="str">
        <f t="shared" si="75"/>
        <v/>
      </c>
      <c r="G1610" s="2" t="str">
        <f t="shared" si="76"/>
        <v/>
      </c>
      <c r="H1610" s="2" t="str">
        <f>IF(A1610="","",MIN(0,MAX(0,C1610+E1610-'Loan Inputs'!$B$17)))</f>
        <v/>
      </c>
    </row>
    <row r="1611" spans="1:8" ht="22" customHeight="1">
      <c r="A1611" s="1" t="str">
        <f>IF(AND('Loan Inputs'!$B$12,1605&lt;=IF('Loan Inputs'!$B$12,'Loan Inputs'!$B$7,0)*'Loan Inputs'!$B$14+0,ISNUMBER(G1610),G1610&gt;0),1605,"")</f>
        <v/>
      </c>
      <c r="B1611" s="4" t="str">
        <f>IF(A1611="","",IF('Loan Inputs'!$B$14=12,DATE(YEAR('Loan Inputs'!$B$8),MONTH('Loan Inputs'!$B$8)+A1611,DAY('Loan Inputs'!$B$8)),'Loan Inputs'!$B$8+A1611*IF('Loan Inputs'!$B$14=26,14,7)))</f>
        <v/>
      </c>
      <c r="C1611" s="2" t="str">
        <f t="shared" si="77"/>
        <v/>
      </c>
      <c r="D1611" s="2" t="str">
        <f>IF(A1611="","",MIN('Loan Inputs'!$B$17,C1611+E1611)+H1611)</f>
        <v/>
      </c>
      <c r="E1611" s="2" t="str">
        <f>IF(A1611="","",C1611*'Loan Inputs'!$B$15)</f>
        <v/>
      </c>
      <c r="F1611" s="2" t="str">
        <f t="shared" si="75"/>
        <v/>
      </c>
      <c r="G1611" s="2" t="str">
        <f t="shared" si="76"/>
        <v/>
      </c>
      <c r="H1611" s="2" t="str">
        <f>IF(A1611="","",MIN(0,MAX(0,C1611+E1611-'Loan Inputs'!$B$17)))</f>
        <v/>
      </c>
    </row>
    <row r="1612" spans="1:8" ht="22" customHeight="1">
      <c r="A1612" s="1" t="str">
        <f>IF(AND('Loan Inputs'!$B$12,1606&lt;=IF('Loan Inputs'!$B$12,'Loan Inputs'!$B$7,0)*'Loan Inputs'!$B$14+0,ISNUMBER(G1611),G1611&gt;0),1606,"")</f>
        <v/>
      </c>
      <c r="B1612" s="4" t="str">
        <f>IF(A1612="","",IF('Loan Inputs'!$B$14=12,DATE(YEAR('Loan Inputs'!$B$8),MONTH('Loan Inputs'!$B$8)+A1612,DAY('Loan Inputs'!$B$8)),'Loan Inputs'!$B$8+A1612*IF('Loan Inputs'!$B$14=26,14,7)))</f>
        <v/>
      </c>
      <c r="C1612" s="2" t="str">
        <f t="shared" si="77"/>
        <v/>
      </c>
      <c r="D1612" s="2" t="str">
        <f>IF(A1612="","",MIN('Loan Inputs'!$B$17,C1612+E1612)+H1612)</f>
        <v/>
      </c>
      <c r="E1612" s="2" t="str">
        <f>IF(A1612="","",C1612*'Loan Inputs'!$B$15)</f>
        <v/>
      </c>
      <c r="F1612" s="2" t="str">
        <f t="shared" si="75"/>
        <v/>
      </c>
      <c r="G1612" s="2" t="str">
        <f t="shared" si="76"/>
        <v/>
      </c>
      <c r="H1612" s="2" t="str">
        <f>IF(A1612="","",MIN(0,MAX(0,C1612+E1612-'Loan Inputs'!$B$17)))</f>
        <v/>
      </c>
    </row>
    <row r="1613" spans="1:8" ht="22" customHeight="1">
      <c r="A1613" s="1" t="str">
        <f>IF(AND('Loan Inputs'!$B$12,1607&lt;=IF('Loan Inputs'!$B$12,'Loan Inputs'!$B$7,0)*'Loan Inputs'!$B$14+0,ISNUMBER(G1612),G1612&gt;0),1607,"")</f>
        <v/>
      </c>
      <c r="B1613" s="4" t="str">
        <f>IF(A1613="","",IF('Loan Inputs'!$B$14=12,DATE(YEAR('Loan Inputs'!$B$8),MONTH('Loan Inputs'!$B$8)+A1613,DAY('Loan Inputs'!$B$8)),'Loan Inputs'!$B$8+A1613*IF('Loan Inputs'!$B$14=26,14,7)))</f>
        <v/>
      </c>
      <c r="C1613" s="2" t="str">
        <f t="shared" si="77"/>
        <v/>
      </c>
      <c r="D1613" s="2" t="str">
        <f>IF(A1613="","",MIN('Loan Inputs'!$B$17,C1613+E1613)+H1613)</f>
        <v/>
      </c>
      <c r="E1613" s="2" t="str">
        <f>IF(A1613="","",C1613*'Loan Inputs'!$B$15)</f>
        <v/>
      </c>
      <c r="F1613" s="2" t="str">
        <f t="shared" si="75"/>
        <v/>
      </c>
      <c r="G1613" s="2" t="str">
        <f t="shared" si="76"/>
        <v/>
      </c>
      <c r="H1613" s="2" t="str">
        <f>IF(A1613="","",MIN(0,MAX(0,C1613+E1613-'Loan Inputs'!$B$17)))</f>
        <v/>
      </c>
    </row>
    <row r="1614" spans="1:8" ht="22" customHeight="1">
      <c r="A1614" s="1" t="str">
        <f>IF(AND('Loan Inputs'!$B$12,1608&lt;=IF('Loan Inputs'!$B$12,'Loan Inputs'!$B$7,0)*'Loan Inputs'!$B$14+0,ISNUMBER(G1613),G1613&gt;0),1608,"")</f>
        <v/>
      </c>
      <c r="B1614" s="4" t="str">
        <f>IF(A1614="","",IF('Loan Inputs'!$B$14=12,DATE(YEAR('Loan Inputs'!$B$8),MONTH('Loan Inputs'!$B$8)+A1614,DAY('Loan Inputs'!$B$8)),'Loan Inputs'!$B$8+A1614*IF('Loan Inputs'!$B$14=26,14,7)))</f>
        <v/>
      </c>
      <c r="C1614" s="2" t="str">
        <f t="shared" si="77"/>
        <v/>
      </c>
      <c r="D1614" s="2" t="str">
        <f>IF(A1614="","",MIN('Loan Inputs'!$B$17,C1614+E1614)+H1614)</f>
        <v/>
      </c>
      <c r="E1614" s="2" t="str">
        <f>IF(A1614="","",C1614*'Loan Inputs'!$B$15)</f>
        <v/>
      </c>
      <c r="F1614" s="2" t="str">
        <f t="shared" si="75"/>
        <v/>
      </c>
      <c r="G1614" s="2" t="str">
        <f t="shared" si="76"/>
        <v/>
      </c>
      <c r="H1614" s="2" t="str">
        <f>IF(A1614="","",MIN(0,MAX(0,C1614+E1614-'Loan Inputs'!$B$17)))</f>
        <v/>
      </c>
    </row>
    <row r="1615" spans="1:8" ht="22" customHeight="1">
      <c r="A1615" s="1" t="str">
        <f>IF(AND('Loan Inputs'!$B$12,1609&lt;=IF('Loan Inputs'!$B$12,'Loan Inputs'!$B$7,0)*'Loan Inputs'!$B$14+0,ISNUMBER(G1614),G1614&gt;0),1609,"")</f>
        <v/>
      </c>
      <c r="B1615" s="4" t="str">
        <f>IF(A1615="","",IF('Loan Inputs'!$B$14=12,DATE(YEAR('Loan Inputs'!$B$8),MONTH('Loan Inputs'!$B$8)+A1615,DAY('Loan Inputs'!$B$8)),'Loan Inputs'!$B$8+A1615*IF('Loan Inputs'!$B$14=26,14,7)))</f>
        <v/>
      </c>
      <c r="C1615" s="2" t="str">
        <f t="shared" si="77"/>
        <v/>
      </c>
      <c r="D1615" s="2" t="str">
        <f>IF(A1615="","",MIN('Loan Inputs'!$B$17,C1615+E1615)+H1615)</f>
        <v/>
      </c>
      <c r="E1615" s="2" t="str">
        <f>IF(A1615="","",C1615*'Loan Inputs'!$B$15)</f>
        <v/>
      </c>
      <c r="F1615" s="2" t="str">
        <f t="shared" si="75"/>
        <v/>
      </c>
      <c r="G1615" s="2" t="str">
        <f t="shared" si="76"/>
        <v/>
      </c>
      <c r="H1615" s="2" t="str">
        <f>IF(A1615="","",MIN(0,MAX(0,C1615+E1615-'Loan Inputs'!$B$17)))</f>
        <v/>
      </c>
    </row>
    <row r="1616" spans="1:8" ht="22" customHeight="1">
      <c r="A1616" s="1" t="str">
        <f>IF(AND('Loan Inputs'!$B$12,1610&lt;=IF('Loan Inputs'!$B$12,'Loan Inputs'!$B$7,0)*'Loan Inputs'!$B$14+0,ISNUMBER(G1615),G1615&gt;0),1610,"")</f>
        <v/>
      </c>
      <c r="B1616" s="4" t="str">
        <f>IF(A1616="","",IF('Loan Inputs'!$B$14=12,DATE(YEAR('Loan Inputs'!$B$8),MONTH('Loan Inputs'!$B$8)+A1616,DAY('Loan Inputs'!$B$8)),'Loan Inputs'!$B$8+A1616*IF('Loan Inputs'!$B$14=26,14,7)))</f>
        <v/>
      </c>
      <c r="C1616" s="2" t="str">
        <f t="shared" si="77"/>
        <v/>
      </c>
      <c r="D1616" s="2" t="str">
        <f>IF(A1616="","",MIN('Loan Inputs'!$B$17,C1616+E1616)+H1616)</f>
        <v/>
      </c>
      <c r="E1616" s="2" t="str">
        <f>IF(A1616="","",C1616*'Loan Inputs'!$B$15)</f>
        <v/>
      </c>
      <c r="F1616" s="2" t="str">
        <f t="shared" si="75"/>
        <v/>
      </c>
      <c r="G1616" s="2" t="str">
        <f t="shared" si="76"/>
        <v/>
      </c>
      <c r="H1616" s="2" t="str">
        <f>IF(A1616="","",MIN(0,MAX(0,C1616+E1616-'Loan Inputs'!$B$17)))</f>
        <v/>
      </c>
    </row>
    <row r="1617" spans="1:8" ht="22" customHeight="1">
      <c r="A1617" s="1" t="str">
        <f>IF(AND('Loan Inputs'!$B$12,1611&lt;=IF('Loan Inputs'!$B$12,'Loan Inputs'!$B$7,0)*'Loan Inputs'!$B$14+0,ISNUMBER(G1616),G1616&gt;0),1611,"")</f>
        <v/>
      </c>
      <c r="B1617" s="4" t="str">
        <f>IF(A1617="","",IF('Loan Inputs'!$B$14=12,DATE(YEAR('Loan Inputs'!$B$8),MONTH('Loan Inputs'!$B$8)+A1617,DAY('Loan Inputs'!$B$8)),'Loan Inputs'!$B$8+A1617*IF('Loan Inputs'!$B$14=26,14,7)))</f>
        <v/>
      </c>
      <c r="C1617" s="2" t="str">
        <f t="shared" si="77"/>
        <v/>
      </c>
      <c r="D1617" s="2" t="str">
        <f>IF(A1617="","",MIN('Loan Inputs'!$B$17,C1617+E1617)+H1617)</f>
        <v/>
      </c>
      <c r="E1617" s="2" t="str">
        <f>IF(A1617="","",C1617*'Loan Inputs'!$B$15)</f>
        <v/>
      </c>
      <c r="F1617" s="2" t="str">
        <f t="shared" si="75"/>
        <v/>
      </c>
      <c r="G1617" s="2" t="str">
        <f t="shared" si="76"/>
        <v/>
      </c>
      <c r="H1617" s="2" t="str">
        <f>IF(A1617="","",MIN(0,MAX(0,C1617+E1617-'Loan Inputs'!$B$17)))</f>
        <v/>
      </c>
    </row>
    <row r="1618" spans="1:8" ht="22" customHeight="1">
      <c r="A1618" s="1" t="str">
        <f>IF(AND('Loan Inputs'!$B$12,1612&lt;=IF('Loan Inputs'!$B$12,'Loan Inputs'!$B$7,0)*'Loan Inputs'!$B$14+0,ISNUMBER(G1617),G1617&gt;0),1612,"")</f>
        <v/>
      </c>
      <c r="B1618" s="4" t="str">
        <f>IF(A1618="","",IF('Loan Inputs'!$B$14=12,DATE(YEAR('Loan Inputs'!$B$8),MONTH('Loan Inputs'!$B$8)+A1618,DAY('Loan Inputs'!$B$8)),'Loan Inputs'!$B$8+A1618*IF('Loan Inputs'!$B$14=26,14,7)))</f>
        <v/>
      </c>
      <c r="C1618" s="2" t="str">
        <f t="shared" si="77"/>
        <v/>
      </c>
      <c r="D1618" s="2" t="str">
        <f>IF(A1618="","",MIN('Loan Inputs'!$B$17,C1618+E1618)+H1618)</f>
        <v/>
      </c>
      <c r="E1618" s="2" t="str">
        <f>IF(A1618="","",C1618*'Loan Inputs'!$B$15)</f>
        <v/>
      </c>
      <c r="F1618" s="2" t="str">
        <f t="shared" si="75"/>
        <v/>
      </c>
      <c r="G1618" s="2" t="str">
        <f t="shared" si="76"/>
        <v/>
      </c>
      <c r="H1618" s="2" t="str">
        <f>IF(A1618="","",MIN(0,MAX(0,C1618+E1618-'Loan Inputs'!$B$17)))</f>
        <v/>
      </c>
    </row>
    <row r="1619" spans="1:8" ht="22" customHeight="1">
      <c r="A1619" s="1" t="str">
        <f>IF(AND('Loan Inputs'!$B$12,1613&lt;=IF('Loan Inputs'!$B$12,'Loan Inputs'!$B$7,0)*'Loan Inputs'!$B$14+0,ISNUMBER(G1618),G1618&gt;0),1613,"")</f>
        <v/>
      </c>
      <c r="B1619" s="4" t="str">
        <f>IF(A1619="","",IF('Loan Inputs'!$B$14=12,DATE(YEAR('Loan Inputs'!$B$8),MONTH('Loan Inputs'!$B$8)+A1619,DAY('Loan Inputs'!$B$8)),'Loan Inputs'!$B$8+A1619*IF('Loan Inputs'!$B$14=26,14,7)))</f>
        <v/>
      </c>
      <c r="C1619" s="2" t="str">
        <f t="shared" si="77"/>
        <v/>
      </c>
      <c r="D1619" s="2" t="str">
        <f>IF(A1619="","",MIN('Loan Inputs'!$B$17,C1619+E1619)+H1619)</f>
        <v/>
      </c>
      <c r="E1619" s="2" t="str">
        <f>IF(A1619="","",C1619*'Loan Inputs'!$B$15)</f>
        <v/>
      </c>
      <c r="F1619" s="2" t="str">
        <f t="shared" si="75"/>
        <v/>
      </c>
      <c r="G1619" s="2" t="str">
        <f t="shared" si="76"/>
        <v/>
      </c>
      <c r="H1619" s="2" t="str">
        <f>IF(A1619="","",MIN(0,MAX(0,C1619+E1619-'Loan Inputs'!$B$17)))</f>
        <v/>
      </c>
    </row>
    <row r="1620" spans="1:8" ht="22" customHeight="1">
      <c r="A1620" s="1" t="str">
        <f>IF(AND('Loan Inputs'!$B$12,1614&lt;=IF('Loan Inputs'!$B$12,'Loan Inputs'!$B$7,0)*'Loan Inputs'!$B$14+0,ISNUMBER(G1619),G1619&gt;0),1614,"")</f>
        <v/>
      </c>
      <c r="B1620" s="4" t="str">
        <f>IF(A1620="","",IF('Loan Inputs'!$B$14=12,DATE(YEAR('Loan Inputs'!$B$8),MONTH('Loan Inputs'!$B$8)+A1620,DAY('Loan Inputs'!$B$8)),'Loan Inputs'!$B$8+A1620*IF('Loan Inputs'!$B$14=26,14,7)))</f>
        <v/>
      </c>
      <c r="C1620" s="2" t="str">
        <f t="shared" si="77"/>
        <v/>
      </c>
      <c r="D1620" s="2" t="str">
        <f>IF(A1620="","",MIN('Loan Inputs'!$B$17,C1620+E1620)+H1620)</f>
        <v/>
      </c>
      <c r="E1620" s="2" t="str">
        <f>IF(A1620="","",C1620*'Loan Inputs'!$B$15)</f>
        <v/>
      </c>
      <c r="F1620" s="2" t="str">
        <f t="shared" si="75"/>
        <v/>
      </c>
      <c r="G1620" s="2" t="str">
        <f t="shared" si="76"/>
        <v/>
      </c>
      <c r="H1620" s="2" t="str">
        <f>IF(A1620="","",MIN(0,MAX(0,C1620+E1620-'Loan Inputs'!$B$17)))</f>
        <v/>
      </c>
    </row>
    <row r="1621" spans="1:8" ht="22" customHeight="1">
      <c r="A1621" s="1" t="str">
        <f>IF(AND('Loan Inputs'!$B$12,1615&lt;=IF('Loan Inputs'!$B$12,'Loan Inputs'!$B$7,0)*'Loan Inputs'!$B$14+0,ISNUMBER(G1620),G1620&gt;0),1615,"")</f>
        <v/>
      </c>
      <c r="B1621" s="4" t="str">
        <f>IF(A1621="","",IF('Loan Inputs'!$B$14=12,DATE(YEAR('Loan Inputs'!$B$8),MONTH('Loan Inputs'!$B$8)+A1621,DAY('Loan Inputs'!$B$8)),'Loan Inputs'!$B$8+A1621*IF('Loan Inputs'!$B$14=26,14,7)))</f>
        <v/>
      </c>
      <c r="C1621" s="2" t="str">
        <f t="shared" si="77"/>
        <v/>
      </c>
      <c r="D1621" s="2" t="str">
        <f>IF(A1621="","",MIN('Loan Inputs'!$B$17,C1621+E1621)+H1621)</f>
        <v/>
      </c>
      <c r="E1621" s="2" t="str">
        <f>IF(A1621="","",C1621*'Loan Inputs'!$B$15)</f>
        <v/>
      </c>
      <c r="F1621" s="2" t="str">
        <f t="shared" si="75"/>
        <v/>
      </c>
      <c r="G1621" s="2" t="str">
        <f t="shared" si="76"/>
        <v/>
      </c>
      <c r="H1621" s="2" t="str">
        <f>IF(A1621="","",MIN(0,MAX(0,C1621+E1621-'Loan Inputs'!$B$17)))</f>
        <v/>
      </c>
    </row>
    <row r="1622" spans="1:8" ht="22" customHeight="1">
      <c r="A1622" s="1" t="str">
        <f>IF(AND('Loan Inputs'!$B$12,1616&lt;=IF('Loan Inputs'!$B$12,'Loan Inputs'!$B$7,0)*'Loan Inputs'!$B$14+0,ISNUMBER(G1621),G1621&gt;0),1616,"")</f>
        <v/>
      </c>
      <c r="B1622" s="4" t="str">
        <f>IF(A1622="","",IF('Loan Inputs'!$B$14=12,DATE(YEAR('Loan Inputs'!$B$8),MONTH('Loan Inputs'!$B$8)+A1622,DAY('Loan Inputs'!$B$8)),'Loan Inputs'!$B$8+A1622*IF('Loan Inputs'!$B$14=26,14,7)))</f>
        <v/>
      </c>
      <c r="C1622" s="2" t="str">
        <f t="shared" si="77"/>
        <v/>
      </c>
      <c r="D1622" s="2" t="str">
        <f>IF(A1622="","",MIN('Loan Inputs'!$B$17,C1622+E1622)+H1622)</f>
        <v/>
      </c>
      <c r="E1622" s="2" t="str">
        <f>IF(A1622="","",C1622*'Loan Inputs'!$B$15)</f>
        <v/>
      </c>
      <c r="F1622" s="2" t="str">
        <f t="shared" si="75"/>
        <v/>
      </c>
      <c r="G1622" s="2" t="str">
        <f t="shared" si="76"/>
        <v/>
      </c>
      <c r="H1622" s="2" t="str">
        <f>IF(A1622="","",MIN(0,MAX(0,C1622+E1622-'Loan Inputs'!$B$17)))</f>
        <v/>
      </c>
    </row>
    <row r="1623" spans="1:8" ht="22" customHeight="1">
      <c r="A1623" s="1" t="str">
        <f>IF(AND('Loan Inputs'!$B$12,1617&lt;=IF('Loan Inputs'!$B$12,'Loan Inputs'!$B$7,0)*'Loan Inputs'!$B$14+0,ISNUMBER(G1622),G1622&gt;0),1617,"")</f>
        <v/>
      </c>
      <c r="B1623" s="4" t="str">
        <f>IF(A1623="","",IF('Loan Inputs'!$B$14=12,DATE(YEAR('Loan Inputs'!$B$8),MONTH('Loan Inputs'!$B$8)+A1623,DAY('Loan Inputs'!$B$8)),'Loan Inputs'!$B$8+A1623*IF('Loan Inputs'!$B$14=26,14,7)))</f>
        <v/>
      </c>
      <c r="C1623" s="2" t="str">
        <f t="shared" si="77"/>
        <v/>
      </c>
      <c r="D1623" s="2" t="str">
        <f>IF(A1623="","",MIN('Loan Inputs'!$B$17,C1623+E1623)+H1623)</f>
        <v/>
      </c>
      <c r="E1623" s="2" t="str">
        <f>IF(A1623="","",C1623*'Loan Inputs'!$B$15)</f>
        <v/>
      </c>
      <c r="F1623" s="2" t="str">
        <f t="shared" si="75"/>
        <v/>
      </c>
      <c r="G1623" s="2" t="str">
        <f t="shared" si="76"/>
        <v/>
      </c>
      <c r="H1623" s="2" t="str">
        <f>IF(A1623="","",MIN(0,MAX(0,C1623+E1623-'Loan Inputs'!$B$17)))</f>
        <v/>
      </c>
    </row>
    <row r="1624" spans="1:8" ht="22" customHeight="1">
      <c r="A1624" s="1" t="str">
        <f>IF(AND('Loan Inputs'!$B$12,1618&lt;=IF('Loan Inputs'!$B$12,'Loan Inputs'!$B$7,0)*'Loan Inputs'!$B$14+0,ISNUMBER(G1623),G1623&gt;0),1618,"")</f>
        <v/>
      </c>
      <c r="B1624" s="4" t="str">
        <f>IF(A1624="","",IF('Loan Inputs'!$B$14=12,DATE(YEAR('Loan Inputs'!$B$8),MONTH('Loan Inputs'!$B$8)+A1624,DAY('Loan Inputs'!$B$8)),'Loan Inputs'!$B$8+A1624*IF('Loan Inputs'!$B$14=26,14,7)))</f>
        <v/>
      </c>
      <c r="C1624" s="2" t="str">
        <f t="shared" si="77"/>
        <v/>
      </c>
      <c r="D1624" s="2" t="str">
        <f>IF(A1624="","",MIN('Loan Inputs'!$B$17,C1624+E1624)+H1624)</f>
        <v/>
      </c>
      <c r="E1624" s="2" t="str">
        <f>IF(A1624="","",C1624*'Loan Inputs'!$B$15)</f>
        <v/>
      </c>
      <c r="F1624" s="2" t="str">
        <f t="shared" si="75"/>
        <v/>
      </c>
      <c r="G1624" s="2" t="str">
        <f t="shared" si="76"/>
        <v/>
      </c>
      <c r="H1624" s="2" t="str">
        <f>IF(A1624="","",MIN(0,MAX(0,C1624+E1624-'Loan Inputs'!$B$17)))</f>
        <v/>
      </c>
    </row>
    <row r="1625" spans="1:8" ht="22" customHeight="1">
      <c r="A1625" s="1" t="str">
        <f>IF(AND('Loan Inputs'!$B$12,1619&lt;=IF('Loan Inputs'!$B$12,'Loan Inputs'!$B$7,0)*'Loan Inputs'!$B$14+0,ISNUMBER(G1624),G1624&gt;0),1619,"")</f>
        <v/>
      </c>
      <c r="B1625" s="4" t="str">
        <f>IF(A1625="","",IF('Loan Inputs'!$B$14=12,DATE(YEAR('Loan Inputs'!$B$8),MONTH('Loan Inputs'!$B$8)+A1625,DAY('Loan Inputs'!$B$8)),'Loan Inputs'!$B$8+A1625*IF('Loan Inputs'!$B$14=26,14,7)))</f>
        <v/>
      </c>
      <c r="C1625" s="2" t="str">
        <f t="shared" si="77"/>
        <v/>
      </c>
      <c r="D1625" s="2" t="str">
        <f>IF(A1625="","",MIN('Loan Inputs'!$B$17,C1625+E1625)+H1625)</f>
        <v/>
      </c>
      <c r="E1625" s="2" t="str">
        <f>IF(A1625="","",C1625*'Loan Inputs'!$B$15)</f>
        <v/>
      </c>
      <c r="F1625" s="2" t="str">
        <f t="shared" si="75"/>
        <v/>
      </c>
      <c r="G1625" s="2" t="str">
        <f t="shared" si="76"/>
        <v/>
      </c>
      <c r="H1625" s="2" t="str">
        <f>IF(A1625="","",MIN(0,MAX(0,C1625+E1625-'Loan Inputs'!$B$17)))</f>
        <v/>
      </c>
    </row>
    <row r="1626" spans="1:8" ht="22" customHeight="1">
      <c r="A1626" s="1" t="str">
        <f>IF(AND('Loan Inputs'!$B$12,1620&lt;=IF('Loan Inputs'!$B$12,'Loan Inputs'!$B$7,0)*'Loan Inputs'!$B$14+0,ISNUMBER(G1625),G1625&gt;0),1620,"")</f>
        <v/>
      </c>
      <c r="B1626" s="4" t="str">
        <f>IF(A1626="","",IF('Loan Inputs'!$B$14=12,DATE(YEAR('Loan Inputs'!$B$8),MONTH('Loan Inputs'!$B$8)+A1626,DAY('Loan Inputs'!$B$8)),'Loan Inputs'!$B$8+A1626*IF('Loan Inputs'!$B$14=26,14,7)))</f>
        <v/>
      </c>
      <c r="C1626" s="2" t="str">
        <f t="shared" si="77"/>
        <v/>
      </c>
      <c r="D1626" s="2" t="str">
        <f>IF(A1626="","",MIN('Loan Inputs'!$B$17,C1626+E1626)+H1626)</f>
        <v/>
      </c>
      <c r="E1626" s="2" t="str">
        <f>IF(A1626="","",C1626*'Loan Inputs'!$B$15)</f>
        <v/>
      </c>
      <c r="F1626" s="2" t="str">
        <f t="shared" si="75"/>
        <v/>
      </c>
      <c r="G1626" s="2" t="str">
        <f t="shared" si="76"/>
        <v/>
      </c>
      <c r="H1626" s="2" t="str">
        <f>IF(A1626="","",MIN(0,MAX(0,C1626+E1626-'Loan Inputs'!$B$17)))</f>
        <v/>
      </c>
    </row>
    <row r="1627" spans="1:8" ht="22" customHeight="1">
      <c r="A1627" s="1" t="str">
        <f>IF(AND('Loan Inputs'!$B$12,1621&lt;=IF('Loan Inputs'!$B$12,'Loan Inputs'!$B$7,0)*'Loan Inputs'!$B$14+0,ISNUMBER(G1626),G1626&gt;0),1621,"")</f>
        <v/>
      </c>
      <c r="B1627" s="4" t="str">
        <f>IF(A1627="","",IF('Loan Inputs'!$B$14=12,DATE(YEAR('Loan Inputs'!$B$8),MONTH('Loan Inputs'!$B$8)+A1627,DAY('Loan Inputs'!$B$8)),'Loan Inputs'!$B$8+A1627*IF('Loan Inputs'!$B$14=26,14,7)))</f>
        <v/>
      </c>
      <c r="C1627" s="2" t="str">
        <f t="shared" si="77"/>
        <v/>
      </c>
      <c r="D1627" s="2" t="str">
        <f>IF(A1627="","",MIN('Loan Inputs'!$B$17,C1627+E1627)+H1627)</f>
        <v/>
      </c>
      <c r="E1627" s="2" t="str">
        <f>IF(A1627="","",C1627*'Loan Inputs'!$B$15)</f>
        <v/>
      </c>
      <c r="F1627" s="2" t="str">
        <f t="shared" si="75"/>
        <v/>
      </c>
      <c r="G1627" s="2" t="str">
        <f t="shared" si="76"/>
        <v/>
      </c>
      <c r="H1627" s="2" t="str">
        <f>IF(A1627="","",MIN(0,MAX(0,C1627+E1627-'Loan Inputs'!$B$17)))</f>
        <v/>
      </c>
    </row>
    <row r="1628" spans="1:8" ht="22" customHeight="1">
      <c r="A1628" s="1" t="str">
        <f>IF(AND('Loan Inputs'!$B$12,1622&lt;=IF('Loan Inputs'!$B$12,'Loan Inputs'!$B$7,0)*'Loan Inputs'!$B$14+0,ISNUMBER(G1627),G1627&gt;0),1622,"")</f>
        <v/>
      </c>
      <c r="B1628" s="4" t="str">
        <f>IF(A1628="","",IF('Loan Inputs'!$B$14=12,DATE(YEAR('Loan Inputs'!$B$8),MONTH('Loan Inputs'!$B$8)+A1628,DAY('Loan Inputs'!$B$8)),'Loan Inputs'!$B$8+A1628*IF('Loan Inputs'!$B$14=26,14,7)))</f>
        <v/>
      </c>
      <c r="C1628" s="2" t="str">
        <f t="shared" si="77"/>
        <v/>
      </c>
      <c r="D1628" s="2" t="str">
        <f>IF(A1628="","",MIN('Loan Inputs'!$B$17,C1628+E1628)+H1628)</f>
        <v/>
      </c>
      <c r="E1628" s="2" t="str">
        <f>IF(A1628="","",C1628*'Loan Inputs'!$B$15)</f>
        <v/>
      </c>
      <c r="F1628" s="2" t="str">
        <f t="shared" si="75"/>
        <v/>
      </c>
      <c r="G1628" s="2" t="str">
        <f t="shared" si="76"/>
        <v/>
      </c>
      <c r="H1628" s="2" t="str">
        <f>IF(A1628="","",MIN(0,MAX(0,C1628+E1628-'Loan Inputs'!$B$17)))</f>
        <v/>
      </c>
    </row>
    <row r="1629" spans="1:8" ht="22" customHeight="1">
      <c r="A1629" s="1" t="str">
        <f>IF(AND('Loan Inputs'!$B$12,1623&lt;=IF('Loan Inputs'!$B$12,'Loan Inputs'!$B$7,0)*'Loan Inputs'!$B$14+0,ISNUMBER(G1628),G1628&gt;0),1623,"")</f>
        <v/>
      </c>
      <c r="B1629" s="4" t="str">
        <f>IF(A1629="","",IF('Loan Inputs'!$B$14=12,DATE(YEAR('Loan Inputs'!$B$8),MONTH('Loan Inputs'!$B$8)+A1629,DAY('Loan Inputs'!$B$8)),'Loan Inputs'!$B$8+A1629*IF('Loan Inputs'!$B$14=26,14,7)))</f>
        <v/>
      </c>
      <c r="C1629" s="2" t="str">
        <f t="shared" si="77"/>
        <v/>
      </c>
      <c r="D1629" s="2" t="str">
        <f>IF(A1629="","",MIN('Loan Inputs'!$B$17,C1629+E1629)+H1629)</f>
        <v/>
      </c>
      <c r="E1629" s="2" t="str">
        <f>IF(A1629="","",C1629*'Loan Inputs'!$B$15)</f>
        <v/>
      </c>
      <c r="F1629" s="2" t="str">
        <f t="shared" si="75"/>
        <v/>
      </c>
      <c r="G1629" s="2" t="str">
        <f t="shared" si="76"/>
        <v/>
      </c>
      <c r="H1629" s="2" t="str">
        <f>IF(A1629="","",MIN(0,MAX(0,C1629+E1629-'Loan Inputs'!$B$17)))</f>
        <v/>
      </c>
    </row>
    <row r="1630" spans="1:8" ht="22" customHeight="1">
      <c r="A1630" s="1" t="str">
        <f>IF(AND('Loan Inputs'!$B$12,1624&lt;=IF('Loan Inputs'!$B$12,'Loan Inputs'!$B$7,0)*'Loan Inputs'!$B$14+0,ISNUMBER(G1629),G1629&gt;0),1624,"")</f>
        <v/>
      </c>
      <c r="B1630" s="4" t="str">
        <f>IF(A1630="","",IF('Loan Inputs'!$B$14=12,DATE(YEAR('Loan Inputs'!$B$8),MONTH('Loan Inputs'!$B$8)+A1630,DAY('Loan Inputs'!$B$8)),'Loan Inputs'!$B$8+A1630*IF('Loan Inputs'!$B$14=26,14,7)))</f>
        <v/>
      </c>
      <c r="C1630" s="2" t="str">
        <f t="shared" si="77"/>
        <v/>
      </c>
      <c r="D1630" s="2" t="str">
        <f>IF(A1630="","",MIN('Loan Inputs'!$B$17,C1630+E1630)+H1630)</f>
        <v/>
      </c>
      <c r="E1630" s="2" t="str">
        <f>IF(A1630="","",C1630*'Loan Inputs'!$B$15)</f>
        <v/>
      </c>
      <c r="F1630" s="2" t="str">
        <f t="shared" si="75"/>
        <v/>
      </c>
      <c r="G1630" s="2" t="str">
        <f t="shared" si="76"/>
        <v/>
      </c>
      <c r="H1630" s="2" t="str">
        <f>IF(A1630="","",MIN(0,MAX(0,C1630+E1630-'Loan Inputs'!$B$17)))</f>
        <v/>
      </c>
    </row>
    <row r="1631" spans="1:8" ht="22" customHeight="1">
      <c r="A1631" s="1" t="str">
        <f>IF(AND('Loan Inputs'!$B$12,1625&lt;=IF('Loan Inputs'!$B$12,'Loan Inputs'!$B$7,0)*'Loan Inputs'!$B$14+0,ISNUMBER(G1630),G1630&gt;0),1625,"")</f>
        <v/>
      </c>
      <c r="B1631" s="4" t="str">
        <f>IF(A1631="","",IF('Loan Inputs'!$B$14=12,DATE(YEAR('Loan Inputs'!$B$8),MONTH('Loan Inputs'!$B$8)+A1631,DAY('Loan Inputs'!$B$8)),'Loan Inputs'!$B$8+A1631*IF('Loan Inputs'!$B$14=26,14,7)))</f>
        <v/>
      </c>
      <c r="C1631" s="2" t="str">
        <f t="shared" si="77"/>
        <v/>
      </c>
      <c r="D1631" s="2" t="str">
        <f>IF(A1631="","",MIN('Loan Inputs'!$B$17,C1631+E1631)+H1631)</f>
        <v/>
      </c>
      <c r="E1631" s="2" t="str">
        <f>IF(A1631="","",C1631*'Loan Inputs'!$B$15)</f>
        <v/>
      </c>
      <c r="F1631" s="2" t="str">
        <f t="shared" si="75"/>
        <v/>
      </c>
      <c r="G1631" s="2" t="str">
        <f t="shared" si="76"/>
        <v/>
      </c>
      <c r="H1631" s="2" t="str">
        <f>IF(A1631="","",MIN(0,MAX(0,C1631+E1631-'Loan Inputs'!$B$17)))</f>
        <v/>
      </c>
    </row>
    <row r="1632" spans="1:8" ht="22" customHeight="1">
      <c r="A1632" s="1" t="str">
        <f>IF(AND('Loan Inputs'!$B$12,1626&lt;=IF('Loan Inputs'!$B$12,'Loan Inputs'!$B$7,0)*'Loan Inputs'!$B$14+0,ISNUMBER(G1631),G1631&gt;0),1626,"")</f>
        <v/>
      </c>
      <c r="B1632" s="4" t="str">
        <f>IF(A1632="","",IF('Loan Inputs'!$B$14=12,DATE(YEAR('Loan Inputs'!$B$8),MONTH('Loan Inputs'!$B$8)+A1632,DAY('Loan Inputs'!$B$8)),'Loan Inputs'!$B$8+A1632*IF('Loan Inputs'!$B$14=26,14,7)))</f>
        <v/>
      </c>
      <c r="C1632" s="2" t="str">
        <f t="shared" si="77"/>
        <v/>
      </c>
      <c r="D1632" s="2" t="str">
        <f>IF(A1632="","",MIN('Loan Inputs'!$B$17,C1632+E1632)+H1632)</f>
        <v/>
      </c>
      <c r="E1632" s="2" t="str">
        <f>IF(A1632="","",C1632*'Loan Inputs'!$B$15)</f>
        <v/>
      </c>
      <c r="F1632" s="2" t="str">
        <f t="shared" si="75"/>
        <v/>
      </c>
      <c r="G1632" s="2" t="str">
        <f t="shared" si="76"/>
        <v/>
      </c>
      <c r="H1632" s="2" t="str">
        <f>IF(A1632="","",MIN(0,MAX(0,C1632+E1632-'Loan Inputs'!$B$17)))</f>
        <v/>
      </c>
    </row>
    <row r="1633" spans="1:8" ht="22" customHeight="1">
      <c r="A1633" s="1" t="str">
        <f>IF(AND('Loan Inputs'!$B$12,1627&lt;=IF('Loan Inputs'!$B$12,'Loan Inputs'!$B$7,0)*'Loan Inputs'!$B$14+0,ISNUMBER(G1632),G1632&gt;0),1627,"")</f>
        <v/>
      </c>
      <c r="B1633" s="4" t="str">
        <f>IF(A1633="","",IF('Loan Inputs'!$B$14=12,DATE(YEAR('Loan Inputs'!$B$8),MONTH('Loan Inputs'!$B$8)+A1633,DAY('Loan Inputs'!$B$8)),'Loan Inputs'!$B$8+A1633*IF('Loan Inputs'!$B$14=26,14,7)))</f>
        <v/>
      </c>
      <c r="C1633" s="2" t="str">
        <f t="shared" si="77"/>
        <v/>
      </c>
      <c r="D1633" s="2" t="str">
        <f>IF(A1633="","",MIN('Loan Inputs'!$B$17,C1633+E1633)+H1633)</f>
        <v/>
      </c>
      <c r="E1633" s="2" t="str">
        <f>IF(A1633="","",C1633*'Loan Inputs'!$B$15)</f>
        <v/>
      </c>
      <c r="F1633" s="2" t="str">
        <f t="shared" si="75"/>
        <v/>
      </c>
      <c r="G1633" s="2" t="str">
        <f t="shared" si="76"/>
        <v/>
      </c>
      <c r="H1633" s="2" t="str">
        <f>IF(A1633="","",MIN(0,MAX(0,C1633+E1633-'Loan Inputs'!$B$17)))</f>
        <v/>
      </c>
    </row>
    <row r="1634" spans="1:8" ht="22" customHeight="1">
      <c r="A1634" s="1" t="str">
        <f>IF(AND('Loan Inputs'!$B$12,1628&lt;=IF('Loan Inputs'!$B$12,'Loan Inputs'!$B$7,0)*'Loan Inputs'!$B$14+0,ISNUMBER(G1633),G1633&gt;0),1628,"")</f>
        <v/>
      </c>
      <c r="B1634" s="4" t="str">
        <f>IF(A1634="","",IF('Loan Inputs'!$B$14=12,DATE(YEAR('Loan Inputs'!$B$8),MONTH('Loan Inputs'!$B$8)+A1634,DAY('Loan Inputs'!$B$8)),'Loan Inputs'!$B$8+A1634*IF('Loan Inputs'!$B$14=26,14,7)))</f>
        <v/>
      </c>
      <c r="C1634" s="2" t="str">
        <f t="shared" si="77"/>
        <v/>
      </c>
      <c r="D1634" s="2" t="str">
        <f>IF(A1634="","",MIN('Loan Inputs'!$B$17,C1634+E1634)+H1634)</f>
        <v/>
      </c>
      <c r="E1634" s="2" t="str">
        <f>IF(A1634="","",C1634*'Loan Inputs'!$B$15)</f>
        <v/>
      </c>
      <c r="F1634" s="2" t="str">
        <f t="shared" si="75"/>
        <v/>
      </c>
      <c r="G1634" s="2" t="str">
        <f t="shared" si="76"/>
        <v/>
      </c>
      <c r="H1634" s="2" t="str">
        <f>IF(A1634="","",MIN(0,MAX(0,C1634+E1634-'Loan Inputs'!$B$17)))</f>
        <v/>
      </c>
    </row>
    <row r="1635" spans="1:8" ht="22" customHeight="1">
      <c r="A1635" s="1" t="str">
        <f>IF(AND('Loan Inputs'!$B$12,1629&lt;=IF('Loan Inputs'!$B$12,'Loan Inputs'!$B$7,0)*'Loan Inputs'!$B$14+0,ISNUMBER(G1634),G1634&gt;0),1629,"")</f>
        <v/>
      </c>
      <c r="B1635" s="4" t="str">
        <f>IF(A1635="","",IF('Loan Inputs'!$B$14=12,DATE(YEAR('Loan Inputs'!$B$8),MONTH('Loan Inputs'!$B$8)+A1635,DAY('Loan Inputs'!$B$8)),'Loan Inputs'!$B$8+A1635*IF('Loan Inputs'!$B$14=26,14,7)))</f>
        <v/>
      </c>
      <c r="C1635" s="2" t="str">
        <f t="shared" si="77"/>
        <v/>
      </c>
      <c r="D1635" s="2" t="str">
        <f>IF(A1635="","",MIN('Loan Inputs'!$B$17,C1635+E1635)+H1635)</f>
        <v/>
      </c>
      <c r="E1635" s="2" t="str">
        <f>IF(A1635="","",C1635*'Loan Inputs'!$B$15)</f>
        <v/>
      </c>
      <c r="F1635" s="2" t="str">
        <f t="shared" si="75"/>
        <v/>
      </c>
      <c r="G1635" s="2" t="str">
        <f t="shared" si="76"/>
        <v/>
      </c>
      <c r="H1635" s="2" t="str">
        <f>IF(A1635="","",MIN(0,MAX(0,C1635+E1635-'Loan Inputs'!$B$17)))</f>
        <v/>
      </c>
    </row>
    <row r="1636" spans="1:8" ht="22" customHeight="1">
      <c r="A1636" s="1" t="str">
        <f>IF(AND('Loan Inputs'!$B$12,1630&lt;=IF('Loan Inputs'!$B$12,'Loan Inputs'!$B$7,0)*'Loan Inputs'!$B$14+0,ISNUMBER(G1635),G1635&gt;0),1630,"")</f>
        <v/>
      </c>
      <c r="B1636" s="4" t="str">
        <f>IF(A1636="","",IF('Loan Inputs'!$B$14=12,DATE(YEAR('Loan Inputs'!$B$8),MONTH('Loan Inputs'!$B$8)+A1636,DAY('Loan Inputs'!$B$8)),'Loan Inputs'!$B$8+A1636*IF('Loan Inputs'!$B$14=26,14,7)))</f>
        <v/>
      </c>
      <c r="C1636" s="2" t="str">
        <f t="shared" si="77"/>
        <v/>
      </c>
      <c r="D1636" s="2" t="str">
        <f>IF(A1636="","",MIN('Loan Inputs'!$B$17,C1636+E1636)+H1636)</f>
        <v/>
      </c>
      <c r="E1636" s="2" t="str">
        <f>IF(A1636="","",C1636*'Loan Inputs'!$B$15)</f>
        <v/>
      </c>
      <c r="F1636" s="2" t="str">
        <f t="shared" si="75"/>
        <v/>
      </c>
      <c r="G1636" s="2" t="str">
        <f t="shared" si="76"/>
        <v/>
      </c>
      <c r="H1636" s="2" t="str">
        <f>IF(A1636="","",MIN(0,MAX(0,C1636+E1636-'Loan Inputs'!$B$17)))</f>
        <v/>
      </c>
    </row>
    <row r="1637" spans="1:8" ht="22" customHeight="1">
      <c r="A1637" s="1" t="str">
        <f>IF(AND('Loan Inputs'!$B$12,1631&lt;=IF('Loan Inputs'!$B$12,'Loan Inputs'!$B$7,0)*'Loan Inputs'!$B$14+0,ISNUMBER(G1636),G1636&gt;0),1631,"")</f>
        <v/>
      </c>
      <c r="B1637" s="4" t="str">
        <f>IF(A1637="","",IF('Loan Inputs'!$B$14=12,DATE(YEAR('Loan Inputs'!$B$8),MONTH('Loan Inputs'!$B$8)+A1637,DAY('Loan Inputs'!$B$8)),'Loan Inputs'!$B$8+A1637*IF('Loan Inputs'!$B$14=26,14,7)))</f>
        <v/>
      </c>
      <c r="C1637" s="2" t="str">
        <f t="shared" si="77"/>
        <v/>
      </c>
      <c r="D1637" s="2" t="str">
        <f>IF(A1637="","",MIN('Loan Inputs'!$B$17,C1637+E1637)+H1637)</f>
        <v/>
      </c>
      <c r="E1637" s="2" t="str">
        <f>IF(A1637="","",C1637*'Loan Inputs'!$B$15)</f>
        <v/>
      </c>
      <c r="F1637" s="2" t="str">
        <f t="shared" si="75"/>
        <v/>
      </c>
      <c r="G1637" s="2" t="str">
        <f t="shared" si="76"/>
        <v/>
      </c>
      <c r="H1637" s="2" t="str">
        <f>IF(A1637="","",MIN(0,MAX(0,C1637+E1637-'Loan Inputs'!$B$17)))</f>
        <v/>
      </c>
    </row>
    <row r="1638" spans="1:8" ht="22" customHeight="1">
      <c r="A1638" s="1" t="str">
        <f>IF(AND('Loan Inputs'!$B$12,1632&lt;=IF('Loan Inputs'!$B$12,'Loan Inputs'!$B$7,0)*'Loan Inputs'!$B$14+0,ISNUMBER(G1637),G1637&gt;0),1632,"")</f>
        <v/>
      </c>
      <c r="B1638" s="4" t="str">
        <f>IF(A1638="","",IF('Loan Inputs'!$B$14=12,DATE(YEAR('Loan Inputs'!$B$8),MONTH('Loan Inputs'!$B$8)+A1638,DAY('Loan Inputs'!$B$8)),'Loan Inputs'!$B$8+A1638*IF('Loan Inputs'!$B$14=26,14,7)))</f>
        <v/>
      </c>
      <c r="C1638" s="2" t="str">
        <f t="shared" si="77"/>
        <v/>
      </c>
      <c r="D1638" s="2" t="str">
        <f>IF(A1638="","",MIN('Loan Inputs'!$B$17,C1638+E1638)+H1638)</f>
        <v/>
      </c>
      <c r="E1638" s="2" t="str">
        <f>IF(A1638="","",C1638*'Loan Inputs'!$B$15)</f>
        <v/>
      </c>
      <c r="F1638" s="2" t="str">
        <f t="shared" si="75"/>
        <v/>
      </c>
      <c r="G1638" s="2" t="str">
        <f t="shared" si="76"/>
        <v/>
      </c>
      <c r="H1638" s="2" t="str">
        <f>IF(A1638="","",MIN(0,MAX(0,C1638+E1638-'Loan Inputs'!$B$17)))</f>
        <v/>
      </c>
    </row>
    <row r="1639" spans="1:8" ht="22" customHeight="1">
      <c r="A1639" s="1" t="str">
        <f>IF(AND('Loan Inputs'!$B$12,1633&lt;=IF('Loan Inputs'!$B$12,'Loan Inputs'!$B$7,0)*'Loan Inputs'!$B$14+0,ISNUMBER(G1638),G1638&gt;0),1633,"")</f>
        <v/>
      </c>
      <c r="B1639" s="4" t="str">
        <f>IF(A1639="","",IF('Loan Inputs'!$B$14=12,DATE(YEAR('Loan Inputs'!$B$8),MONTH('Loan Inputs'!$B$8)+A1639,DAY('Loan Inputs'!$B$8)),'Loan Inputs'!$B$8+A1639*IF('Loan Inputs'!$B$14=26,14,7)))</f>
        <v/>
      </c>
      <c r="C1639" s="2" t="str">
        <f t="shared" si="77"/>
        <v/>
      </c>
      <c r="D1639" s="2" t="str">
        <f>IF(A1639="","",MIN('Loan Inputs'!$B$17,C1639+E1639)+H1639)</f>
        <v/>
      </c>
      <c r="E1639" s="2" t="str">
        <f>IF(A1639="","",C1639*'Loan Inputs'!$B$15)</f>
        <v/>
      </c>
      <c r="F1639" s="2" t="str">
        <f t="shared" si="75"/>
        <v/>
      </c>
      <c r="G1639" s="2" t="str">
        <f t="shared" si="76"/>
        <v/>
      </c>
      <c r="H1639" s="2" t="str">
        <f>IF(A1639="","",MIN(0,MAX(0,C1639+E1639-'Loan Inputs'!$B$17)))</f>
        <v/>
      </c>
    </row>
    <row r="1640" spans="1:8" ht="22" customHeight="1">
      <c r="A1640" s="1" t="str">
        <f>IF(AND('Loan Inputs'!$B$12,1634&lt;=IF('Loan Inputs'!$B$12,'Loan Inputs'!$B$7,0)*'Loan Inputs'!$B$14+0,ISNUMBER(G1639),G1639&gt;0),1634,"")</f>
        <v/>
      </c>
      <c r="B1640" s="4" t="str">
        <f>IF(A1640="","",IF('Loan Inputs'!$B$14=12,DATE(YEAR('Loan Inputs'!$B$8),MONTH('Loan Inputs'!$B$8)+A1640,DAY('Loan Inputs'!$B$8)),'Loan Inputs'!$B$8+A1640*IF('Loan Inputs'!$B$14=26,14,7)))</f>
        <v/>
      </c>
      <c r="C1640" s="2" t="str">
        <f t="shared" si="77"/>
        <v/>
      </c>
      <c r="D1640" s="2" t="str">
        <f>IF(A1640="","",MIN('Loan Inputs'!$B$17,C1640+E1640)+H1640)</f>
        <v/>
      </c>
      <c r="E1640" s="2" t="str">
        <f>IF(A1640="","",C1640*'Loan Inputs'!$B$15)</f>
        <v/>
      </c>
      <c r="F1640" s="2" t="str">
        <f t="shared" si="75"/>
        <v/>
      </c>
      <c r="G1640" s="2" t="str">
        <f t="shared" si="76"/>
        <v/>
      </c>
      <c r="H1640" s="2" t="str">
        <f>IF(A1640="","",MIN(0,MAX(0,C1640+E1640-'Loan Inputs'!$B$17)))</f>
        <v/>
      </c>
    </row>
    <row r="1641" spans="1:8" ht="22" customHeight="1">
      <c r="A1641" s="1" t="str">
        <f>IF(AND('Loan Inputs'!$B$12,1635&lt;=IF('Loan Inputs'!$B$12,'Loan Inputs'!$B$7,0)*'Loan Inputs'!$B$14+0,ISNUMBER(G1640),G1640&gt;0),1635,"")</f>
        <v/>
      </c>
      <c r="B1641" s="4" t="str">
        <f>IF(A1641="","",IF('Loan Inputs'!$B$14=12,DATE(YEAR('Loan Inputs'!$B$8),MONTH('Loan Inputs'!$B$8)+A1641,DAY('Loan Inputs'!$B$8)),'Loan Inputs'!$B$8+A1641*IF('Loan Inputs'!$B$14=26,14,7)))</f>
        <v/>
      </c>
      <c r="C1641" s="2" t="str">
        <f t="shared" si="77"/>
        <v/>
      </c>
      <c r="D1641" s="2" t="str">
        <f>IF(A1641="","",MIN('Loan Inputs'!$B$17,C1641+E1641)+H1641)</f>
        <v/>
      </c>
      <c r="E1641" s="2" t="str">
        <f>IF(A1641="","",C1641*'Loan Inputs'!$B$15)</f>
        <v/>
      </c>
      <c r="F1641" s="2" t="str">
        <f t="shared" si="75"/>
        <v/>
      </c>
      <c r="G1641" s="2" t="str">
        <f t="shared" si="76"/>
        <v/>
      </c>
      <c r="H1641" s="2" t="str">
        <f>IF(A1641="","",MIN(0,MAX(0,C1641+E1641-'Loan Inputs'!$B$17)))</f>
        <v/>
      </c>
    </row>
    <row r="1642" spans="1:8" ht="22" customHeight="1">
      <c r="A1642" s="1" t="str">
        <f>IF(AND('Loan Inputs'!$B$12,1636&lt;=IF('Loan Inputs'!$B$12,'Loan Inputs'!$B$7,0)*'Loan Inputs'!$B$14+0,ISNUMBER(G1641),G1641&gt;0),1636,"")</f>
        <v/>
      </c>
      <c r="B1642" s="4" t="str">
        <f>IF(A1642="","",IF('Loan Inputs'!$B$14=12,DATE(YEAR('Loan Inputs'!$B$8),MONTH('Loan Inputs'!$B$8)+A1642,DAY('Loan Inputs'!$B$8)),'Loan Inputs'!$B$8+A1642*IF('Loan Inputs'!$B$14=26,14,7)))</f>
        <v/>
      </c>
      <c r="C1642" s="2" t="str">
        <f t="shared" si="77"/>
        <v/>
      </c>
      <c r="D1642" s="2" t="str">
        <f>IF(A1642="","",MIN('Loan Inputs'!$B$17,C1642+E1642)+H1642)</f>
        <v/>
      </c>
      <c r="E1642" s="2" t="str">
        <f>IF(A1642="","",C1642*'Loan Inputs'!$B$15)</f>
        <v/>
      </c>
      <c r="F1642" s="2" t="str">
        <f t="shared" si="75"/>
        <v/>
      </c>
      <c r="G1642" s="2" t="str">
        <f t="shared" si="76"/>
        <v/>
      </c>
      <c r="H1642" s="2" t="str">
        <f>IF(A1642="","",MIN(0,MAX(0,C1642+E1642-'Loan Inputs'!$B$17)))</f>
        <v/>
      </c>
    </row>
    <row r="1643" spans="1:8" ht="22" customHeight="1">
      <c r="A1643" s="1" t="str">
        <f>IF(AND('Loan Inputs'!$B$12,1637&lt;=IF('Loan Inputs'!$B$12,'Loan Inputs'!$B$7,0)*'Loan Inputs'!$B$14+0,ISNUMBER(G1642),G1642&gt;0),1637,"")</f>
        <v/>
      </c>
      <c r="B1643" s="4" t="str">
        <f>IF(A1643="","",IF('Loan Inputs'!$B$14=12,DATE(YEAR('Loan Inputs'!$B$8),MONTH('Loan Inputs'!$B$8)+A1643,DAY('Loan Inputs'!$B$8)),'Loan Inputs'!$B$8+A1643*IF('Loan Inputs'!$B$14=26,14,7)))</f>
        <v/>
      </c>
      <c r="C1643" s="2" t="str">
        <f t="shared" si="77"/>
        <v/>
      </c>
      <c r="D1643" s="2" t="str">
        <f>IF(A1643="","",MIN('Loan Inputs'!$B$17,C1643+E1643)+H1643)</f>
        <v/>
      </c>
      <c r="E1643" s="2" t="str">
        <f>IF(A1643="","",C1643*'Loan Inputs'!$B$15)</f>
        <v/>
      </c>
      <c r="F1643" s="2" t="str">
        <f t="shared" si="75"/>
        <v/>
      </c>
      <c r="G1643" s="2" t="str">
        <f t="shared" si="76"/>
        <v/>
      </c>
      <c r="H1643" s="2" t="str">
        <f>IF(A1643="","",MIN(0,MAX(0,C1643+E1643-'Loan Inputs'!$B$17)))</f>
        <v/>
      </c>
    </row>
    <row r="1644" spans="1:8" ht="22" customHeight="1">
      <c r="A1644" s="1" t="str">
        <f>IF(AND('Loan Inputs'!$B$12,1638&lt;=IF('Loan Inputs'!$B$12,'Loan Inputs'!$B$7,0)*'Loan Inputs'!$B$14+0,ISNUMBER(G1643),G1643&gt;0),1638,"")</f>
        <v/>
      </c>
      <c r="B1644" s="4" t="str">
        <f>IF(A1644="","",IF('Loan Inputs'!$B$14=12,DATE(YEAR('Loan Inputs'!$B$8),MONTH('Loan Inputs'!$B$8)+A1644,DAY('Loan Inputs'!$B$8)),'Loan Inputs'!$B$8+A1644*IF('Loan Inputs'!$B$14=26,14,7)))</f>
        <v/>
      </c>
      <c r="C1644" s="2" t="str">
        <f t="shared" si="77"/>
        <v/>
      </c>
      <c r="D1644" s="2" t="str">
        <f>IF(A1644="","",MIN('Loan Inputs'!$B$17,C1644+E1644)+H1644)</f>
        <v/>
      </c>
      <c r="E1644" s="2" t="str">
        <f>IF(A1644="","",C1644*'Loan Inputs'!$B$15)</f>
        <v/>
      </c>
      <c r="F1644" s="2" t="str">
        <f t="shared" si="75"/>
        <v/>
      </c>
      <c r="G1644" s="2" t="str">
        <f t="shared" si="76"/>
        <v/>
      </c>
      <c r="H1644" s="2" t="str">
        <f>IF(A1644="","",MIN(0,MAX(0,C1644+E1644-'Loan Inputs'!$B$17)))</f>
        <v/>
      </c>
    </row>
    <row r="1645" spans="1:8" ht="22" customHeight="1">
      <c r="A1645" s="1" t="str">
        <f>IF(AND('Loan Inputs'!$B$12,1639&lt;=IF('Loan Inputs'!$B$12,'Loan Inputs'!$B$7,0)*'Loan Inputs'!$B$14+0,ISNUMBER(G1644),G1644&gt;0),1639,"")</f>
        <v/>
      </c>
      <c r="B1645" s="4" t="str">
        <f>IF(A1645="","",IF('Loan Inputs'!$B$14=12,DATE(YEAR('Loan Inputs'!$B$8),MONTH('Loan Inputs'!$B$8)+A1645,DAY('Loan Inputs'!$B$8)),'Loan Inputs'!$B$8+A1645*IF('Loan Inputs'!$B$14=26,14,7)))</f>
        <v/>
      </c>
      <c r="C1645" s="2" t="str">
        <f t="shared" si="77"/>
        <v/>
      </c>
      <c r="D1645" s="2" t="str">
        <f>IF(A1645="","",MIN('Loan Inputs'!$B$17,C1645+E1645)+H1645)</f>
        <v/>
      </c>
      <c r="E1645" s="2" t="str">
        <f>IF(A1645="","",C1645*'Loan Inputs'!$B$15)</f>
        <v/>
      </c>
      <c r="F1645" s="2" t="str">
        <f t="shared" si="75"/>
        <v/>
      </c>
      <c r="G1645" s="2" t="str">
        <f t="shared" si="76"/>
        <v/>
      </c>
      <c r="H1645" s="2" t="str">
        <f>IF(A1645="","",MIN(0,MAX(0,C1645+E1645-'Loan Inputs'!$B$17)))</f>
        <v/>
      </c>
    </row>
    <row r="1646" spans="1:8" ht="22" customHeight="1">
      <c r="A1646" s="1" t="str">
        <f>IF(AND('Loan Inputs'!$B$12,1640&lt;=IF('Loan Inputs'!$B$12,'Loan Inputs'!$B$7,0)*'Loan Inputs'!$B$14+0,ISNUMBER(G1645),G1645&gt;0),1640,"")</f>
        <v/>
      </c>
      <c r="B1646" s="4" t="str">
        <f>IF(A1646="","",IF('Loan Inputs'!$B$14=12,DATE(YEAR('Loan Inputs'!$B$8),MONTH('Loan Inputs'!$B$8)+A1646,DAY('Loan Inputs'!$B$8)),'Loan Inputs'!$B$8+A1646*IF('Loan Inputs'!$B$14=26,14,7)))</f>
        <v/>
      </c>
      <c r="C1646" s="2" t="str">
        <f t="shared" si="77"/>
        <v/>
      </c>
      <c r="D1646" s="2" t="str">
        <f>IF(A1646="","",MIN('Loan Inputs'!$B$17,C1646+E1646)+H1646)</f>
        <v/>
      </c>
      <c r="E1646" s="2" t="str">
        <f>IF(A1646="","",C1646*'Loan Inputs'!$B$15)</f>
        <v/>
      </c>
      <c r="F1646" s="2" t="str">
        <f t="shared" si="75"/>
        <v/>
      </c>
      <c r="G1646" s="2" t="str">
        <f t="shared" si="76"/>
        <v/>
      </c>
      <c r="H1646" s="2" t="str">
        <f>IF(A1646="","",MIN(0,MAX(0,C1646+E1646-'Loan Inputs'!$B$17)))</f>
        <v/>
      </c>
    </row>
    <row r="1647" spans="1:8" ht="22" customHeight="1">
      <c r="A1647" s="1" t="str">
        <f>IF(AND('Loan Inputs'!$B$12,1641&lt;=IF('Loan Inputs'!$B$12,'Loan Inputs'!$B$7,0)*'Loan Inputs'!$B$14+0,ISNUMBER(G1646),G1646&gt;0),1641,"")</f>
        <v/>
      </c>
      <c r="B1647" s="4" t="str">
        <f>IF(A1647="","",IF('Loan Inputs'!$B$14=12,DATE(YEAR('Loan Inputs'!$B$8),MONTH('Loan Inputs'!$B$8)+A1647,DAY('Loan Inputs'!$B$8)),'Loan Inputs'!$B$8+A1647*IF('Loan Inputs'!$B$14=26,14,7)))</f>
        <v/>
      </c>
      <c r="C1647" s="2" t="str">
        <f t="shared" si="77"/>
        <v/>
      </c>
      <c r="D1647" s="2" t="str">
        <f>IF(A1647="","",MIN('Loan Inputs'!$B$17,C1647+E1647)+H1647)</f>
        <v/>
      </c>
      <c r="E1647" s="2" t="str">
        <f>IF(A1647="","",C1647*'Loan Inputs'!$B$15)</f>
        <v/>
      </c>
      <c r="F1647" s="2" t="str">
        <f t="shared" si="75"/>
        <v/>
      </c>
      <c r="G1647" s="2" t="str">
        <f t="shared" si="76"/>
        <v/>
      </c>
      <c r="H1647" s="2" t="str">
        <f>IF(A1647="","",MIN(0,MAX(0,C1647+E1647-'Loan Inputs'!$B$17)))</f>
        <v/>
      </c>
    </row>
    <row r="1648" spans="1:8" ht="22" customHeight="1">
      <c r="A1648" s="1" t="str">
        <f>IF(AND('Loan Inputs'!$B$12,1642&lt;=IF('Loan Inputs'!$B$12,'Loan Inputs'!$B$7,0)*'Loan Inputs'!$B$14+0,ISNUMBER(G1647),G1647&gt;0),1642,"")</f>
        <v/>
      </c>
      <c r="B1648" s="4" t="str">
        <f>IF(A1648="","",IF('Loan Inputs'!$B$14=12,DATE(YEAR('Loan Inputs'!$B$8),MONTH('Loan Inputs'!$B$8)+A1648,DAY('Loan Inputs'!$B$8)),'Loan Inputs'!$B$8+A1648*IF('Loan Inputs'!$B$14=26,14,7)))</f>
        <v/>
      </c>
      <c r="C1648" s="2" t="str">
        <f t="shared" si="77"/>
        <v/>
      </c>
      <c r="D1648" s="2" t="str">
        <f>IF(A1648="","",MIN('Loan Inputs'!$B$17,C1648+E1648)+H1648)</f>
        <v/>
      </c>
      <c r="E1648" s="2" t="str">
        <f>IF(A1648="","",C1648*'Loan Inputs'!$B$15)</f>
        <v/>
      </c>
      <c r="F1648" s="2" t="str">
        <f t="shared" si="75"/>
        <v/>
      </c>
      <c r="G1648" s="2" t="str">
        <f t="shared" si="76"/>
        <v/>
      </c>
      <c r="H1648" s="2" t="str">
        <f>IF(A1648="","",MIN(0,MAX(0,C1648+E1648-'Loan Inputs'!$B$17)))</f>
        <v/>
      </c>
    </row>
    <row r="1649" spans="1:8" ht="22" customHeight="1">
      <c r="A1649" s="1" t="str">
        <f>IF(AND('Loan Inputs'!$B$12,1643&lt;=IF('Loan Inputs'!$B$12,'Loan Inputs'!$B$7,0)*'Loan Inputs'!$B$14+0,ISNUMBER(G1648),G1648&gt;0),1643,"")</f>
        <v/>
      </c>
      <c r="B1649" s="4" t="str">
        <f>IF(A1649="","",IF('Loan Inputs'!$B$14=12,DATE(YEAR('Loan Inputs'!$B$8),MONTH('Loan Inputs'!$B$8)+A1649,DAY('Loan Inputs'!$B$8)),'Loan Inputs'!$B$8+A1649*IF('Loan Inputs'!$B$14=26,14,7)))</f>
        <v/>
      </c>
      <c r="C1649" s="2" t="str">
        <f t="shared" si="77"/>
        <v/>
      </c>
      <c r="D1649" s="2" t="str">
        <f>IF(A1649="","",MIN('Loan Inputs'!$B$17,C1649+E1649)+H1649)</f>
        <v/>
      </c>
      <c r="E1649" s="2" t="str">
        <f>IF(A1649="","",C1649*'Loan Inputs'!$B$15)</f>
        <v/>
      </c>
      <c r="F1649" s="2" t="str">
        <f t="shared" si="75"/>
        <v/>
      </c>
      <c r="G1649" s="2" t="str">
        <f t="shared" si="76"/>
        <v/>
      </c>
      <c r="H1649" s="2" t="str">
        <f>IF(A1649="","",MIN(0,MAX(0,C1649+E1649-'Loan Inputs'!$B$17)))</f>
        <v/>
      </c>
    </row>
    <row r="1650" spans="1:8" ht="22" customHeight="1">
      <c r="A1650" s="1" t="str">
        <f>IF(AND('Loan Inputs'!$B$12,1644&lt;=IF('Loan Inputs'!$B$12,'Loan Inputs'!$B$7,0)*'Loan Inputs'!$B$14+0,ISNUMBER(G1649),G1649&gt;0),1644,"")</f>
        <v/>
      </c>
      <c r="B1650" s="4" t="str">
        <f>IF(A1650="","",IF('Loan Inputs'!$B$14=12,DATE(YEAR('Loan Inputs'!$B$8),MONTH('Loan Inputs'!$B$8)+A1650,DAY('Loan Inputs'!$B$8)),'Loan Inputs'!$B$8+A1650*IF('Loan Inputs'!$B$14=26,14,7)))</f>
        <v/>
      </c>
      <c r="C1650" s="2" t="str">
        <f t="shared" si="77"/>
        <v/>
      </c>
      <c r="D1650" s="2" t="str">
        <f>IF(A1650="","",MIN('Loan Inputs'!$B$17,C1650+E1650)+H1650)</f>
        <v/>
      </c>
      <c r="E1650" s="2" t="str">
        <f>IF(A1650="","",C1650*'Loan Inputs'!$B$15)</f>
        <v/>
      </c>
      <c r="F1650" s="2" t="str">
        <f t="shared" si="75"/>
        <v/>
      </c>
      <c r="G1650" s="2" t="str">
        <f t="shared" si="76"/>
        <v/>
      </c>
      <c r="H1650" s="2" t="str">
        <f>IF(A1650="","",MIN(0,MAX(0,C1650+E1650-'Loan Inputs'!$B$17)))</f>
        <v/>
      </c>
    </row>
    <row r="1651" spans="1:8" ht="22" customHeight="1">
      <c r="A1651" s="1" t="str">
        <f>IF(AND('Loan Inputs'!$B$12,1645&lt;=IF('Loan Inputs'!$B$12,'Loan Inputs'!$B$7,0)*'Loan Inputs'!$B$14+0,ISNUMBER(G1650),G1650&gt;0),1645,"")</f>
        <v/>
      </c>
      <c r="B1651" s="4" t="str">
        <f>IF(A1651="","",IF('Loan Inputs'!$B$14=12,DATE(YEAR('Loan Inputs'!$B$8),MONTH('Loan Inputs'!$B$8)+A1651,DAY('Loan Inputs'!$B$8)),'Loan Inputs'!$B$8+A1651*IF('Loan Inputs'!$B$14=26,14,7)))</f>
        <v/>
      </c>
      <c r="C1651" s="2" t="str">
        <f t="shared" si="77"/>
        <v/>
      </c>
      <c r="D1651" s="2" t="str">
        <f>IF(A1651="","",MIN('Loan Inputs'!$B$17,C1651+E1651)+H1651)</f>
        <v/>
      </c>
      <c r="E1651" s="2" t="str">
        <f>IF(A1651="","",C1651*'Loan Inputs'!$B$15)</f>
        <v/>
      </c>
      <c r="F1651" s="2" t="str">
        <f t="shared" si="75"/>
        <v/>
      </c>
      <c r="G1651" s="2" t="str">
        <f t="shared" si="76"/>
        <v/>
      </c>
      <c r="H1651" s="2" t="str">
        <f>IF(A1651="","",MIN(0,MAX(0,C1651+E1651-'Loan Inputs'!$B$17)))</f>
        <v/>
      </c>
    </row>
    <row r="1652" spans="1:8" ht="22" customHeight="1">
      <c r="A1652" s="1" t="str">
        <f>IF(AND('Loan Inputs'!$B$12,1646&lt;=IF('Loan Inputs'!$B$12,'Loan Inputs'!$B$7,0)*'Loan Inputs'!$B$14+0,ISNUMBER(G1651),G1651&gt;0),1646,"")</f>
        <v/>
      </c>
      <c r="B1652" s="4" t="str">
        <f>IF(A1652="","",IF('Loan Inputs'!$B$14=12,DATE(YEAR('Loan Inputs'!$B$8),MONTH('Loan Inputs'!$B$8)+A1652,DAY('Loan Inputs'!$B$8)),'Loan Inputs'!$B$8+A1652*IF('Loan Inputs'!$B$14=26,14,7)))</f>
        <v/>
      </c>
      <c r="C1652" s="2" t="str">
        <f t="shared" si="77"/>
        <v/>
      </c>
      <c r="D1652" s="2" t="str">
        <f>IF(A1652="","",MIN('Loan Inputs'!$B$17,C1652+E1652)+H1652)</f>
        <v/>
      </c>
      <c r="E1652" s="2" t="str">
        <f>IF(A1652="","",C1652*'Loan Inputs'!$B$15)</f>
        <v/>
      </c>
      <c r="F1652" s="2" t="str">
        <f t="shared" si="75"/>
        <v/>
      </c>
      <c r="G1652" s="2" t="str">
        <f t="shared" si="76"/>
        <v/>
      </c>
      <c r="H1652" s="2" t="str">
        <f>IF(A1652="","",MIN(0,MAX(0,C1652+E1652-'Loan Inputs'!$B$17)))</f>
        <v/>
      </c>
    </row>
    <row r="1653" spans="1:8" ht="22" customHeight="1">
      <c r="A1653" s="1" t="str">
        <f>IF(AND('Loan Inputs'!$B$12,1647&lt;=IF('Loan Inputs'!$B$12,'Loan Inputs'!$B$7,0)*'Loan Inputs'!$B$14+0,ISNUMBER(G1652),G1652&gt;0),1647,"")</f>
        <v/>
      </c>
      <c r="B1653" s="4" t="str">
        <f>IF(A1653="","",IF('Loan Inputs'!$B$14=12,DATE(YEAR('Loan Inputs'!$B$8),MONTH('Loan Inputs'!$B$8)+A1653,DAY('Loan Inputs'!$B$8)),'Loan Inputs'!$B$8+A1653*IF('Loan Inputs'!$B$14=26,14,7)))</f>
        <v/>
      </c>
      <c r="C1653" s="2" t="str">
        <f t="shared" si="77"/>
        <v/>
      </c>
      <c r="D1653" s="2" t="str">
        <f>IF(A1653="","",MIN('Loan Inputs'!$B$17,C1653+E1653)+H1653)</f>
        <v/>
      </c>
      <c r="E1653" s="2" t="str">
        <f>IF(A1653="","",C1653*'Loan Inputs'!$B$15)</f>
        <v/>
      </c>
      <c r="F1653" s="2" t="str">
        <f t="shared" si="75"/>
        <v/>
      </c>
      <c r="G1653" s="2" t="str">
        <f t="shared" si="76"/>
        <v/>
      </c>
      <c r="H1653" s="2" t="str">
        <f>IF(A1653="","",MIN(0,MAX(0,C1653+E1653-'Loan Inputs'!$B$17)))</f>
        <v/>
      </c>
    </row>
    <row r="1654" spans="1:8" ht="22" customHeight="1">
      <c r="A1654" s="1" t="str">
        <f>IF(AND('Loan Inputs'!$B$12,1648&lt;=IF('Loan Inputs'!$B$12,'Loan Inputs'!$B$7,0)*'Loan Inputs'!$B$14+0,ISNUMBER(G1653),G1653&gt;0),1648,"")</f>
        <v/>
      </c>
      <c r="B1654" s="4" t="str">
        <f>IF(A1654="","",IF('Loan Inputs'!$B$14=12,DATE(YEAR('Loan Inputs'!$B$8),MONTH('Loan Inputs'!$B$8)+A1654,DAY('Loan Inputs'!$B$8)),'Loan Inputs'!$B$8+A1654*IF('Loan Inputs'!$B$14=26,14,7)))</f>
        <v/>
      </c>
      <c r="C1654" s="2" t="str">
        <f t="shared" si="77"/>
        <v/>
      </c>
      <c r="D1654" s="2" t="str">
        <f>IF(A1654="","",MIN('Loan Inputs'!$B$17,C1654+E1654)+H1654)</f>
        <v/>
      </c>
      <c r="E1654" s="2" t="str">
        <f>IF(A1654="","",C1654*'Loan Inputs'!$B$15)</f>
        <v/>
      </c>
      <c r="F1654" s="2" t="str">
        <f t="shared" si="75"/>
        <v/>
      </c>
      <c r="G1654" s="2" t="str">
        <f t="shared" si="76"/>
        <v/>
      </c>
      <c r="H1654" s="2" t="str">
        <f>IF(A1654="","",MIN(0,MAX(0,C1654+E1654-'Loan Inputs'!$B$17)))</f>
        <v/>
      </c>
    </row>
    <row r="1655" spans="1:8" ht="22" customHeight="1">
      <c r="A1655" s="1" t="str">
        <f>IF(AND('Loan Inputs'!$B$12,1649&lt;=IF('Loan Inputs'!$B$12,'Loan Inputs'!$B$7,0)*'Loan Inputs'!$B$14+0,ISNUMBER(G1654),G1654&gt;0),1649,"")</f>
        <v/>
      </c>
      <c r="B1655" s="4" t="str">
        <f>IF(A1655="","",IF('Loan Inputs'!$B$14=12,DATE(YEAR('Loan Inputs'!$B$8),MONTH('Loan Inputs'!$B$8)+A1655,DAY('Loan Inputs'!$B$8)),'Loan Inputs'!$B$8+A1655*IF('Loan Inputs'!$B$14=26,14,7)))</f>
        <v/>
      </c>
      <c r="C1655" s="2" t="str">
        <f t="shared" si="77"/>
        <v/>
      </c>
      <c r="D1655" s="2" t="str">
        <f>IF(A1655="","",MIN('Loan Inputs'!$B$17,C1655+E1655)+H1655)</f>
        <v/>
      </c>
      <c r="E1655" s="2" t="str">
        <f>IF(A1655="","",C1655*'Loan Inputs'!$B$15)</f>
        <v/>
      </c>
      <c r="F1655" s="2" t="str">
        <f t="shared" si="75"/>
        <v/>
      </c>
      <c r="G1655" s="2" t="str">
        <f t="shared" si="76"/>
        <v/>
      </c>
      <c r="H1655" s="2" t="str">
        <f>IF(A1655="","",MIN(0,MAX(0,C1655+E1655-'Loan Inputs'!$B$17)))</f>
        <v/>
      </c>
    </row>
    <row r="1656" spans="1:8" ht="22" customHeight="1">
      <c r="A1656" s="1" t="str">
        <f>IF(AND('Loan Inputs'!$B$12,1650&lt;=IF('Loan Inputs'!$B$12,'Loan Inputs'!$B$7,0)*'Loan Inputs'!$B$14+0,ISNUMBER(G1655),G1655&gt;0),1650,"")</f>
        <v/>
      </c>
      <c r="B1656" s="4" t="str">
        <f>IF(A1656="","",IF('Loan Inputs'!$B$14=12,DATE(YEAR('Loan Inputs'!$B$8),MONTH('Loan Inputs'!$B$8)+A1656,DAY('Loan Inputs'!$B$8)),'Loan Inputs'!$B$8+A1656*IF('Loan Inputs'!$B$14=26,14,7)))</f>
        <v/>
      </c>
      <c r="C1656" s="2" t="str">
        <f t="shared" si="77"/>
        <v/>
      </c>
      <c r="D1656" s="2" t="str">
        <f>IF(A1656="","",MIN('Loan Inputs'!$B$17,C1656+E1656)+H1656)</f>
        <v/>
      </c>
      <c r="E1656" s="2" t="str">
        <f>IF(A1656="","",C1656*'Loan Inputs'!$B$15)</f>
        <v/>
      </c>
      <c r="F1656" s="2" t="str">
        <f t="shared" si="75"/>
        <v/>
      </c>
      <c r="G1656" s="2" t="str">
        <f t="shared" si="76"/>
        <v/>
      </c>
      <c r="H1656" s="2" t="str">
        <f>IF(A1656="","",MIN(0,MAX(0,C1656+E1656-'Loan Inputs'!$B$17)))</f>
        <v/>
      </c>
    </row>
    <row r="1657" spans="1:8" ht="22" customHeight="1">
      <c r="A1657" s="1" t="str">
        <f>IF(AND('Loan Inputs'!$B$12,1651&lt;=IF('Loan Inputs'!$B$12,'Loan Inputs'!$B$7,0)*'Loan Inputs'!$B$14+0,ISNUMBER(G1656),G1656&gt;0),1651,"")</f>
        <v/>
      </c>
      <c r="B1657" s="4" t="str">
        <f>IF(A1657="","",IF('Loan Inputs'!$B$14=12,DATE(YEAR('Loan Inputs'!$B$8),MONTH('Loan Inputs'!$B$8)+A1657,DAY('Loan Inputs'!$B$8)),'Loan Inputs'!$B$8+A1657*IF('Loan Inputs'!$B$14=26,14,7)))</f>
        <v/>
      </c>
      <c r="C1657" s="2" t="str">
        <f t="shared" si="77"/>
        <v/>
      </c>
      <c r="D1657" s="2" t="str">
        <f>IF(A1657="","",MIN('Loan Inputs'!$B$17,C1657+E1657)+H1657)</f>
        <v/>
      </c>
      <c r="E1657" s="2" t="str">
        <f>IF(A1657="","",C1657*'Loan Inputs'!$B$15)</f>
        <v/>
      </c>
      <c r="F1657" s="2" t="str">
        <f t="shared" si="75"/>
        <v/>
      </c>
      <c r="G1657" s="2" t="str">
        <f t="shared" si="76"/>
        <v/>
      </c>
      <c r="H1657" s="2" t="str">
        <f>IF(A1657="","",MIN(0,MAX(0,C1657+E1657-'Loan Inputs'!$B$17)))</f>
        <v/>
      </c>
    </row>
    <row r="1658" spans="1:8" ht="22" customHeight="1">
      <c r="A1658" s="1" t="str">
        <f>IF(AND('Loan Inputs'!$B$12,1652&lt;=IF('Loan Inputs'!$B$12,'Loan Inputs'!$B$7,0)*'Loan Inputs'!$B$14+0,ISNUMBER(G1657),G1657&gt;0),1652,"")</f>
        <v/>
      </c>
      <c r="B1658" s="4" t="str">
        <f>IF(A1658="","",IF('Loan Inputs'!$B$14=12,DATE(YEAR('Loan Inputs'!$B$8),MONTH('Loan Inputs'!$B$8)+A1658,DAY('Loan Inputs'!$B$8)),'Loan Inputs'!$B$8+A1658*IF('Loan Inputs'!$B$14=26,14,7)))</f>
        <v/>
      </c>
      <c r="C1658" s="2" t="str">
        <f t="shared" si="77"/>
        <v/>
      </c>
      <c r="D1658" s="2" t="str">
        <f>IF(A1658="","",MIN('Loan Inputs'!$B$17,C1658+E1658)+H1658)</f>
        <v/>
      </c>
      <c r="E1658" s="2" t="str">
        <f>IF(A1658="","",C1658*'Loan Inputs'!$B$15)</f>
        <v/>
      </c>
      <c r="F1658" s="2" t="str">
        <f t="shared" si="75"/>
        <v/>
      </c>
      <c r="G1658" s="2" t="str">
        <f t="shared" si="76"/>
        <v/>
      </c>
      <c r="H1658" s="2" t="str">
        <f>IF(A1658="","",MIN(0,MAX(0,C1658+E1658-'Loan Inputs'!$B$17)))</f>
        <v/>
      </c>
    </row>
    <row r="1659" spans="1:8" ht="22" customHeight="1">
      <c r="A1659" s="1" t="str">
        <f>IF(AND('Loan Inputs'!$B$12,1653&lt;=IF('Loan Inputs'!$B$12,'Loan Inputs'!$B$7,0)*'Loan Inputs'!$B$14+0,ISNUMBER(G1658),G1658&gt;0),1653,"")</f>
        <v/>
      </c>
      <c r="B1659" s="4" t="str">
        <f>IF(A1659="","",IF('Loan Inputs'!$B$14=12,DATE(YEAR('Loan Inputs'!$B$8),MONTH('Loan Inputs'!$B$8)+A1659,DAY('Loan Inputs'!$B$8)),'Loan Inputs'!$B$8+A1659*IF('Loan Inputs'!$B$14=26,14,7)))</f>
        <v/>
      </c>
      <c r="C1659" s="2" t="str">
        <f t="shared" si="77"/>
        <v/>
      </c>
      <c r="D1659" s="2" t="str">
        <f>IF(A1659="","",MIN('Loan Inputs'!$B$17,C1659+E1659)+H1659)</f>
        <v/>
      </c>
      <c r="E1659" s="2" t="str">
        <f>IF(A1659="","",C1659*'Loan Inputs'!$B$15)</f>
        <v/>
      </c>
      <c r="F1659" s="2" t="str">
        <f t="shared" si="75"/>
        <v/>
      </c>
      <c r="G1659" s="2" t="str">
        <f t="shared" si="76"/>
        <v/>
      </c>
      <c r="H1659" s="2" t="str">
        <f>IF(A1659="","",MIN(0,MAX(0,C1659+E1659-'Loan Inputs'!$B$17)))</f>
        <v/>
      </c>
    </row>
    <row r="1660" spans="1:8" ht="22" customHeight="1">
      <c r="A1660" s="1" t="str">
        <f>IF(AND('Loan Inputs'!$B$12,1654&lt;=IF('Loan Inputs'!$B$12,'Loan Inputs'!$B$7,0)*'Loan Inputs'!$B$14+0,ISNUMBER(G1659),G1659&gt;0),1654,"")</f>
        <v/>
      </c>
      <c r="B1660" s="4" t="str">
        <f>IF(A1660="","",IF('Loan Inputs'!$B$14=12,DATE(YEAR('Loan Inputs'!$B$8),MONTH('Loan Inputs'!$B$8)+A1660,DAY('Loan Inputs'!$B$8)),'Loan Inputs'!$B$8+A1660*IF('Loan Inputs'!$B$14=26,14,7)))</f>
        <v/>
      </c>
      <c r="C1660" s="2" t="str">
        <f t="shared" si="77"/>
        <v/>
      </c>
      <c r="D1660" s="2" t="str">
        <f>IF(A1660="","",MIN('Loan Inputs'!$B$17,C1660+E1660)+H1660)</f>
        <v/>
      </c>
      <c r="E1660" s="2" t="str">
        <f>IF(A1660="","",C1660*'Loan Inputs'!$B$15)</f>
        <v/>
      </c>
      <c r="F1660" s="2" t="str">
        <f t="shared" si="75"/>
        <v/>
      </c>
      <c r="G1660" s="2" t="str">
        <f t="shared" si="76"/>
        <v/>
      </c>
      <c r="H1660" s="2" t="str">
        <f>IF(A1660="","",MIN(0,MAX(0,C1660+E1660-'Loan Inputs'!$B$17)))</f>
        <v/>
      </c>
    </row>
    <row r="1661" spans="1:8" ht="22" customHeight="1">
      <c r="A1661" s="1" t="str">
        <f>IF(AND('Loan Inputs'!$B$12,1655&lt;=IF('Loan Inputs'!$B$12,'Loan Inputs'!$B$7,0)*'Loan Inputs'!$B$14+0,ISNUMBER(G1660),G1660&gt;0),1655,"")</f>
        <v/>
      </c>
      <c r="B1661" s="4" t="str">
        <f>IF(A1661="","",IF('Loan Inputs'!$B$14=12,DATE(YEAR('Loan Inputs'!$B$8),MONTH('Loan Inputs'!$B$8)+A1661,DAY('Loan Inputs'!$B$8)),'Loan Inputs'!$B$8+A1661*IF('Loan Inputs'!$B$14=26,14,7)))</f>
        <v/>
      </c>
      <c r="C1661" s="2" t="str">
        <f t="shared" si="77"/>
        <v/>
      </c>
      <c r="D1661" s="2" t="str">
        <f>IF(A1661="","",MIN('Loan Inputs'!$B$17,C1661+E1661)+H1661)</f>
        <v/>
      </c>
      <c r="E1661" s="2" t="str">
        <f>IF(A1661="","",C1661*'Loan Inputs'!$B$15)</f>
        <v/>
      </c>
      <c r="F1661" s="2" t="str">
        <f t="shared" si="75"/>
        <v/>
      </c>
      <c r="G1661" s="2" t="str">
        <f t="shared" si="76"/>
        <v/>
      </c>
      <c r="H1661" s="2" t="str">
        <f>IF(A1661="","",MIN(0,MAX(0,C1661+E1661-'Loan Inputs'!$B$17)))</f>
        <v/>
      </c>
    </row>
    <row r="1662" spans="1:8" ht="22" customHeight="1">
      <c r="A1662" s="1" t="str">
        <f>IF(AND('Loan Inputs'!$B$12,1656&lt;=IF('Loan Inputs'!$B$12,'Loan Inputs'!$B$7,0)*'Loan Inputs'!$B$14+0,ISNUMBER(G1661),G1661&gt;0),1656,"")</f>
        <v/>
      </c>
      <c r="B1662" s="4" t="str">
        <f>IF(A1662="","",IF('Loan Inputs'!$B$14=12,DATE(YEAR('Loan Inputs'!$B$8),MONTH('Loan Inputs'!$B$8)+A1662,DAY('Loan Inputs'!$B$8)),'Loan Inputs'!$B$8+A1662*IF('Loan Inputs'!$B$14=26,14,7)))</f>
        <v/>
      </c>
      <c r="C1662" s="2" t="str">
        <f t="shared" si="77"/>
        <v/>
      </c>
      <c r="D1662" s="2" t="str">
        <f>IF(A1662="","",MIN('Loan Inputs'!$B$17,C1662+E1662)+H1662)</f>
        <v/>
      </c>
      <c r="E1662" s="2" t="str">
        <f>IF(A1662="","",C1662*'Loan Inputs'!$B$15)</f>
        <v/>
      </c>
      <c r="F1662" s="2" t="str">
        <f t="shared" si="75"/>
        <v/>
      </c>
      <c r="G1662" s="2" t="str">
        <f t="shared" si="76"/>
        <v/>
      </c>
      <c r="H1662" s="2" t="str">
        <f>IF(A1662="","",MIN(0,MAX(0,C1662+E1662-'Loan Inputs'!$B$17)))</f>
        <v/>
      </c>
    </row>
    <row r="1663" spans="1:8" ht="22" customHeight="1">
      <c r="A1663" s="1" t="str">
        <f>IF(AND('Loan Inputs'!$B$12,1657&lt;=IF('Loan Inputs'!$B$12,'Loan Inputs'!$B$7,0)*'Loan Inputs'!$B$14+0,ISNUMBER(G1662),G1662&gt;0),1657,"")</f>
        <v/>
      </c>
      <c r="B1663" s="4" t="str">
        <f>IF(A1663="","",IF('Loan Inputs'!$B$14=12,DATE(YEAR('Loan Inputs'!$B$8),MONTH('Loan Inputs'!$B$8)+A1663,DAY('Loan Inputs'!$B$8)),'Loan Inputs'!$B$8+A1663*IF('Loan Inputs'!$B$14=26,14,7)))</f>
        <v/>
      </c>
      <c r="C1663" s="2" t="str">
        <f t="shared" si="77"/>
        <v/>
      </c>
      <c r="D1663" s="2" t="str">
        <f>IF(A1663="","",MIN('Loan Inputs'!$B$17,C1663+E1663)+H1663)</f>
        <v/>
      </c>
      <c r="E1663" s="2" t="str">
        <f>IF(A1663="","",C1663*'Loan Inputs'!$B$15)</f>
        <v/>
      </c>
      <c r="F1663" s="2" t="str">
        <f t="shared" si="75"/>
        <v/>
      </c>
      <c r="G1663" s="2" t="str">
        <f t="shared" si="76"/>
        <v/>
      </c>
      <c r="H1663" s="2" t="str">
        <f>IF(A1663="","",MIN(0,MAX(0,C1663+E1663-'Loan Inputs'!$B$17)))</f>
        <v/>
      </c>
    </row>
    <row r="1664" spans="1:8" ht="22" customHeight="1">
      <c r="A1664" s="1" t="str">
        <f>IF(AND('Loan Inputs'!$B$12,1658&lt;=IF('Loan Inputs'!$B$12,'Loan Inputs'!$B$7,0)*'Loan Inputs'!$B$14+0,ISNUMBER(G1663),G1663&gt;0),1658,"")</f>
        <v/>
      </c>
      <c r="B1664" s="4" t="str">
        <f>IF(A1664="","",IF('Loan Inputs'!$B$14=12,DATE(YEAR('Loan Inputs'!$B$8),MONTH('Loan Inputs'!$B$8)+A1664,DAY('Loan Inputs'!$B$8)),'Loan Inputs'!$B$8+A1664*IF('Loan Inputs'!$B$14=26,14,7)))</f>
        <v/>
      </c>
      <c r="C1664" s="2" t="str">
        <f t="shared" si="77"/>
        <v/>
      </c>
      <c r="D1664" s="2" t="str">
        <f>IF(A1664="","",MIN('Loan Inputs'!$B$17,C1664+E1664)+H1664)</f>
        <v/>
      </c>
      <c r="E1664" s="2" t="str">
        <f>IF(A1664="","",C1664*'Loan Inputs'!$B$15)</f>
        <v/>
      </c>
      <c r="F1664" s="2" t="str">
        <f t="shared" si="75"/>
        <v/>
      </c>
      <c r="G1664" s="2" t="str">
        <f t="shared" si="76"/>
        <v/>
      </c>
      <c r="H1664" s="2" t="str">
        <f>IF(A1664="","",MIN(0,MAX(0,C1664+E1664-'Loan Inputs'!$B$17)))</f>
        <v/>
      </c>
    </row>
    <row r="1665" spans="1:8" ht="22" customHeight="1">
      <c r="A1665" s="1" t="str">
        <f>IF(AND('Loan Inputs'!$B$12,1659&lt;=IF('Loan Inputs'!$B$12,'Loan Inputs'!$B$7,0)*'Loan Inputs'!$B$14+0,ISNUMBER(G1664),G1664&gt;0),1659,"")</f>
        <v/>
      </c>
      <c r="B1665" s="4" t="str">
        <f>IF(A1665="","",IF('Loan Inputs'!$B$14=12,DATE(YEAR('Loan Inputs'!$B$8),MONTH('Loan Inputs'!$B$8)+A1665,DAY('Loan Inputs'!$B$8)),'Loan Inputs'!$B$8+A1665*IF('Loan Inputs'!$B$14=26,14,7)))</f>
        <v/>
      </c>
      <c r="C1665" s="2" t="str">
        <f t="shared" si="77"/>
        <v/>
      </c>
      <c r="D1665" s="2" t="str">
        <f>IF(A1665="","",MIN('Loan Inputs'!$B$17,C1665+E1665)+H1665)</f>
        <v/>
      </c>
      <c r="E1665" s="2" t="str">
        <f>IF(A1665="","",C1665*'Loan Inputs'!$B$15)</f>
        <v/>
      </c>
      <c r="F1665" s="2" t="str">
        <f t="shared" si="75"/>
        <v/>
      </c>
      <c r="G1665" s="2" t="str">
        <f t="shared" si="76"/>
        <v/>
      </c>
      <c r="H1665" s="2" t="str">
        <f>IF(A1665="","",MIN(0,MAX(0,C1665+E1665-'Loan Inputs'!$B$17)))</f>
        <v/>
      </c>
    </row>
    <row r="1666" spans="1:8" ht="22" customHeight="1">
      <c r="A1666" s="1" t="str">
        <f>IF(AND('Loan Inputs'!$B$12,1660&lt;=IF('Loan Inputs'!$B$12,'Loan Inputs'!$B$7,0)*'Loan Inputs'!$B$14+0,ISNUMBER(G1665),G1665&gt;0),1660,"")</f>
        <v/>
      </c>
      <c r="B1666" s="4" t="str">
        <f>IF(A1666="","",IF('Loan Inputs'!$B$14=12,DATE(YEAR('Loan Inputs'!$B$8),MONTH('Loan Inputs'!$B$8)+A1666,DAY('Loan Inputs'!$B$8)),'Loan Inputs'!$B$8+A1666*IF('Loan Inputs'!$B$14=26,14,7)))</f>
        <v/>
      </c>
      <c r="C1666" s="2" t="str">
        <f t="shared" si="77"/>
        <v/>
      </c>
      <c r="D1666" s="2" t="str">
        <f>IF(A1666="","",MIN('Loan Inputs'!$B$17,C1666+E1666)+H1666)</f>
        <v/>
      </c>
      <c r="E1666" s="2" t="str">
        <f>IF(A1666="","",C1666*'Loan Inputs'!$B$15)</f>
        <v/>
      </c>
      <c r="F1666" s="2" t="str">
        <f t="shared" si="75"/>
        <v/>
      </c>
      <c r="G1666" s="2" t="str">
        <f t="shared" si="76"/>
        <v/>
      </c>
      <c r="H1666" s="2" t="str">
        <f>IF(A1666="","",MIN(0,MAX(0,C1666+E1666-'Loan Inputs'!$B$17)))</f>
        <v/>
      </c>
    </row>
    <row r="1667" spans="1:8" ht="22" customHeight="1">
      <c r="A1667" s="1" t="str">
        <f>IF(AND('Loan Inputs'!$B$12,1661&lt;=IF('Loan Inputs'!$B$12,'Loan Inputs'!$B$7,0)*'Loan Inputs'!$B$14+0,ISNUMBER(G1666),G1666&gt;0),1661,"")</f>
        <v/>
      </c>
      <c r="B1667" s="4" t="str">
        <f>IF(A1667="","",IF('Loan Inputs'!$B$14=12,DATE(YEAR('Loan Inputs'!$B$8),MONTH('Loan Inputs'!$B$8)+A1667,DAY('Loan Inputs'!$B$8)),'Loan Inputs'!$B$8+A1667*IF('Loan Inputs'!$B$14=26,14,7)))</f>
        <v/>
      </c>
      <c r="C1667" s="2" t="str">
        <f t="shared" si="77"/>
        <v/>
      </c>
      <c r="D1667" s="2" t="str">
        <f>IF(A1667="","",MIN('Loan Inputs'!$B$17,C1667+E1667)+H1667)</f>
        <v/>
      </c>
      <c r="E1667" s="2" t="str">
        <f>IF(A1667="","",C1667*'Loan Inputs'!$B$15)</f>
        <v/>
      </c>
      <c r="F1667" s="2" t="str">
        <f t="shared" si="75"/>
        <v/>
      </c>
      <c r="G1667" s="2" t="str">
        <f t="shared" si="76"/>
        <v/>
      </c>
      <c r="H1667" s="2" t="str">
        <f>IF(A1667="","",MIN(0,MAX(0,C1667+E1667-'Loan Inputs'!$B$17)))</f>
        <v/>
      </c>
    </row>
    <row r="1668" spans="1:8" ht="22" customHeight="1">
      <c r="A1668" s="1" t="str">
        <f>IF(AND('Loan Inputs'!$B$12,1662&lt;=IF('Loan Inputs'!$B$12,'Loan Inputs'!$B$7,0)*'Loan Inputs'!$B$14+0,ISNUMBER(G1667),G1667&gt;0),1662,"")</f>
        <v/>
      </c>
      <c r="B1668" s="4" t="str">
        <f>IF(A1668="","",IF('Loan Inputs'!$B$14=12,DATE(YEAR('Loan Inputs'!$B$8),MONTH('Loan Inputs'!$B$8)+A1668,DAY('Loan Inputs'!$B$8)),'Loan Inputs'!$B$8+A1668*IF('Loan Inputs'!$B$14=26,14,7)))</f>
        <v/>
      </c>
      <c r="C1668" s="2" t="str">
        <f t="shared" si="77"/>
        <v/>
      </c>
      <c r="D1668" s="2" t="str">
        <f>IF(A1668="","",MIN('Loan Inputs'!$B$17,C1668+E1668)+H1668)</f>
        <v/>
      </c>
      <c r="E1668" s="2" t="str">
        <f>IF(A1668="","",C1668*'Loan Inputs'!$B$15)</f>
        <v/>
      </c>
      <c r="F1668" s="2" t="str">
        <f t="shared" si="75"/>
        <v/>
      </c>
      <c r="G1668" s="2" t="str">
        <f t="shared" si="76"/>
        <v/>
      </c>
      <c r="H1668" s="2" t="str">
        <f>IF(A1668="","",MIN(0,MAX(0,C1668+E1668-'Loan Inputs'!$B$17)))</f>
        <v/>
      </c>
    </row>
    <row r="1669" spans="1:8" ht="22" customHeight="1">
      <c r="A1669" s="1" t="str">
        <f>IF(AND('Loan Inputs'!$B$12,1663&lt;=IF('Loan Inputs'!$B$12,'Loan Inputs'!$B$7,0)*'Loan Inputs'!$B$14+0,ISNUMBER(G1668),G1668&gt;0),1663,"")</f>
        <v/>
      </c>
      <c r="B1669" s="4" t="str">
        <f>IF(A1669="","",IF('Loan Inputs'!$B$14=12,DATE(YEAR('Loan Inputs'!$B$8),MONTH('Loan Inputs'!$B$8)+A1669,DAY('Loan Inputs'!$B$8)),'Loan Inputs'!$B$8+A1669*IF('Loan Inputs'!$B$14=26,14,7)))</f>
        <v/>
      </c>
      <c r="C1669" s="2" t="str">
        <f t="shared" si="77"/>
        <v/>
      </c>
      <c r="D1669" s="2" t="str">
        <f>IF(A1669="","",MIN('Loan Inputs'!$B$17,C1669+E1669)+H1669)</f>
        <v/>
      </c>
      <c r="E1669" s="2" t="str">
        <f>IF(A1669="","",C1669*'Loan Inputs'!$B$15)</f>
        <v/>
      </c>
      <c r="F1669" s="2" t="str">
        <f t="shared" si="75"/>
        <v/>
      </c>
      <c r="G1669" s="2" t="str">
        <f t="shared" si="76"/>
        <v/>
      </c>
      <c r="H1669" s="2" t="str">
        <f>IF(A1669="","",MIN(0,MAX(0,C1669+E1669-'Loan Inputs'!$B$17)))</f>
        <v/>
      </c>
    </row>
    <row r="1670" spans="1:8" ht="22" customHeight="1">
      <c r="A1670" s="1" t="str">
        <f>IF(AND('Loan Inputs'!$B$12,1664&lt;=IF('Loan Inputs'!$B$12,'Loan Inputs'!$B$7,0)*'Loan Inputs'!$B$14+0,ISNUMBER(G1669),G1669&gt;0),1664,"")</f>
        <v/>
      </c>
      <c r="B1670" s="4" t="str">
        <f>IF(A1670="","",IF('Loan Inputs'!$B$14=12,DATE(YEAR('Loan Inputs'!$B$8),MONTH('Loan Inputs'!$B$8)+A1670,DAY('Loan Inputs'!$B$8)),'Loan Inputs'!$B$8+A1670*IF('Loan Inputs'!$B$14=26,14,7)))</f>
        <v/>
      </c>
      <c r="C1670" s="2" t="str">
        <f t="shared" si="77"/>
        <v/>
      </c>
      <c r="D1670" s="2" t="str">
        <f>IF(A1670="","",MIN('Loan Inputs'!$B$17,C1670+E1670)+H1670)</f>
        <v/>
      </c>
      <c r="E1670" s="2" t="str">
        <f>IF(A1670="","",C1670*'Loan Inputs'!$B$15)</f>
        <v/>
      </c>
      <c r="F1670" s="2" t="str">
        <f t="shared" si="75"/>
        <v/>
      </c>
      <c r="G1670" s="2" t="str">
        <f t="shared" si="76"/>
        <v/>
      </c>
      <c r="H1670" s="2" t="str">
        <f>IF(A1670="","",MIN(0,MAX(0,C1670+E1670-'Loan Inputs'!$B$17)))</f>
        <v/>
      </c>
    </row>
    <row r="1671" spans="1:8" ht="22" customHeight="1">
      <c r="A1671" s="1" t="str">
        <f>IF(AND('Loan Inputs'!$B$12,1665&lt;=IF('Loan Inputs'!$B$12,'Loan Inputs'!$B$7,0)*'Loan Inputs'!$B$14+0,ISNUMBER(G1670),G1670&gt;0),1665,"")</f>
        <v/>
      </c>
      <c r="B1671" s="4" t="str">
        <f>IF(A1671="","",IF('Loan Inputs'!$B$14=12,DATE(YEAR('Loan Inputs'!$B$8),MONTH('Loan Inputs'!$B$8)+A1671,DAY('Loan Inputs'!$B$8)),'Loan Inputs'!$B$8+A1671*IF('Loan Inputs'!$B$14=26,14,7)))</f>
        <v/>
      </c>
      <c r="C1671" s="2" t="str">
        <f t="shared" si="77"/>
        <v/>
      </c>
      <c r="D1671" s="2" t="str">
        <f>IF(A1671="","",MIN('Loan Inputs'!$B$17,C1671+E1671)+H1671)</f>
        <v/>
      </c>
      <c r="E1671" s="2" t="str">
        <f>IF(A1671="","",C1671*'Loan Inputs'!$B$15)</f>
        <v/>
      </c>
      <c r="F1671" s="2" t="str">
        <f t="shared" ref="F1671:F1734" si="78">IF(A1671="","",MIN(C1671,D1671-E1671))</f>
        <v/>
      </c>
      <c r="G1671" s="2" t="str">
        <f t="shared" ref="G1671:G1734" si="79">IF(A1671="","",IF(C1671-F1671&lt;0.01,0,MAX(0,C1671-F1671)))</f>
        <v/>
      </c>
      <c r="H1671" s="2" t="str">
        <f>IF(A1671="","",MIN(0,MAX(0,C1671+E1671-'Loan Inputs'!$B$17)))</f>
        <v/>
      </c>
    </row>
    <row r="1672" spans="1:8" ht="22" customHeight="1">
      <c r="A1672" s="1" t="str">
        <f>IF(AND('Loan Inputs'!$B$12,1666&lt;=IF('Loan Inputs'!$B$12,'Loan Inputs'!$B$7,0)*'Loan Inputs'!$B$14+0,ISNUMBER(G1671),G1671&gt;0),1666,"")</f>
        <v/>
      </c>
      <c r="B1672" s="4" t="str">
        <f>IF(A1672="","",IF('Loan Inputs'!$B$14=12,DATE(YEAR('Loan Inputs'!$B$8),MONTH('Loan Inputs'!$B$8)+A1672,DAY('Loan Inputs'!$B$8)),'Loan Inputs'!$B$8+A1672*IF('Loan Inputs'!$B$14=26,14,7)))</f>
        <v/>
      </c>
      <c r="C1672" s="2" t="str">
        <f t="shared" ref="C1672:C1735" si="80">IF(A1672="","",G1671)</f>
        <v/>
      </c>
      <c r="D1672" s="2" t="str">
        <f>IF(A1672="","",MIN('Loan Inputs'!$B$17,C1672+E1672)+H1672)</f>
        <v/>
      </c>
      <c r="E1672" s="2" t="str">
        <f>IF(A1672="","",C1672*'Loan Inputs'!$B$15)</f>
        <v/>
      </c>
      <c r="F1672" s="2" t="str">
        <f t="shared" si="78"/>
        <v/>
      </c>
      <c r="G1672" s="2" t="str">
        <f t="shared" si="79"/>
        <v/>
      </c>
      <c r="H1672" s="2" t="str">
        <f>IF(A1672="","",MIN(0,MAX(0,C1672+E1672-'Loan Inputs'!$B$17)))</f>
        <v/>
      </c>
    </row>
    <row r="1673" spans="1:8" ht="22" customHeight="1">
      <c r="A1673" s="1" t="str">
        <f>IF(AND('Loan Inputs'!$B$12,1667&lt;=IF('Loan Inputs'!$B$12,'Loan Inputs'!$B$7,0)*'Loan Inputs'!$B$14+0,ISNUMBER(G1672),G1672&gt;0),1667,"")</f>
        <v/>
      </c>
      <c r="B1673" s="4" t="str">
        <f>IF(A1673="","",IF('Loan Inputs'!$B$14=12,DATE(YEAR('Loan Inputs'!$B$8),MONTH('Loan Inputs'!$B$8)+A1673,DAY('Loan Inputs'!$B$8)),'Loan Inputs'!$B$8+A1673*IF('Loan Inputs'!$B$14=26,14,7)))</f>
        <v/>
      </c>
      <c r="C1673" s="2" t="str">
        <f t="shared" si="80"/>
        <v/>
      </c>
      <c r="D1673" s="2" t="str">
        <f>IF(A1673="","",MIN('Loan Inputs'!$B$17,C1673+E1673)+H1673)</f>
        <v/>
      </c>
      <c r="E1673" s="2" t="str">
        <f>IF(A1673="","",C1673*'Loan Inputs'!$B$15)</f>
        <v/>
      </c>
      <c r="F1673" s="2" t="str">
        <f t="shared" si="78"/>
        <v/>
      </c>
      <c r="G1673" s="2" t="str">
        <f t="shared" si="79"/>
        <v/>
      </c>
      <c r="H1673" s="2" t="str">
        <f>IF(A1673="","",MIN(0,MAX(0,C1673+E1673-'Loan Inputs'!$B$17)))</f>
        <v/>
      </c>
    </row>
    <row r="1674" spans="1:8" ht="22" customHeight="1">
      <c r="A1674" s="1" t="str">
        <f>IF(AND('Loan Inputs'!$B$12,1668&lt;=IF('Loan Inputs'!$B$12,'Loan Inputs'!$B$7,0)*'Loan Inputs'!$B$14+0,ISNUMBER(G1673),G1673&gt;0),1668,"")</f>
        <v/>
      </c>
      <c r="B1674" s="4" t="str">
        <f>IF(A1674="","",IF('Loan Inputs'!$B$14=12,DATE(YEAR('Loan Inputs'!$B$8),MONTH('Loan Inputs'!$B$8)+A1674,DAY('Loan Inputs'!$B$8)),'Loan Inputs'!$B$8+A1674*IF('Loan Inputs'!$B$14=26,14,7)))</f>
        <v/>
      </c>
      <c r="C1674" s="2" t="str">
        <f t="shared" si="80"/>
        <v/>
      </c>
      <c r="D1674" s="2" t="str">
        <f>IF(A1674="","",MIN('Loan Inputs'!$B$17,C1674+E1674)+H1674)</f>
        <v/>
      </c>
      <c r="E1674" s="2" t="str">
        <f>IF(A1674="","",C1674*'Loan Inputs'!$B$15)</f>
        <v/>
      </c>
      <c r="F1674" s="2" t="str">
        <f t="shared" si="78"/>
        <v/>
      </c>
      <c r="G1674" s="2" t="str">
        <f t="shared" si="79"/>
        <v/>
      </c>
      <c r="H1674" s="2" t="str">
        <f>IF(A1674="","",MIN(0,MAX(0,C1674+E1674-'Loan Inputs'!$B$17)))</f>
        <v/>
      </c>
    </row>
    <row r="1675" spans="1:8" ht="22" customHeight="1">
      <c r="A1675" s="1" t="str">
        <f>IF(AND('Loan Inputs'!$B$12,1669&lt;=IF('Loan Inputs'!$B$12,'Loan Inputs'!$B$7,0)*'Loan Inputs'!$B$14+0,ISNUMBER(G1674),G1674&gt;0),1669,"")</f>
        <v/>
      </c>
      <c r="B1675" s="4" t="str">
        <f>IF(A1675="","",IF('Loan Inputs'!$B$14=12,DATE(YEAR('Loan Inputs'!$B$8),MONTH('Loan Inputs'!$B$8)+A1675,DAY('Loan Inputs'!$B$8)),'Loan Inputs'!$B$8+A1675*IF('Loan Inputs'!$B$14=26,14,7)))</f>
        <v/>
      </c>
      <c r="C1675" s="2" t="str">
        <f t="shared" si="80"/>
        <v/>
      </c>
      <c r="D1675" s="2" t="str">
        <f>IF(A1675="","",MIN('Loan Inputs'!$B$17,C1675+E1675)+H1675)</f>
        <v/>
      </c>
      <c r="E1675" s="2" t="str">
        <f>IF(A1675="","",C1675*'Loan Inputs'!$B$15)</f>
        <v/>
      </c>
      <c r="F1675" s="2" t="str">
        <f t="shared" si="78"/>
        <v/>
      </c>
      <c r="G1675" s="2" t="str">
        <f t="shared" si="79"/>
        <v/>
      </c>
      <c r="H1675" s="2" t="str">
        <f>IF(A1675="","",MIN(0,MAX(0,C1675+E1675-'Loan Inputs'!$B$17)))</f>
        <v/>
      </c>
    </row>
    <row r="1676" spans="1:8" ht="22" customHeight="1">
      <c r="A1676" s="1" t="str">
        <f>IF(AND('Loan Inputs'!$B$12,1670&lt;=IF('Loan Inputs'!$B$12,'Loan Inputs'!$B$7,0)*'Loan Inputs'!$B$14+0,ISNUMBER(G1675),G1675&gt;0),1670,"")</f>
        <v/>
      </c>
      <c r="B1676" s="4" t="str">
        <f>IF(A1676="","",IF('Loan Inputs'!$B$14=12,DATE(YEAR('Loan Inputs'!$B$8),MONTH('Loan Inputs'!$B$8)+A1676,DAY('Loan Inputs'!$B$8)),'Loan Inputs'!$B$8+A1676*IF('Loan Inputs'!$B$14=26,14,7)))</f>
        <v/>
      </c>
      <c r="C1676" s="2" t="str">
        <f t="shared" si="80"/>
        <v/>
      </c>
      <c r="D1676" s="2" t="str">
        <f>IF(A1676="","",MIN('Loan Inputs'!$B$17,C1676+E1676)+H1676)</f>
        <v/>
      </c>
      <c r="E1676" s="2" t="str">
        <f>IF(A1676="","",C1676*'Loan Inputs'!$B$15)</f>
        <v/>
      </c>
      <c r="F1676" s="2" t="str">
        <f t="shared" si="78"/>
        <v/>
      </c>
      <c r="G1676" s="2" t="str">
        <f t="shared" si="79"/>
        <v/>
      </c>
      <c r="H1676" s="2" t="str">
        <f>IF(A1676="","",MIN(0,MAX(0,C1676+E1676-'Loan Inputs'!$B$17)))</f>
        <v/>
      </c>
    </row>
    <row r="1677" spans="1:8" ht="22" customHeight="1">
      <c r="A1677" s="1" t="str">
        <f>IF(AND('Loan Inputs'!$B$12,1671&lt;=IF('Loan Inputs'!$B$12,'Loan Inputs'!$B$7,0)*'Loan Inputs'!$B$14+0,ISNUMBER(G1676),G1676&gt;0),1671,"")</f>
        <v/>
      </c>
      <c r="B1677" s="4" t="str">
        <f>IF(A1677="","",IF('Loan Inputs'!$B$14=12,DATE(YEAR('Loan Inputs'!$B$8),MONTH('Loan Inputs'!$B$8)+A1677,DAY('Loan Inputs'!$B$8)),'Loan Inputs'!$B$8+A1677*IF('Loan Inputs'!$B$14=26,14,7)))</f>
        <v/>
      </c>
      <c r="C1677" s="2" t="str">
        <f t="shared" si="80"/>
        <v/>
      </c>
      <c r="D1677" s="2" t="str">
        <f>IF(A1677="","",MIN('Loan Inputs'!$B$17,C1677+E1677)+H1677)</f>
        <v/>
      </c>
      <c r="E1677" s="2" t="str">
        <f>IF(A1677="","",C1677*'Loan Inputs'!$B$15)</f>
        <v/>
      </c>
      <c r="F1677" s="2" t="str">
        <f t="shared" si="78"/>
        <v/>
      </c>
      <c r="G1677" s="2" t="str">
        <f t="shared" si="79"/>
        <v/>
      </c>
      <c r="H1677" s="2" t="str">
        <f>IF(A1677="","",MIN(0,MAX(0,C1677+E1677-'Loan Inputs'!$B$17)))</f>
        <v/>
      </c>
    </row>
    <row r="1678" spans="1:8" ht="22" customHeight="1">
      <c r="A1678" s="1" t="str">
        <f>IF(AND('Loan Inputs'!$B$12,1672&lt;=IF('Loan Inputs'!$B$12,'Loan Inputs'!$B$7,0)*'Loan Inputs'!$B$14+0,ISNUMBER(G1677),G1677&gt;0),1672,"")</f>
        <v/>
      </c>
      <c r="B1678" s="4" t="str">
        <f>IF(A1678="","",IF('Loan Inputs'!$B$14=12,DATE(YEAR('Loan Inputs'!$B$8),MONTH('Loan Inputs'!$B$8)+A1678,DAY('Loan Inputs'!$B$8)),'Loan Inputs'!$B$8+A1678*IF('Loan Inputs'!$B$14=26,14,7)))</f>
        <v/>
      </c>
      <c r="C1678" s="2" t="str">
        <f t="shared" si="80"/>
        <v/>
      </c>
      <c r="D1678" s="2" t="str">
        <f>IF(A1678="","",MIN('Loan Inputs'!$B$17,C1678+E1678)+H1678)</f>
        <v/>
      </c>
      <c r="E1678" s="2" t="str">
        <f>IF(A1678="","",C1678*'Loan Inputs'!$B$15)</f>
        <v/>
      </c>
      <c r="F1678" s="2" t="str">
        <f t="shared" si="78"/>
        <v/>
      </c>
      <c r="G1678" s="2" t="str">
        <f t="shared" si="79"/>
        <v/>
      </c>
      <c r="H1678" s="2" t="str">
        <f>IF(A1678="","",MIN(0,MAX(0,C1678+E1678-'Loan Inputs'!$B$17)))</f>
        <v/>
      </c>
    </row>
    <row r="1679" spans="1:8" ht="22" customHeight="1">
      <c r="A1679" s="1" t="str">
        <f>IF(AND('Loan Inputs'!$B$12,1673&lt;=IF('Loan Inputs'!$B$12,'Loan Inputs'!$B$7,0)*'Loan Inputs'!$B$14+0,ISNUMBER(G1678),G1678&gt;0),1673,"")</f>
        <v/>
      </c>
      <c r="B1679" s="4" t="str">
        <f>IF(A1679="","",IF('Loan Inputs'!$B$14=12,DATE(YEAR('Loan Inputs'!$B$8),MONTH('Loan Inputs'!$B$8)+A1679,DAY('Loan Inputs'!$B$8)),'Loan Inputs'!$B$8+A1679*IF('Loan Inputs'!$B$14=26,14,7)))</f>
        <v/>
      </c>
      <c r="C1679" s="2" t="str">
        <f t="shared" si="80"/>
        <v/>
      </c>
      <c r="D1679" s="2" t="str">
        <f>IF(A1679="","",MIN('Loan Inputs'!$B$17,C1679+E1679)+H1679)</f>
        <v/>
      </c>
      <c r="E1679" s="2" t="str">
        <f>IF(A1679="","",C1679*'Loan Inputs'!$B$15)</f>
        <v/>
      </c>
      <c r="F1679" s="2" t="str">
        <f t="shared" si="78"/>
        <v/>
      </c>
      <c r="G1679" s="2" t="str">
        <f t="shared" si="79"/>
        <v/>
      </c>
      <c r="H1679" s="2" t="str">
        <f>IF(A1679="","",MIN(0,MAX(0,C1679+E1679-'Loan Inputs'!$B$17)))</f>
        <v/>
      </c>
    </row>
    <row r="1680" spans="1:8" ht="22" customHeight="1">
      <c r="A1680" s="1" t="str">
        <f>IF(AND('Loan Inputs'!$B$12,1674&lt;=IF('Loan Inputs'!$B$12,'Loan Inputs'!$B$7,0)*'Loan Inputs'!$B$14+0,ISNUMBER(G1679),G1679&gt;0),1674,"")</f>
        <v/>
      </c>
      <c r="B1680" s="4" t="str">
        <f>IF(A1680="","",IF('Loan Inputs'!$B$14=12,DATE(YEAR('Loan Inputs'!$B$8),MONTH('Loan Inputs'!$B$8)+A1680,DAY('Loan Inputs'!$B$8)),'Loan Inputs'!$B$8+A1680*IF('Loan Inputs'!$B$14=26,14,7)))</f>
        <v/>
      </c>
      <c r="C1680" s="2" t="str">
        <f t="shared" si="80"/>
        <v/>
      </c>
      <c r="D1680" s="2" t="str">
        <f>IF(A1680="","",MIN('Loan Inputs'!$B$17,C1680+E1680)+H1680)</f>
        <v/>
      </c>
      <c r="E1680" s="2" t="str">
        <f>IF(A1680="","",C1680*'Loan Inputs'!$B$15)</f>
        <v/>
      </c>
      <c r="F1680" s="2" t="str">
        <f t="shared" si="78"/>
        <v/>
      </c>
      <c r="G1680" s="2" t="str">
        <f t="shared" si="79"/>
        <v/>
      </c>
      <c r="H1680" s="2" t="str">
        <f>IF(A1680="","",MIN(0,MAX(0,C1680+E1680-'Loan Inputs'!$B$17)))</f>
        <v/>
      </c>
    </row>
    <row r="1681" spans="1:8" ht="22" customHeight="1">
      <c r="A1681" s="1" t="str">
        <f>IF(AND('Loan Inputs'!$B$12,1675&lt;=IF('Loan Inputs'!$B$12,'Loan Inputs'!$B$7,0)*'Loan Inputs'!$B$14+0,ISNUMBER(G1680),G1680&gt;0),1675,"")</f>
        <v/>
      </c>
      <c r="B1681" s="4" t="str">
        <f>IF(A1681="","",IF('Loan Inputs'!$B$14=12,DATE(YEAR('Loan Inputs'!$B$8),MONTH('Loan Inputs'!$B$8)+A1681,DAY('Loan Inputs'!$B$8)),'Loan Inputs'!$B$8+A1681*IF('Loan Inputs'!$B$14=26,14,7)))</f>
        <v/>
      </c>
      <c r="C1681" s="2" t="str">
        <f t="shared" si="80"/>
        <v/>
      </c>
      <c r="D1681" s="2" t="str">
        <f>IF(A1681="","",MIN('Loan Inputs'!$B$17,C1681+E1681)+H1681)</f>
        <v/>
      </c>
      <c r="E1681" s="2" t="str">
        <f>IF(A1681="","",C1681*'Loan Inputs'!$B$15)</f>
        <v/>
      </c>
      <c r="F1681" s="2" t="str">
        <f t="shared" si="78"/>
        <v/>
      </c>
      <c r="G1681" s="2" t="str">
        <f t="shared" si="79"/>
        <v/>
      </c>
      <c r="H1681" s="2" t="str">
        <f>IF(A1681="","",MIN(0,MAX(0,C1681+E1681-'Loan Inputs'!$B$17)))</f>
        <v/>
      </c>
    </row>
    <row r="1682" spans="1:8" ht="22" customHeight="1">
      <c r="A1682" s="1" t="str">
        <f>IF(AND('Loan Inputs'!$B$12,1676&lt;=IF('Loan Inputs'!$B$12,'Loan Inputs'!$B$7,0)*'Loan Inputs'!$B$14+0,ISNUMBER(G1681),G1681&gt;0),1676,"")</f>
        <v/>
      </c>
      <c r="B1682" s="4" t="str">
        <f>IF(A1682="","",IF('Loan Inputs'!$B$14=12,DATE(YEAR('Loan Inputs'!$B$8),MONTH('Loan Inputs'!$B$8)+A1682,DAY('Loan Inputs'!$B$8)),'Loan Inputs'!$B$8+A1682*IF('Loan Inputs'!$B$14=26,14,7)))</f>
        <v/>
      </c>
      <c r="C1682" s="2" t="str">
        <f t="shared" si="80"/>
        <v/>
      </c>
      <c r="D1682" s="2" t="str">
        <f>IF(A1682="","",MIN('Loan Inputs'!$B$17,C1682+E1682)+H1682)</f>
        <v/>
      </c>
      <c r="E1682" s="2" t="str">
        <f>IF(A1682="","",C1682*'Loan Inputs'!$B$15)</f>
        <v/>
      </c>
      <c r="F1682" s="2" t="str">
        <f t="shared" si="78"/>
        <v/>
      </c>
      <c r="G1682" s="2" t="str">
        <f t="shared" si="79"/>
        <v/>
      </c>
      <c r="H1682" s="2" t="str">
        <f>IF(A1682="","",MIN(0,MAX(0,C1682+E1682-'Loan Inputs'!$B$17)))</f>
        <v/>
      </c>
    </row>
    <row r="1683" spans="1:8" ht="22" customHeight="1">
      <c r="A1683" s="1" t="str">
        <f>IF(AND('Loan Inputs'!$B$12,1677&lt;=IF('Loan Inputs'!$B$12,'Loan Inputs'!$B$7,0)*'Loan Inputs'!$B$14+0,ISNUMBER(G1682),G1682&gt;0),1677,"")</f>
        <v/>
      </c>
      <c r="B1683" s="4" t="str">
        <f>IF(A1683="","",IF('Loan Inputs'!$B$14=12,DATE(YEAR('Loan Inputs'!$B$8),MONTH('Loan Inputs'!$B$8)+A1683,DAY('Loan Inputs'!$B$8)),'Loan Inputs'!$B$8+A1683*IF('Loan Inputs'!$B$14=26,14,7)))</f>
        <v/>
      </c>
      <c r="C1683" s="2" t="str">
        <f t="shared" si="80"/>
        <v/>
      </c>
      <c r="D1683" s="2" t="str">
        <f>IF(A1683="","",MIN('Loan Inputs'!$B$17,C1683+E1683)+H1683)</f>
        <v/>
      </c>
      <c r="E1683" s="2" t="str">
        <f>IF(A1683="","",C1683*'Loan Inputs'!$B$15)</f>
        <v/>
      </c>
      <c r="F1683" s="2" t="str">
        <f t="shared" si="78"/>
        <v/>
      </c>
      <c r="G1683" s="2" t="str">
        <f t="shared" si="79"/>
        <v/>
      </c>
      <c r="H1683" s="2" t="str">
        <f>IF(A1683="","",MIN(0,MAX(0,C1683+E1683-'Loan Inputs'!$B$17)))</f>
        <v/>
      </c>
    </row>
    <row r="1684" spans="1:8" ht="22" customHeight="1">
      <c r="A1684" s="1" t="str">
        <f>IF(AND('Loan Inputs'!$B$12,1678&lt;=IF('Loan Inputs'!$B$12,'Loan Inputs'!$B$7,0)*'Loan Inputs'!$B$14+0,ISNUMBER(G1683),G1683&gt;0),1678,"")</f>
        <v/>
      </c>
      <c r="B1684" s="4" t="str">
        <f>IF(A1684="","",IF('Loan Inputs'!$B$14=12,DATE(YEAR('Loan Inputs'!$B$8),MONTH('Loan Inputs'!$B$8)+A1684,DAY('Loan Inputs'!$B$8)),'Loan Inputs'!$B$8+A1684*IF('Loan Inputs'!$B$14=26,14,7)))</f>
        <v/>
      </c>
      <c r="C1684" s="2" t="str">
        <f t="shared" si="80"/>
        <v/>
      </c>
      <c r="D1684" s="2" t="str">
        <f>IF(A1684="","",MIN('Loan Inputs'!$B$17,C1684+E1684)+H1684)</f>
        <v/>
      </c>
      <c r="E1684" s="2" t="str">
        <f>IF(A1684="","",C1684*'Loan Inputs'!$B$15)</f>
        <v/>
      </c>
      <c r="F1684" s="2" t="str">
        <f t="shared" si="78"/>
        <v/>
      </c>
      <c r="G1684" s="2" t="str">
        <f t="shared" si="79"/>
        <v/>
      </c>
      <c r="H1684" s="2" t="str">
        <f>IF(A1684="","",MIN(0,MAX(0,C1684+E1684-'Loan Inputs'!$B$17)))</f>
        <v/>
      </c>
    </row>
    <row r="1685" spans="1:8" ht="22" customHeight="1">
      <c r="A1685" s="1" t="str">
        <f>IF(AND('Loan Inputs'!$B$12,1679&lt;=IF('Loan Inputs'!$B$12,'Loan Inputs'!$B$7,0)*'Loan Inputs'!$B$14+0,ISNUMBER(G1684),G1684&gt;0),1679,"")</f>
        <v/>
      </c>
      <c r="B1685" s="4" t="str">
        <f>IF(A1685="","",IF('Loan Inputs'!$B$14=12,DATE(YEAR('Loan Inputs'!$B$8),MONTH('Loan Inputs'!$B$8)+A1685,DAY('Loan Inputs'!$B$8)),'Loan Inputs'!$B$8+A1685*IF('Loan Inputs'!$B$14=26,14,7)))</f>
        <v/>
      </c>
      <c r="C1685" s="2" t="str">
        <f t="shared" si="80"/>
        <v/>
      </c>
      <c r="D1685" s="2" t="str">
        <f>IF(A1685="","",MIN('Loan Inputs'!$B$17,C1685+E1685)+H1685)</f>
        <v/>
      </c>
      <c r="E1685" s="2" t="str">
        <f>IF(A1685="","",C1685*'Loan Inputs'!$B$15)</f>
        <v/>
      </c>
      <c r="F1685" s="2" t="str">
        <f t="shared" si="78"/>
        <v/>
      </c>
      <c r="G1685" s="2" t="str">
        <f t="shared" si="79"/>
        <v/>
      </c>
      <c r="H1685" s="2" t="str">
        <f>IF(A1685="","",MIN(0,MAX(0,C1685+E1685-'Loan Inputs'!$B$17)))</f>
        <v/>
      </c>
    </row>
    <row r="1686" spans="1:8" ht="22" customHeight="1">
      <c r="A1686" s="1" t="str">
        <f>IF(AND('Loan Inputs'!$B$12,1680&lt;=IF('Loan Inputs'!$B$12,'Loan Inputs'!$B$7,0)*'Loan Inputs'!$B$14+0,ISNUMBER(G1685),G1685&gt;0),1680,"")</f>
        <v/>
      </c>
      <c r="B1686" s="4" t="str">
        <f>IF(A1686="","",IF('Loan Inputs'!$B$14=12,DATE(YEAR('Loan Inputs'!$B$8),MONTH('Loan Inputs'!$B$8)+A1686,DAY('Loan Inputs'!$B$8)),'Loan Inputs'!$B$8+A1686*IF('Loan Inputs'!$B$14=26,14,7)))</f>
        <v/>
      </c>
      <c r="C1686" s="2" t="str">
        <f t="shared" si="80"/>
        <v/>
      </c>
      <c r="D1686" s="2" t="str">
        <f>IF(A1686="","",MIN('Loan Inputs'!$B$17,C1686+E1686)+H1686)</f>
        <v/>
      </c>
      <c r="E1686" s="2" t="str">
        <f>IF(A1686="","",C1686*'Loan Inputs'!$B$15)</f>
        <v/>
      </c>
      <c r="F1686" s="2" t="str">
        <f t="shared" si="78"/>
        <v/>
      </c>
      <c r="G1686" s="2" t="str">
        <f t="shared" si="79"/>
        <v/>
      </c>
      <c r="H1686" s="2" t="str">
        <f>IF(A1686="","",MIN(0,MAX(0,C1686+E1686-'Loan Inputs'!$B$17)))</f>
        <v/>
      </c>
    </row>
    <row r="1687" spans="1:8" ht="22" customHeight="1">
      <c r="A1687" s="1" t="str">
        <f>IF(AND('Loan Inputs'!$B$12,1681&lt;=IF('Loan Inputs'!$B$12,'Loan Inputs'!$B$7,0)*'Loan Inputs'!$B$14+0,ISNUMBER(G1686),G1686&gt;0),1681,"")</f>
        <v/>
      </c>
      <c r="B1687" s="4" t="str">
        <f>IF(A1687="","",IF('Loan Inputs'!$B$14=12,DATE(YEAR('Loan Inputs'!$B$8),MONTH('Loan Inputs'!$B$8)+A1687,DAY('Loan Inputs'!$B$8)),'Loan Inputs'!$B$8+A1687*IF('Loan Inputs'!$B$14=26,14,7)))</f>
        <v/>
      </c>
      <c r="C1687" s="2" t="str">
        <f t="shared" si="80"/>
        <v/>
      </c>
      <c r="D1687" s="2" t="str">
        <f>IF(A1687="","",MIN('Loan Inputs'!$B$17,C1687+E1687)+H1687)</f>
        <v/>
      </c>
      <c r="E1687" s="2" t="str">
        <f>IF(A1687="","",C1687*'Loan Inputs'!$B$15)</f>
        <v/>
      </c>
      <c r="F1687" s="2" t="str">
        <f t="shared" si="78"/>
        <v/>
      </c>
      <c r="G1687" s="2" t="str">
        <f t="shared" si="79"/>
        <v/>
      </c>
      <c r="H1687" s="2" t="str">
        <f>IF(A1687="","",MIN(0,MAX(0,C1687+E1687-'Loan Inputs'!$B$17)))</f>
        <v/>
      </c>
    </row>
    <row r="1688" spans="1:8" ht="22" customHeight="1">
      <c r="A1688" s="1" t="str">
        <f>IF(AND('Loan Inputs'!$B$12,1682&lt;=IF('Loan Inputs'!$B$12,'Loan Inputs'!$B$7,0)*'Loan Inputs'!$B$14+0,ISNUMBER(G1687),G1687&gt;0),1682,"")</f>
        <v/>
      </c>
      <c r="B1688" s="4" t="str">
        <f>IF(A1688="","",IF('Loan Inputs'!$B$14=12,DATE(YEAR('Loan Inputs'!$B$8),MONTH('Loan Inputs'!$B$8)+A1688,DAY('Loan Inputs'!$B$8)),'Loan Inputs'!$B$8+A1688*IF('Loan Inputs'!$B$14=26,14,7)))</f>
        <v/>
      </c>
      <c r="C1688" s="2" t="str">
        <f t="shared" si="80"/>
        <v/>
      </c>
      <c r="D1688" s="2" t="str">
        <f>IF(A1688="","",MIN('Loan Inputs'!$B$17,C1688+E1688)+H1688)</f>
        <v/>
      </c>
      <c r="E1688" s="2" t="str">
        <f>IF(A1688="","",C1688*'Loan Inputs'!$B$15)</f>
        <v/>
      </c>
      <c r="F1688" s="2" t="str">
        <f t="shared" si="78"/>
        <v/>
      </c>
      <c r="G1688" s="2" t="str">
        <f t="shared" si="79"/>
        <v/>
      </c>
      <c r="H1688" s="2" t="str">
        <f>IF(A1688="","",MIN(0,MAX(0,C1688+E1688-'Loan Inputs'!$B$17)))</f>
        <v/>
      </c>
    </row>
    <row r="1689" spans="1:8" ht="22" customHeight="1">
      <c r="A1689" s="1" t="str">
        <f>IF(AND('Loan Inputs'!$B$12,1683&lt;=IF('Loan Inputs'!$B$12,'Loan Inputs'!$B$7,0)*'Loan Inputs'!$B$14+0,ISNUMBER(G1688),G1688&gt;0),1683,"")</f>
        <v/>
      </c>
      <c r="B1689" s="4" t="str">
        <f>IF(A1689="","",IF('Loan Inputs'!$B$14=12,DATE(YEAR('Loan Inputs'!$B$8),MONTH('Loan Inputs'!$B$8)+A1689,DAY('Loan Inputs'!$B$8)),'Loan Inputs'!$B$8+A1689*IF('Loan Inputs'!$B$14=26,14,7)))</f>
        <v/>
      </c>
      <c r="C1689" s="2" t="str">
        <f t="shared" si="80"/>
        <v/>
      </c>
      <c r="D1689" s="2" t="str">
        <f>IF(A1689="","",MIN('Loan Inputs'!$B$17,C1689+E1689)+H1689)</f>
        <v/>
      </c>
      <c r="E1689" s="2" t="str">
        <f>IF(A1689="","",C1689*'Loan Inputs'!$B$15)</f>
        <v/>
      </c>
      <c r="F1689" s="2" t="str">
        <f t="shared" si="78"/>
        <v/>
      </c>
      <c r="G1689" s="2" t="str">
        <f t="shared" si="79"/>
        <v/>
      </c>
      <c r="H1689" s="2" t="str">
        <f>IF(A1689="","",MIN(0,MAX(0,C1689+E1689-'Loan Inputs'!$B$17)))</f>
        <v/>
      </c>
    </row>
    <row r="1690" spans="1:8" ht="22" customHeight="1">
      <c r="A1690" s="1" t="str">
        <f>IF(AND('Loan Inputs'!$B$12,1684&lt;=IF('Loan Inputs'!$B$12,'Loan Inputs'!$B$7,0)*'Loan Inputs'!$B$14+0,ISNUMBER(G1689),G1689&gt;0),1684,"")</f>
        <v/>
      </c>
      <c r="B1690" s="4" t="str">
        <f>IF(A1690="","",IF('Loan Inputs'!$B$14=12,DATE(YEAR('Loan Inputs'!$B$8),MONTH('Loan Inputs'!$B$8)+A1690,DAY('Loan Inputs'!$B$8)),'Loan Inputs'!$B$8+A1690*IF('Loan Inputs'!$B$14=26,14,7)))</f>
        <v/>
      </c>
      <c r="C1690" s="2" t="str">
        <f t="shared" si="80"/>
        <v/>
      </c>
      <c r="D1690" s="2" t="str">
        <f>IF(A1690="","",MIN('Loan Inputs'!$B$17,C1690+E1690)+H1690)</f>
        <v/>
      </c>
      <c r="E1690" s="2" t="str">
        <f>IF(A1690="","",C1690*'Loan Inputs'!$B$15)</f>
        <v/>
      </c>
      <c r="F1690" s="2" t="str">
        <f t="shared" si="78"/>
        <v/>
      </c>
      <c r="G1690" s="2" t="str">
        <f t="shared" si="79"/>
        <v/>
      </c>
      <c r="H1690" s="2" t="str">
        <f>IF(A1690="","",MIN(0,MAX(0,C1690+E1690-'Loan Inputs'!$B$17)))</f>
        <v/>
      </c>
    </row>
    <row r="1691" spans="1:8" ht="22" customHeight="1">
      <c r="A1691" s="1" t="str">
        <f>IF(AND('Loan Inputs'!$B$12,1685&lt;=IF('Loan Inputs'!$B$12,'Loan Inputs'!$B$7,0)*'Loan Inputs'!$B$14+0,ISNUMBER(G1690),G1690&gt;0),1685,"")</f>
        <v/>
      </c>
      <c r="B1691" s="4" t="str">
        <f>IF(A1691="","",IF('Loan Inputs'!$B$14=12,DATE(YEAR('Loan Inputs'!$B$8),MONTH('Loan Inputs'!$B$8)+A1691,DAY('Loan Inputs'!$B$8)),'Loan Inputs'!$B$8+A1691*IF('Loan Inputs'!$B$14=26,14,7)))</f>
        <v/>
      </c>
      <c r="C1691" s="2" t="str">
        <f t="shared" si="80"/>
        <v/>
      </c>
      <c r="D1691" s="2" t="str">
        <f>IF(A1691="","",MIN('Loan Inputs'!$B$17,C1691+E1691)+H1691)</f>
        <v/>
      </c>
      <c r="E1691" s="2" t="str">
        <f>IF(A1691="","",C1691*'Loan Inputs'!$B$15)</f>
        <v/>
      </c>
      <c r="F1691" s="2" t="str">
        <f t="shared" si="78"/>
        <v/>
      </c>
      <c r="G1691" s="2" t="str">
        <f t="shared" si="79"/>
        <v/>
      </c>
      <c r="H1691" s="2" t="str">
        <f>IF(A1691="","",MIN(0,MAX(0,C1691+E1691-'Loan Inputs'!$B$17)))</f>
        <v/>
      </c>
    </row>
    <row r="1692" spans="1:8" ht="22" customHeight="1">
      <c r="A1692" s="1" t="str">
        <f>IF(AND('Loan Inputs'!$B$12,1686&lt;=IF('Loan Inputs'!$B$12,'Loan Inputs'!$B$7,0)*'Loan Inputs'!$B$14+0,ISNUMBER(G1691),G1691&gt;0),1686,"")</f>
        <v/>
      </c>
      <c r="B1692" s="4" t="str">
        <f>IF(A1692="","",IF('Loan Inputs'!$B$14=12,DATE(YEAR('Loan Inputs'!$B$8),MONTH('Loan Inputs'!$B$8)+A1692,DAY('Loan Inputs'!$B$8)),'Loan Inputs'!$B$8+A1692*IF('Loan Inputs'!$B$14=26,14,7)))</f>
        <v/>
      </c>
      <c r="C1692" s="2" t="str">
        <f t="shared" si="80"/>
        <v/>
      </c>
      <c r="D1692" s="2" t="str">
        <f>IF(A1692="","",MIN('Loan Inputs'!$B$17,C1692+E1692)+H1692)</f>
        <v/>
      </c>
      <c r="E1692" s="2" t="str">
        <f>IF(A1692="","",C1692*'Loan Inputs'!$B$15)</f>
        <v/>
      </c>
      <c r="F1692" s="2" t="str">
        <f t="shared" si="78"/>
        <v/>
      </c>
      <c r="G1692" s="2" t="str">
        <f t="shared" si="79"/>
        <v/>
      </c>
      <c r="H1692" s="2" t="str">
        <f>IF(A1692="","",MIN(0,MAX(0,C1692+E1692-'Loan Inputs'!$B$17)))</f>
        <v/>
      </c>
    </row>
    <row r="1693" spans="1:8" ht="22" customHeight="1">
      <c r="A1693" s="1" t="str">
        <f>IF(AND('Loan Inputs'!$B$12,1687&lt;=IF('Loan Inputs'!$B$12,'Loan Inputs'!$B$7,0)*'Loan Inputs'!$B$14+0,ISNUMBER(G1692),G1692&gt;0),1687,"")</f>
        <v/>
      </c>
      <c r="B1693" s="4" t="str">
        <f>IF(A1693="","",IF('Loan Inputs'!$B$14=12,DATE(YEAR('Loan Inputs'!$B$8),MONTH('Loan Inputs'!$B$8)+A1693,DAY('Loan Inputs'!$B$8)),'Loan Inputs'!$B$8+A1693*IF('Loan Inputs'!$B$14=26,14,7)))</f>
        <v/>
      </c>
      <c r="C1693" s="2" t="str">
        <f t="shared" si="80"/>
        <v/>
      </c>
      <c r="D1693" s="2" t="str">
        <f>IF(A1693="","",MIN('Loan Inputs'!$B$17,C1693+E1693)+H1693)</f>
        <v/>
      </c>
      <c r="E1693" s="2" t="str">
        <f>IF(A1693="","",C1693*'Loan Inputs'!$B$15)</f>
        <v/>
      </c>
      <c r="F1693" s="2" t="str">
        <f t="shared" si="78"/>
        <v/>
      </c>
      <c r="G1693" s="2" t="str">
        <f t="shared" si="79"/>
        <v/>
      </c>
      <c r="H1693" s="2" t="str">
        <f>IF(A1693="","",MIN(0,MAX(0,C1693+E1693-'Loan Inputs'!$B$17)))</f>
        <v/>
      </c>
    </row>
    <row r="1694" spans="1:8" ht="22" customHeight="1">
      <c r="A1694" s="1" t="str">
        <f>IF(AND('Loan Inputs'!$B$12,1688&lt;=IF('Loan Inputs'!$B$12,'Loan Inputs'!$B$7,0)*'Loan Inputs'!$B$14+0,ISNUMBER(G1693),G1693&gt;0),1688,"")</f>
        <v/>
      </c>
      <c r="B1694" s="4" t="str">
        <f>IF(A1694="","",IF('Loan Inputs'!$B$14=12,DATE(YEAR('Loan Inputs'!$B$8),MONTH('Loan Inputs'!$B$8)+A1694,DAY('Loan Inputs'!$B$8)),'Loan Inputs'!$B$8+A1694*IF('Loan Inputs'!$B$14=26,14,7)))</f>
        <v/>
      </c>
      <c r="C1694" s="2" t="str">
        <f t="shared" si="80"/>
        <v/>
      </c>
      <c r="D1694" s="2" t="str">
        <f>IF(A1694="","",MIN('Loan Inputs'!$B$17,C1694+E1694)+H1694)</f>
        <v/>
      </c>
      <c r="E1694" s="2" t="str">
        <f>IF(A1694="","",C1694*'Loan Inputs'!$B$15)</f>
        <v/>
      </c>
      <c r="F1694" s="2" t="str">
        <f t="shared" si="78"/>
        <v/>
      </c>
      <c r="G1694" s="2" t="str">
        <f t="shared" si="79"/>
        <v/>
      </c>
      <c r="H1694" s="2" t="str">
        <f>IF(A1694="","",MIN(0,MAX(0,C1694+E1694-'Loan Inputs'!$B$17)))</f>
        <v/>
      </c>
    </row>
    <row r="1695" spans="1:8" ht="22" customHeight="1">
      <c r="A1695" s="1" t="str">
        <f>IF(AND('Loan Inputs'!$B$12,1689&lt;=IF('Loan Inputs'!$B$12,'Loan Inputs'!$B$7,0)*'Loan Inputs'!$B$14+0,ISNUMBER(G1694),G1694&gt;0),1689,"")</f>
        <v/>
      </c>
      <c r="B1695" s="4" t="str">
        <f>IF(A1695="","",IF('Loan Inputs'!$B$14=12,DATE(YEAR('Loan Inputs'!$B$8),MONTH('Loan Inputs'!$B$8)+A1695,DAY('Loan Inputs'!$B$8)),'Loan Inputs'!$B$8+A1695*IF('Loan Inputs'!$B$14=26,14,7)))</f>
        <v/>
      </c>
      <c r="C1695" s="2" t="str">
        <f t="shared" si="80"/>
        <v/>
      </c>
      <c r="D1695" s="2" t="str">
        <f>IF(A1695="","",MIN('Loan Inputs'!$B$17,C1695+E1695)+H1695)</f>
        <v/>
      </c>
      <c r="E1695" s="2" t="str">
        <f>IF(A1695="","",C1695*'Loan Inputs'!$B$15)</f>
        <v/>
      </c>
      <c r="F1695" s="2" t="str">
        <f t="shared" si="78"/>
        <v/>
      </c>
      <c r="G1695" s="2" t="str">
        <f t="shared" si="79"/>
        <v/>
      </c>
      <c r="H1695" s="2" t="str">
        <f>IF(A1695="","",MIN(0,MAX(0,C1695+E1695-'Loan Inputs'!$B$17)))</f>
        <v/>
      </c>
    </row>
    <row r="1696" spans="1:8" ht="22" customHeight="1">
      <c r="A1696" s="1" t="str">
        <f>IF(AND('Loan Inputs'!$B$12,1690&lt;=IF('Loan Inputs'!$B$12,'Loan Inputs'!$B$7,0)*'Loan Inputs'!$B$14+0,ISNUMBER(G1695),G1695&gt;0),1690,"")</f>
        <v/>
      </c>
      <c r="B1696" s="4" t="str">
        <f>IF(A1696="","",IF('Loan Inputs'!$B$14=12,DATE(YEAR('Loan Inputs'!$B$8),MONTH('Loan Inputs'!$B$8)+A1696,DAY('Loan Inputs'!$B$8)),'Loan Inputs'!$B$8+A1696*IF('Loan Inputs'!$B$14=26,14,7)))</f>
        <v/>
      </c>
      <c r="C1696" s="2" t="str">
        <f t="shared" si="80"/>
        <v/>
      </c>
      <c r="D1696" s="2" t="str">
        <f>IF(A1696="","",MIN('Loan Inputs'!$B$17,C1696+E1696)+H1696)</f>
        <v/>
      </c>
      <c r="E1696" s="2" t="str">
        <f>IF(A1696="","",C1696*'Loan Inputs'!$B$15)</f>
        <v/>
      </c>
      <c r="F1696" s="2" t="str">
        <f t="shared" si="78"/>
        <v/>
      </c>
      <c r="G1696" s="2" t="str">
        <f t="shared" si="79"/>
        <v/>
      </c>
      <c r="H1696" s="2" t="str">
        <f>IF(A1696="","",MIN(0,MAX(0,C1696+E1696-'Loan Inputs'!$B$17)))</f>
        <v/>
      </c>
    </row>
    <row r="1697" spans="1:8" ht="22" customHeight="1">
      <c r="A1697" s="1" t="str">
        <f>IF(AND('Loan Inputs'!$B$12,1691&lt;=IF('Loan Inputs'!$B$12,'Loan Inputs'!$B$7,0)*'Loan Inputs'!$B$14+0,ISNUMBER(G1696),G1696&gt;0),1691,"")</f>
        <v/>
      </c>
      <c r="B1697" s="4" t="str">
        <f>IF(A1697="","",IF('Loan Inputs'!$B$14=12,DATE(YEAR('Loan Inputs'!$B$8),MONTH('Loan Inputs'!$B$8)+A1697,DAY('Loan Inputs'!$B$8)),'Loan Inputs'!$B$8+A1697*IF('Loan Inputs'!$B$14=26,14,7)))</f>
        <v/>
      </c>
      <c r="C1697" s="2" t="str">
        <f t="shared" si="80"/>
        <v/>
      </c>
      <c r="D1697" s="2" t="str">
        <f>IF(A1697="","",MIN('Loan Inputs'!$B$17,C1697+E1697)+H1697)</f>
        <v/>
      </c>
      <c r="E1697" s="2" t="str">
        <f>IF(A1697="","",C1697*'Loan Inputs'!$B$15)</f>
        <v/>
      </c>
      <c r="F1697" s="2" t="str">
        <f t="shared" si="78"/>
        <v/>
      </c>
      <c r="G1697" s="2" t="str">
        <f t="shared" si="79"/>
        <v/>
      </c>
      <c r="H1697" s="2" t="str">
        <f>IF(A1697="","",MIN(0,MAX(0,C1697+E1697-'Loan Inputs'!$B$17)))</f>
        <v/>
      </c>
    </row>
    <row r="1698" spans="1:8" ht="22" customHeight="1">
      <c r="A1698" s="1" t="str">
        <f>IF(AND('Loan Inputs'!$B$12,1692&lt;=IF('Loan Inputs'!$B$12,'Loan Inputs'!$B$7,0)*'Loan Inputs'!$B$14+0,ISNUMBER(G1697),G1697&gt;0),1692,"")</f>
        <v/>
      </c>
      <c r="B1698" s="4" t="str">
        <f>IF(A1698="","",IF('Loan Inputs'!$B$14=12,DATE(YEAR('Loan Inputs'!$B$8),MONTH('Loan Inputs'!$B$8)+A1698,DAY('Loan Inputs'!$B$8)),'Loan Inputs'!$B$8+A1698*IF('Loan Inputs'!$B$14=26,14,7)))</f>
        <v/>
      </c>
      <c r="C1698" s="2" t="str">
        <f t="shared" si="80"/>
        <v/>
      </c>
      <c r="D1698" s="2" t="str">
        <f>IF(A1698="","",MIN('Loan Inputs'!$B$17,C1698+E1698)+H1698)</f>
        <v/>
      </c>
      <c r="E1698" s="2" t="str">
        <f>IF(A1698="","",C1698*'Loan Inputs'!$B$15)</f>
        <v/>
      </c>
      <c r="F1698" s="2" t="str">
        <f t="shared" si="78"/>
        <v/>
      </c>
      <c r="G1698" s="2" t="str">
        <f t="shared" si="79"/>
        <v/>
      </c>
      <c r="H1698" s="2" t="str">
        <f>IF(A1698="","",MIN(0,MAX(0,C1698+E1698-'Loan Inputs'!$B$17)))</f>
        <v/>
      </c>
    </row>
    <row r="1699" spans="1:8" ht="22" customHeight="1">
      <c r="A1699" s="1" t="str">
        <f>IF(AND('Loan Inputs'!$B$12,1693&lt;=IF('Loan Inputs'!$B$12,'Loan Inputs'!$B$7,0)*'Loan Inputs'!$B$14+0,ISNUMBER(G1698),G1698&gt;0),1693,"")</f>
        <v/>
      </c>
      <c r="B1699" s="4" t="str">
        <f>IF(A1699="","",IF('Loan Inputs'!$B$14=12,DATE(YEAR('Loan Inputs'!$B$8),MONTH('Loan Inputs'!$B$8)+A1699,DAY('Loan Inputs'!$B$8)),'Loan Inputs'!$B$8+A1699*IF('Loan Inputs'!$B$14=26,14,7)))</f>
        <v/>
      </c>
      <c r="C1699" s="2" t="str">
        <f t="shared" si="80"/>
        <v/>
      </c>
      <c r="D1699" s="2" t="str">
        <f>IF(A1699="","",MIN('Loan Inputs'!$B$17,C1699+E1699)+H1699)</f>
        <v/>
      </c>
      <c r="E1699" s="2" t="str">
        <f>IF(A1699="","",C1699*'Loan Inputs'!$B$15)</f>
        <v/>
      </c>
      <c r="F1699" s="2" t="str">
        <f t="shared" si="78"/>
        <v/>
      </c>
      <c r="G1699" s="2" t="str">
        <f t="shared" si="79"/>
        <v/>
      </c>
      <c r="H1699" s="2" t="str">
        <f>IF(A1699="","",MIN(0,MAX(0,C1699+E1699-'Loan Inputs'!$B$17)))</f>
        <v/>
      </c>
    </row>
    <row r="1700" spans="1:8" ht="22" customHeight="1">
      <c r="A1700" s="1" t="str">
        <f>IF(AND('Loan Inputs'!$B$12,1694&lt;=IF('Loan Inputs'!$B$12,'Loan Inputs'!$B$7,0)*'Loan Inputs'!$B$14+0,ISNUMBER(G1699),G1699&gt;0),1694,"")</f>
        <v/>
      </c>
      <c r="B1700" s="4" t="str">
        <f>IF(A1700="","",IF('Loan Inputs'!$B$14=12,DATE(YEAR('Loan Inputs'!$B$8),MONTH('Loan Inputs'!$B$8)+A1700,DAY('Loan Inputs'!$B$8)),'Loan Inputs'!$B$8+A1700*IF('Loan Inputs'!$B$14=26,14,7)))</f>
        <v/>
      </c>
      <c r="C1700" s="2" t="str">
        <f t="shared" si="80"/>
        <v/>
      </c>
      <c r="D1700" s="2" t="str">
        <f>IF(A1700="","",MIN('Loan Inputs'!$B$17,C1700+E1700)+H1700)</f>
        <v/>
      </c>
      <c r="E1700" s="2" t="str">
        <f>IF(A1700="","",C1700*'Loan Inputs'!$B$15)</f>
        <v/>
      </c>
      <c r="F1700" s="2" t="str">
        <f t="shared" si="78"/>
        <v/>
      </c>
      <c r="G1700" s="2" t="str">
        <f t="shared" si="79"/>
        <v/>
      </c>
      <c r="H1700" s="2" t="str">
        <f>IF(A1700="","",MIN(0,MAX(0,C1700+E1700-'Loan Inputs'!$B$17)))</f>
        <v/>
      </c>
    </row>
    <row r="1701" spans="1:8" ht="22" customHeight="1">
      <c r="A1701" s="1" t="str">
        <f>IF(AND('Loan Inputs'!$B$12,1695&lt;=IF('Loan Inputs'!$B$12,'Loan Inputs'!$B$7,0)*'Loan Inputs'!$B$14+0,ISNUMBER(G1700),G1700&gt;0),1695,"")</f>
        <v/>
      </c>
      <c r="B1701" s="4" t="str">
        <f>IF(A1701="","",IF('Loan Inputs'!$B$14=12,DATE(YEAR('Loan Inputs'!$B$8),MONTH('Loan Inputs'!$B$8)+A1701,DAY('Loan Inputs'!$B$8)),'Loan Inputs'!$B$8+A1701*IF('Loan Inputs'!$B$14=26,14,7)))</f>
        <v/>
      </c>
      <c r="C1701" s="2" t="str">
        <f t="shared" si="80"/>
        <v/>
      </c>
      <c r="D1701" s="2" t="str">
        <f>IF(A1701="","",MIN('Loan Inputs'!$B$17,C1701+E1701)+H1701)</f>
        <v/>
      </c>
      <c r="E1701" s="2" t="str">
        <f>IF(A1701="","",C1701*'Loan Inputs'!$B$15)</f>
        <v/>
      </c>
      <c r="F1701" s="2" t="str">
        <f t="shared" si="78"/>
        <v/>
      </c>
      <c r="G1701" s="2" t="str">
        <f t="shared" si="79"/>
        <v/>
      </c>
      <c r="H1701" s="2" t="str">
        <f>IF(A1701="","",MIN(0,MAX(0,C1701+E1701-'Loan Inputs'!$B$17)))</f>
        <v/>
      </c>
    </row>
    <row r="1702" spans="1:8" ht="22" customHeight="1">
      <c r="A1702" s="1" t="str">
        <f>IF(AND('Loan Inputs'!$B$12,1696&lt;=IF('Loan Inputs'!$B$12,'Loan Inputs'!$B$7,0)*'Loan Inputs'!$B$14+0,ISNUMBER(G1701),G1701&gt;0),1696,"")</f>
        <v/>
      </c>
      <c r="B1702" s="4" t="str">
        <f>IF(A1702="","",IF('Loan Inputs'!$B$14=12,DATE(YEAR('Loan Inputs'!$B$8),MONTH('Loan Inputs'!$B$8)+A1702,DAY('Loan Inputs'!$B$8)),'Loan Inputs'!$B$8+A1702*IF('Loan Inputs'!$B$14=26,14,7)))</f>
        <v/>
      </c>
      <c r="C1702" s="2" t="str">
        <f t="shared" si="80"/>
        <v/>
      </c>
      <c r="D1702" s="2" t="str">
        <f>IF(A1702="","",MIN('Loan Inputs'!$B$17,C1702+E1702)+H1702)</f>
        <v/>
      </c>
      <c r="E1702" s="2" t="str">
        <f>IF(A1702="","",C1702*'Loan Inputs'!$B$15)</f>
        <v/>
      </c>
      <c r="F1702" s="2" t="str">
        <f t="shared" si="78"/>
        <v/>
      </c>
      <c r="G1702" s="2" t="str">
        <f t="shared" si="79"/>
        <v/>
      </c>
      <c r="H1702" s="2" t="str">
        <f>IF(A1702="","",MIN(0,MAX(0,C1702+E1702-'Loan Inputs'!$B$17)))</f>
        <v/>
      </c>
    </row>
    <row r="1703" spans="1:8" ht="22" customHeight="1">
      <c r="A1703" s="1" t="str">
        <f>IF(AND('Loan Inputs'!$B$12,1697&lt;=IF('Loan Inputs'!$B$12,'Loan Inputs'!$B$7,0)*'Loan Inputs'!$B$14+0,ISNUMBER(G1702),G1702&gt;0),1697,"")</f>
        <v/>
      </c>
      <c r="B1703" s="4" t="str">
        <f>IF(A1703="","",IF('Loan Inputs'!$B$14=12,DATE(YEAR('Loan Inputs'!$B$8),MONTH('Loan Inputs'!$B$8)+A1703,DAY('Loan Inputs'!$B$8)),'Loan Inputs'!$B$8+A1703*IF('Loan Inputs'!$B$14=26,14,7)))</f>
        <v/>
      </c>
      <c r="C1703" s="2" t="str">
        <f t="shared" si="80"/>
        <v/>
      </c>
      <c r="D1703" s="2" t="str">
        <f>IF(A1703="","",MIN('Loan Inputs'!$B$17,C1703+E1703)+H1703)</f>
        <v/>
      </c>
      <c r="E1703" s="2" t="str">
        <f>IF(A1703="","",C1703*'Loan Inputs'!$B$15)</f>
        <v/>
      </c>
      <c r="F1703" s="2" t="str">
        <f t="shared" si="78"/>
        <v/>
      </c>
      <c r="G1703" s="2" t="str">
        <f t="shared" si="79"/>
        <v/>
      </c>
      <c r="H1703" s="2" t="str">
        <f>IF(A1703="","",MIN(0,MAX(0,C1703+E1703-'Loan Inputs'!$B$17)))</f>
        <v/>
      </c>
    </row>
    <row r="1704" spans="1:8" ht="22" customHeight="1">
      <c r="A1704" s="1" t="str">
        <f>IF(AND('Loan Inputs'!$B$12,1698&lt;=IF('Loan Inputs'!$B$12,'Loan Inputs'!$B$7,0)*'Loan Inputs'!$B$14+0,ISNUMBER(G1703),G1703&gt;0),1698,"")</f>
        <v/>
      </c>
      <c r="B1704" s="4" t="str">
        <f>IF(A1704="","",IF('Loan Inputs'!$B$14=12,DATE(YEAR('Loan Inputs'!$B$8),MONTH('Loan Inputs'!$B$8)+A1704,DAY('Loan Inputs'!$B$8)),'Loan Inputs'!$B$8+A1704*IF('Loan Inputs'!$B$14=26,14,7)))</f>
        <v/>
      </c>
      <c r="C1704" s="2" t="str">
        <f t="shared" si="80"/>
        <v/>
      </c>
      <c r="D1704" s="2" t="str">
        <f>IF(A1704="","",MIN('Loan Inputs'!$B$17,C1704+E1704)+H1704)</f>
        <v/>
      </c>
      <c r="E1704" s="2" t="str">
        <f>IF(A1704="","",C1704*'Loan Inputs'!$B$15)</f>
        <v/>
      </c>
      <c r="F1704" s="2" t="str">
        <f t="shared" si="78"/>
        <v/>
      </c>
      <c r="G1704" s="2" t="str">
        <f t="shared" si="79"/>
        <v/>
      </c>
      <c r="H1704" s="2" t="str">
        <f>IF(A1704="","",MIN(0,MAX(0,C1704+E1704-'Loan Inputs'!$B$17)))</f>
        <v/>
      </c>
    </row>
    <row r="1705" spans="1:8" ht="22" customHeight="1">
      <c r="A1705" s="1" t="str">
        <f>IF(AND('Loan Inputs'!$B$12,1699&lt;=IF('Loan Inputs'!$B$12,'Loan Inputs'!$B$7,0)*'Loan Inputs'!$B$14+0,ISNUMBER(G1704),G1704&gt;0),1699,"")</f>
        <v/>
      </c>
      <c r="B1705" s="4" t="str">
        <f>IF(A1705="","",IF('Loan Inputs'!$B$14=12,DATE(YEAR('Loan Inputs'!$B$8),MONTH('Loan Inputs'!$B$8)+A1705,DAY('Loan Inputs'!$B$8)),'Loan Inputs'!$B$8+A1705*IF('Loan Inputs'!$B$14=26,14,7)))</f>
        <v/>
      </c>
      <c r="C1705" s="2" t="str">
        <f t="shared" si="80"/>
        <v/>
      </c>
      <c r="D1705" s="2" t="str">
        <f>IF(A1705="","",MIN('Loan Inputs'!$B$17,C1705+E1705)+H1705)</f>
        <v/>
      </c>
      <c r="E1705" s="2" t="str">
        <f>IF(A1705="","",C1705*'Loan Inputs'!$B$15)</f>
        <v/>
      </c>
      <c r="F1705" s="2" t="str">
        <f t="shared" si="78"/>
        <v/>
      </c>
      <c r="G1705" s="2" t="str">
        <f t="shared" si="79"/>
        <v/>
      </c>
      <c r="H1705" s="2" t="str">
        <f>IF(A1705="","",MIN(0,MAX(0,C1705+E1705-'Loan Inputs'!$B$17)))</f>
        <v/>
      </c>
    </row>
    <row r="1706" spans="1:8" ht="22" customHeight="1">
      <c r="A1706" s="1" t="str">
        <f>IF(AND('Loan Inputs'!$B$12,1700&lt;=IF('Loan Inputs'!$B$12,'Loan Inputs'!$B$7,0)*'Loan Inputs'!$B$14+0,ISNUMBER(G1705),G1705&gt;0),1700,"")</f>
        <v/>
      </c>
      <c r="B1706" s="4" t="str">
        <f>IF(A1706="","",IF('Loan Inputs'!$B$14=12,DATE(YEAR('Loan Inputs'!$B$8),MONTH('Loan Inputs'!$B$8)+A1706,DAY('Loan Inputs'!$B$8)),'Loan Inputs'!$B$8+A1706*IF('Loan Inputs'!$B$14=26,14,7)))</f>
        <v/>
      </c>
      <c r="C1706" s="2" t="str">
        <f t="shared" si="80"/>
        <v/>
      </c>
      <c r="D1706" s="2" t="str">
        <f>IF(A1706="","",MIN('Loan Inputs'!$B$17,C1706+E1706)+H1706)</f>
        <v/>
      </c>
      <c r="E1706" s="2" t="str">
        <f>IF(A1706="","",C1706*'Loan Inputs'!$B$15)</f>
        <v/>
      </c>
      <c r="F1706" s="2" t="str">
        <f t="shared" si="78"/>
        <v/>
      </c>
      <c r="G1706" s="2" t="str">
        <f t="shared" si="79"/>
        <v/>
      </c>
      <c r="H1706" s="2" t="str">
        <f>IF(A1706="","",MIN(0,MAX(0,C1706+E1706-'Loan Inputs'!$B$17)))</f>
        <v/>
      </c>
    </row>
    <row r="1707" spans="1:8" ht="22" customHeight="1">
      <c r="A1707" s="1" t="str">
        <f>IF(AND('Loan Inputs'!$B$12,1701&lt;=IF('Loan Inputs'!$B$12,'Loan Inputs'!$B$7,0)*'Loan Inputs'!$B$14+0,ISNUMBER(G1706),G1706&gt;0),1701,"")</f>
        <v/>
      </c>
      <c r="B1707" s="4" t="str">
        <f>IF(A1707="","",IF('Loan Inputs'!$B$14=12,DATE(YEAR('Loan Inputs'!$B$8),MONTH('Loan Inputs'!$B$8)+A1707,DAY('Loan Inputs'!$B$8)),'Loan Inputs'!$B$8+A1707*IF('Loan Inputs'!$B$14=26,14,7)))</f>
        <v/>
      </c>
      <c r="C1707" s="2" t="str">
        <f t="shared" si="80"/>
        <v/>
      </c>
      <c r="D1707" s="2" t="str">
        <f>IF(A1707="","",MIN('Loan Inputs'!$B$17,C1707+E1707)+H1707)</f>
        <v/>
      </c>
      <c r="E1707" s="2" t="str">
        <f>IF(A1707="","",C1707*'Loan Inputs'!$B$15)</f>
        <v/>
      </c>
      <c r="F1707" s="2" t="str">
        <f t="shared" si="78"/>
        <v/>
      </c>
      <c r="G1707" s="2" t="str">
        <f t="shared" si="79"/>
        <v/>
      </c>
      <c r="H1707" s="2" t="str">
        <f>IF(A1707="","",MIN(0,MAX(0,C1707+E1707-'Loan Inputs'!$B$17)))</f>
        <v/>
      </c>
    </row>
    <row r="1708" spans="1:8" ht="22" customHeight="1">
      <c r="A1708" s="1" t="str">
        <f>IF(AND('Loan Inputs'!$B$12,1702&lt;=IF('Loan Inputs'!$B$12,'Loan Inputs'!$B$7,0)*'Loan Inputs'!$B$14+0,ISNUMBER(G1707),G1707&gt;0),1702,"")</f>
        <v/>
      </c>
      <c r="B1708" s="4" t="str">
        <f>IF(A1708="","",IF('Loan Inputs'!$B$14=12,DATE(YEAR('Loan Inputs'!$B$8),MONTH('Loan Inputs'!$B$8)+A1708,DAY('Loan Inputs'!$B$8)),'Loan Inputs'!$B$8+A1708*IF('Loan Inputs'!$B$14=26,14,7)))</f>
        <v/>
      </c>
      <c r="C1708" s="2" t="str">
        <f t="shared" si="80"/>
        <v/>
      </c>
      <c r="D1708" s="2" t="str">
        <f>IF(A1708="","",MIN('Loan Inputs'!$B$17,C1708+E1708)+H1708)</f>
        <v/>
      </c>
      <c r="E1708" s="2" t="str">
        <f>IF(A1708="","",C1708*'Loan Inputs'!$B$15)</f>
        <v/>
      </c>
      <c r="F1708" s="2" t="str">
        <f t="shared" si="78"/>
        <v/>
      </c>
      <c r="G1708" s="2" t="str">
        <f t="shared" si="79"/>
        <v/>
      </c>
      <c r="H1708" s="2" t="str">
        <f>IF(A1708="","",MIN(0,MAX(0,C1708+E1708-'Loan Inputs'!$B$17)))</f>
        <v/>
      </c>
    </row>
    <row r="1709" spans="1:8" ht="22" customHeight="1">
      <c r="A1709" s="1" t="str">
        <f>IF(AND('Loan Inputs'!$B$12,1703&lt;=IF('Loan Inputs'!$B$12,'Loan Inputs'!$B$7,0)*'Loan Inputs'!$B$14+0,ISNUMBER(G1708),G1708&gt;0),1703,"")</f>
        <v/>
      </c>
      <c r="B1709" s="4" t="str">
        <f>IF(A1709="","",IF('Loan Inputs'!$B$14=12,DATE(YEAR('Loan Inputs'!$B$8),MONTH('Loan Inputs'!$B$8)+A1709,DAY('Loan Inputs'!$B$8)),'Loan Inputs'!$B$8+A1709*IF('Loan Inputs'!$B$14=26,14,7)))</f>
        <v/>
      </c>
      <c r="C1709" s="2" t="str">
        <f t="shared" si="80"/>
        <v/>
      </c>
      <c r="D1709" s="2" t="str">
        <f>IF(A1709="","",MIN('Loan Inputs'!$B$17,C1709+E1709)+H1709)</f>
        <v/>
      </c>
      <c r="E1709" s="2" t="str">
        <f>IF(A1709="","",C1709*'Loan Inputs'!$B$15)</f>
        <v/>
      </c>
      <c r="F1709" s="2" t="str">
        <f t="shared" si="78"/>
        <v/>
      </c>
      <c r="G1709" s="2" t="str">
        <f t="shared" si="79"/>
        <v/>
      </c>
      <c r="H1709" s="2" t="str">
        <f>IF(A1709="","",MIN(0,MAX(0,C1709+E1709-'Loan Inputs'!$B$17)))</f>
        <v/>
      </c>
    </row>
    <row r="1710" spans="1:8" ht="22" customHeight="1">
      <c r="A1710" s="1" t="str">
        <f>IF(AND('Loan Inputs'!$B$12,1704&lt;=IF('Loan Inputs'!$B$12,'Loan Inputs'!$B$7,0)*'Loan Inputs'!$B$14+0,ISNUMBER(G1709),G1709&gt;0),1704,"")</f>
        <v/>
      </c>
      <c r="B1710" s="4" t="str">
        <f>IF(A1710="","",IF('Loan Inputs'!$B$14=12,DATE(YEAR('Loan Inputs'!$B$8),MONTH('Loan Inputs'!$B$8)+A1710,DAY('Loan Inputs'!$B$8)),'Loan Inputs'!$B$8+A1710*IF('Loan Inputs'!$B$14=26,14,7)))</f>
        <v/>
      </c>
      <c r="C1710" s="2" t="str">
        <f t="shared" si="80"/>
        <v/>
      </c>
      <c r="D1710" s="2" t="str">
        <f>IF(A1710="","",MIN('Loan Inputs'!$B$17,C1710+E1710)+H1710)</f>
        <v/>
      </c>
      <c r="E1710" s="2" t="str">
        <f>IF(A1710="","",C1710*'Loan Inputs'!$B$15)</f>
        <v/>
      </c>
      <c r="F1710" s="2" t="str">
        <f t="shared" si="78"/>
        <v/>
      </c>
      <c r="G1710" s="2" t="str">
        <f t="shared" si="79"/>
        <v/>
      </c>
      <c r="H1710" s="2" t="str">
        <f>IF(A1710="","",MIN(0,MAX(0,C1710+E1710-'Loan Inputs'!$B$17)))</f>
        <v/>
      </c>
    </row>
    <row r="1711" spans="1:8" ht="22" customHeight="1">
      <c r="A1711" s="1" t="str">
        <f>IF(AND('Loan Inputs'!$B$12,1705&lt;=IF('Loan Inputs'!$B$12,'Loan Inputs'!$B$7,0)*'Loan Inputs'!$B$14+0,ISNUMBER(G1710),G1710&gt;0),1705,"")</f>
        <v/>
      </c>
      <c r="B1711" s="4" t="str">
        <f>IF(A1711="","",IF('Loan Inputs'!$B$14=12,DATE(YEAR('Loan Inputs'!$B$8),MONTH('Loan Inputs'!$B$8)+A1711,DAY('Loan Inputs'!$B$8)),'Loan Inputs'!$B$8+A1711*IF('Loan Inputs'!$B$14=26,14,7)))</f>
        <v/>
      </c>
      <c r="C1711" s="2" t="str">
        <f t="shared" si="80"/>
        <v/>
      </c>
      <c r="D1711" s="2" t="str">
        <f>IF(A1711="","",MIN('Loan Inputs'!$B$17,C1711+E1711)+H1711)</f>
        <v/>
      </c>
      <c r="E1711" s="2" t="str">
        <f>IF(A1711="","",C1711*'Loan Inputs'!$B$15)</f>
        <v/>
      </c>
      <c r="F1711" s="2" t="str">
        <f t="shared" si="78"/>
        <v/>
      </c>
      <c r="G1711" s="2" t="str">
        <f t="shared" si="79"/>
        <v/>
      </c>
      <c r="H1711" s="2" t="str">
        <f>IF(A1711="","",MIN(0,MAX(0,C1711+E1711-'Loan Inputs'!$B$17)))</f>
        <v/>
      </c>
    </row>
    <row r="1712" spans="1:8" ht="22" customHeight="1">
      <c r="A1712" s="1" t="str">
        <f>IF(AND('Loan Inputs'!$B$12,1706&lt;=IF('Loan Inputs'!$B$12,'Loan Inputs'!$B$7,0)*'Loan Inputs'!$B$14+0,ISNUMBER(G1711),G1711&gt;0),1706,"")</f>
        <v/>
      </c>
      <c r="B1712" s="4" t="str">
        <f>IF(A1712="","",IF('Loan Inputs'!$B$14=12,DATE(YEAR('Loan Inputs'!$B$8),MONTH('Loan Inputs'!$B$8)+A1712,DAY('Loan Inputs'!$B$8)),'Loan Inputs'!$B$8+A1712*IF('Loan Inputs'!$B$14=26,14,7)))</f>
        <v/>
      </c>
      <c r="C1712" s="2" t="str">
        <f t="shared" si="80"/>
        <v/>
      </c>
      <c r="D1712" s="2" t="str">
        <f>IF(A1712="","",MIN('Loan Inputs'!$B$17,C1712+E1712)+H1712)</f>
        <v/>
      </c>
      <c r="E1712" s="2" t="str">
        <f>IF(A1712="","",C1712*'Loan Inputs'!$B$15)</f>
        <v/>
      </c>
      <c r="F1712" s="2" t="str">
        <f t="shared" si="78"/>
        <v/>
      </c>
      <c r="G1712" s="2" t="str">
        <f t="shared" si="79"/>
        <v/>
      </c>
      <c r="H1712" s="2" t="str">
        <f>IF(A1712="","",MIN(0,MAX(0,C1712+E1712-'Loan Inputs'!$B$17)))</f>
        <v/>
      </c>
    </row>
    <row r="1713" spans="1:8" ht="22" customHeight="1">
      <c r="A1713" s="1" t="str">
        <f>IF(AND('Loan Inputs'!$B$12,1707&lt;=IF('Loan Inputs'!$B$12,'Loan Inputs'!$B$7,0)*'Loan Inputs'!$B$14+0,ISNUMBER(G1712),G1712&gt;0),1707,"")</f>
        <v/>
      </c>
      <c r="B1713" s="4" t="str">
        <f>IF(A1713="","",IF('Loan Inputs'!$B$14=12,DATE(YEAR('Loan Inputs'!$B$8),MONTH('Loan Inputs'!$B$8)+A1713,DAY('Loan Inputs'!$B$8)),'Loan Inputs'!$B$8+A1713*IF('Loan Inputs'!$B$14=26,14,7)))</f>
        <v/>
      </c>
      <c r="C1713" s="2" t="str">
        <f t="shared" si="80"/>
        <v/>
      </c>
      <c r="D1713" s="2" t="str">
        <f>IF(A1713="","",MIN('Loan Inputs'!$B$17,C1713+E1713)+H1713)</f>
        <v/>
      </c>
      <c r="E1713" s="2" t="str">
        <f>IF(A1713="","",C1713*'Loan Inputs'!$B$15)</f>
        <v/>
      </c>
      <c r="F1713" s="2" t="str">
        <f t="shared" si="78"/>
        <v/>
      </c>
      <c r="G1713" s="2" t="str">
        <f t="shared" si="79"/>
        <v/>
      </c>
      <c r="H1713" s="2" t="str">
        <f>IF(A1713="","",MIN(0,MAX(0,C1713+E1713-'Loan Inputs'!$B$17)))</f>
        <v/>
      </c>
    </row>
    <row r="1714" spans="1:8" ht="22" customHeight="1">
      <c r="A1714" s="1" t="str">
        <f>IF(AND('Loan Inputs'!$B$12,1708&lt;=IF('Loan Inputs'!$B$12,'Loan Inputs'!$B$7,0)*'Loan Inputs'!$B$14+0,ISNUMBER(G1713),G1713&gt;0),1708,"")</f>
        <v/>
      </c>
      <c r="B1714" s="4" t="str">
        <f>IF(A1714="","",IF('Loan Inputs'!$B$14=12,DATE(YEAR('Loan Inputs'!$B$8),MONTH('Loan Inputs'!$B$8)+A1714,DAY('Loan Inputs'!$B$8)),'Loan Inputs'!$B$8+A1714*IF('Loan Inputs'!$B$14=26,14,7)))</f>
        <v/>
      </c>
      <c r="C1714" s="2" t="str">
        <f t="shared" si="80"/>
        <v/>
      </c>
      <c r="D1714" s="2" t="str">
        <f>IF(A1714="","",MIN('Loan Inputs'!$B$17,C1714+E1714)+H1714)</f>
        <v/>
      </c>
      <c r="E1714" s="2" t="str">
        <f>IF(A1714="","",C1714*'Loan Inputs'!$B$15)</f>
        <v/>
      </c>
      <c r="F1714" s="2" t="str">
        <f t="shared" si="78"/>
        <v/>
      </c>
      <c r="G1714" s="2" t="str">
        <f t="shared" si="79"/>
        <v/>
      </c>
      <c r="H1714" s="2" t="str">
        <f>IF(A1714="","",MIN(0,MAX(0,C1714+E1714-'Loan Inputs'!$B$17)))</f>
        <v/>
      </c>
    </row>
    <row r="1715" spans="1:8" ht="22" customHeight="1">
      <c r="A1715" s="1" t="str">
        <f>IF(AND('Loan Inputs'!$B$12,1709&lt;=IF('Loan Inputs'!$B$12,'Loan Inputs'!$B$7,0)*'Loan Inputs'!$B$14+0,ISNUMBER(G1714),G1714&gt;0),1709,"")</f>
        <v/>
      </c>
      <c r="B1715" s="4" t="str">
        <f>IF(A1715="","",IF('Loan Inputs'!$B$14=12,DATE(YEAR('Loan Inputs'!$B$8),MONTH('Loan Inputs'!$B$8)+A1715,DAY('Loan Inputs'!$B$8)),'Loan Inputs'!$B$8+A1715*IF('Loan Inputs'!$B$14=26,14,7)))</f>
        <v/>
      </c>
      <c r="C1715" s="2" t="str">
        <f t="shared" si="80"/>
        <v/>
      </c>
      <c r="D1715" s="2" t="str">
        <f>IF(A1715="","",MIN('Loan Inputs'!$B$17,C1715+E1715)+H1715)</f>
        <v/>
      </c>
      <c r="E1715" s="2" t="str">
        <f>IF(A1715="","",C1715*'Loan Inputs'!$B$15)</f>
        <v/>
      </c>
      <c r="F1715" s="2" t="str">
        <f t="shared" si="78"/>
        <v/>
      </c>
      <c r="G1715" s="2" t="str">
        <f t="shared" si="79"/>
        <v/>
      </c>
      <c r="H1715" s="2" t="str">
        <f>IF(A1715="","",MIN(0,MAX(0,C1715+E1715-'Loan Inputs'!$B$17)))</f>
        <v/>
      </c>
    </row>
    <row r="1716" spans="1:8" ht="22" customHeight="1">
      <c r="A1716" s="1" t="str">
        <f>IF(AND('Loan Inputs'!$B$12,1710&lt;=IF('Loan Inputs'!$B$12,'Loan Inputs'!$B$7,0)*'Loan Inputs'!$B$14+0,ISNUMBER(G1715),G1715&gt;0),1710,"")</f>
        <v/>
      </c>
      <c r="B1716" s="4" t="str">
        <f>IF(A1716="","",IF('Loan Inputs'!$B$14=12,DATE(YEAR('Loan Inputs'!$B$8),MONTH('Loan Inputs'!$B$8)+A1716,DAY('Loan Inputs'!$B$8)),'Loan Inputs'!$B$8+A1716*IF('Loan Inputs'!$B$14=26,14,7)))</f>
        <v/>
      </c>
      <c r="C1716" s="2" t="str">
        <f t="shared" si="80"/>
        <v/>
      </c>
      <c r="D1716" s="2" t="str">
        <f>IF(A1716="","",MIN('Loan Inputs'!$B$17,C1716+E1716)+H1716)</f>
        <v/>
      </c>
      <c r="E1716" s="2" t="str">
        <f>IF(A1716="","",C1716*'Loan Inputs'!$B$15)</f>
        <v/>
      </c>
      <c r="F1716" s="2" t="str">
        <f t="shared" si="78"/>
        <v/>
      </c>
      <c r="G1716" s="2" t="str">
        <f t="shared" si="79"/>
        <v/>
      </c>
      <c r="H1716" s="2" t="str">
        <f>IF(A1716="","",MIN(0,MAX(0,C1716+E1716-'Loan Inputs'!$B$17)))</f>
        <v/>
      </c>
    </row>
    <row r="1717" spans="1:8" ht="22" customHeight="1">
      <c r="A1717" s="1" t="str">
        <f>IF(AND('Loan Inputs'!$B$12,1711&lt;=IF('Loan Inputs'!$B$12,'Loan Inputs'!$B$7,0)*'Loan Inputs'!$B$14+0,ISNUMBER(G1716),G1716&gt;0),1711,"")</f>
        <v/>
      </c>
      <c r="B1717" s="4" t="str">
        <f>IF(A1717="","",IF('Loan Inputs'!$B$14=12,DATE(YEAR('Loan Inputs'!$B$8),MONTH('Loan Inputs'!$B$8)+A1717,DAY('Loan Inputs'!$B$8)),'Loan Inputs'!$B$8+A1717*IF('Loan Inputs'!$B$14=26,14,7)))</f>
        <v/>
      </c>
      <c r="C1717" s="2" t="str">
        <f t="shared" si="80"/>
        <v/>
      </c>
      <c r="D1717" s="2" t="str">
        <f>IF(A1717="","",MIN('Loan Inputs'!$B$17,C1717+E1717)+H1717)</f>
        <v/>
      </c>
      <c r="E1717" s="2" t="str">
        <f>IF(A1717="","",C1717*'Loan Inputs'!$B$15)</f>
        <v/>
      </c>
      <c r="F1717" s="2" t="str">
        <f t="shared" si="78"/>
        <v/>
      </c>
      <c r="G1717" s="2" t="str">
        <f t="shared" si="79"/>
        <v/>
      </c>
      <c r="H1717" s="2" t="str">
        <f>IF(A1717="","",MIN(0,MAX(0,C1717+E1717-'Loan Inputs'!$B$17)))</f>
        <v/>
      </c>
    </row>
    <row r="1718" spans="1:8" ht="22" customHeight="1">
      <c r="A1718" s="1" t="str">
        <f>IF(AND('Loan Inputs'!$B$12,1712&lt;=IF('Loan Inputs'!$B$12,'Loan Inputs'!$B$7,0)*'Loan Inputs'!$B$14+0,ISNUMBER(G1717),G1717&gt;0),1712,"")</f>
        <v/>
      </c>
      <c r="B1718" s="4" t="str">
        <f>IF(A1718="","",IF('Loan Inputs'!$B$14=12,DATE(YEAR('Loan Inputs'!$B$8),MONTH('Loan Inputs'!$B$8)+A1718,DAY('Loan Inputs'!$B$8)),'Loan Inputs'!$B$8+A1718*IF('Loan Inputs'!$B$14=26,14,7)))</f>
        <v/>
      </c>
      <c r="C1718" s="2" t="str">
        <f t="shared" si="80"/>
        <v/>
      </c>
      <c r="D1718" s="2" t="str">
        <f>IF(A1718="","",MIN('Loan Inputs'!$B$17,C1718+E1718)+H1718)</f>
        <v/>
      </c>
      <c r="E1718" s="2" t="str">
        <f>IF(A1718="","",C1718*'Loan Inputs'!$B$15)</f>
        <v/>
      </c>
      <c r="F1718" s="2" t="str">
        <f t="shared" si="78"/>
        <v/>
      </c>
      <c r="G1718" s="2" t="str">
        <f t="shared" si="79"/>
        <v/>
      </c>
      <c r="H1718" s="2" t="str">
        <f>IF(A1718="","",MIN(0,MAX(0,C1718+E1718-'Loan Inputs'!$B$17)))</f>
        <v/>
      </c>
    </row>
    <row r="1719" spans="1:8" ht="22" customHeight="1">
      <c r="A1719" s="1" t="str">
        <f>IF(AND('Loan Inputs'!$B$12,1713&lt;=IF('Loan Inputs'!$B$12,'Loan Inputs'!$B$7,0)*'Loan Inputs'!$B$14+0,ISNUMBER(G1718),G1718&gt;0),1713,"")</f>
        <v/>
      </c>
      <c r="B1719" s="4" t="str">
        <f>IF(A1719="","",IF('Loan Inputs'!$B$14=12,DATE(YEAR('Loan Inputs'!$B$8),MONTH('Loan Inputs'!$B$8)+A1719,DAY('Loan Inputs'!$B$8)),'Loan Inputs'!$B$8+A1719*IF('Loan Inputs'!$B$14=26,14,7)))</f>
        <v/>
      </c>
      <c r="C1719" s="2" t="str">
        <f t="shared" si="80"/>
        <v/>
      </c>
      <c r="D1719" s="2" t="str">
        <f>IF(A1719="","",MIN('Loan Inputs'!$B$17,C1719+E1719)+H1719)</f>
        <v/>
      </c>
      <c r="E1719" s="2" t="str">
        <f>IF(A1719="","",C1719*'Loan Inputs'!$B$15)</f>
        <v/>
      </c>
      <c r="F1719" s="2" t="str">
        <f t="shared" si="78"/>
        <v/>
      </c>
      <c r="G1719" s="2" t="str">
        <f t="shared" si="79"/>
        <v/>
      </c>
      <c r="H1719" s="2" t="str">
        <f>IF(A1719="","",MIN(0,MAX(0,C1719+E1719-'Loan Inputs'!$B$17)))</f>
        <v/>
      </c>
    </row>
    <row r="1720" spans="1:8" ht="22" customHeight="1">
      <c r="A1720" s="1" t="str">
        <f>IF(AND('Loan Inputs'!$B$12,1714&lt;=IF('Loan Inputs'!$B$12,'Loan Inputs'!$B$7,0)*'Loan Inputs'!$B$14+0,ISNUMBER(G1719),G1719&gt;0),1714,"")</f>
        <v/>
      </c>
      <c r="B1720" s="4" t="str">
        <f>IF(A1720="","",IF('Loan Inputs'!$B$14=12,DATE(YEAR('Loan Inputs'!$B$8),MONTH('Loan Inputs'!$B$8)+A1720,DAY('Loan Inputs'!$B$8)),'Loan Inputs'!$B$8+A1720*IF('Loan Inputs'!$B$14=26,14,7)))</f>
        <v/>
      </c>
      <c r="C1720" s="2" t="str">
        <f t="shared" si="80"/>
        <v/>
      </c>
      <c r="D1720" s="2" t="str">
        <f>IF(A1720="","",MIN('Loan Inputs'!$B$17,C1720+E1720)+H1720)</f>
        <v/>
      </c>
      <c r="E1720" s="2" t="str">
        <f>IF(A1720="","",C1720*'Loan Inputs'!$B$15)</f>
        <v/>
      </c>
      <c r="F1720" s="2" t="str">
        <f t="shared" si="78"/>
        <v/>
      </c>
      <c r="G1720" s="2" t="str">
        <f t="shared" si="79"/>
        <v/>
      </c>
      <c r="H1720" s="2" t="str">
        <f>IF(A1720="","",MIN(0,MAX(0,C1720+E1720-'Loan Inputs'!$B$17)))</f>
        <v/>
      </c>
    </row>
    <row r="1721" spans="1:8" ht="22" customHeight="1">
      <c r="A1721" s="1" t="str">
        <f>IF(AND('Loan Inputs'!$B$12,1715&lt;=IF('Loan Inputs'!$B$12,'Loan Inputs'!$B$7,0)*'Loan Inputs'!$B$14+0,ISNUMBER(G1720),G1720&gt;0),1715,"")</f>
        <v/>
      </c>
      <c r="B1721" s="4" t="str">
        <f>IF(A1721="","",IF('Loan Inputs'!$B$14=12,DATE(YEAR('Loan Inputs'!$B$8),MONTH('Loan Inputs'!$B$8)+A1721,DAY('Loan Inputs'!$B$8)),'Loan Inputs'!$B$8+A1721*IF('Loan Inputs'!$B$14=26,14,7)))</f>
        <v/>
      </c>
      <c r="C1721" s="2" t="str">
        <f t="shared" si="80"/>
        <v/>
      </c>
      <c r="D1721" s="2" t="str">
        <f>IF(A1721="","",MIN('Loan Inputs'!$B$17,C1721+E1721)+H1721)</f>
        <v/>
      </c>
      <c r="E1721" s="2" t="str">
        <f>IF(A1721="","",C1721*'Loan Inputs'!$B$15)</f>
        <v/>
      </c>
      <c r="F1721" s="2" t="str">
        <f t="shared" si="78"/>
        <v/>
      </c>
      <c r="G1721" s="2" t="str">
        <f t="shared" si="79"/>
        <v/>
      </c>
      <c r="H1721" s="2" t="str">
        <f>IF(A1721="","",MIN(0,MAX(0,C1721+E1721-'Loan Inputs'!$B$17)))</f>
        <v/>
      </c>
    </row>
    <row r="1722" spans="1:8" ht="22" customHeight="1">
      <c r="A1722" s="1" t="str">
        <f>IF(AND('Loan Inputs'!$B$12,1716&lt;=IF('Loan Inputs'!$B$12,'Loan Inputs'!$B$7,0)*'Loan Inputs'!$B$14+0,ISNUMBER(G1721),G1721&gt;0),1716,"")</f>
        <v/>
      </c>
      <c r="B1722" s="4" t="str">
        <f>IF(A1722="","",IF('Loan Inputs'!$B$14=12,DATE(YEAR('Loan Inputs'!$B$8),MONTH('Loan Inputs'!$B$8)+A1722,DAY('Loan Inputs'!$B$8)),'Loan Inputs'!$B$8+A1722*IF('Loan Inputs'!$B$14=26,14,7)))</f>
        <v/>
      </c>
      <c r="C1722" s="2" t="str">
        <f t="shared" si="80"/>
        <v/>
      </c>
      <c r="D1722" s="2" t="str">
        <f>IF(A1722="","",MIN('Loan Inputs'!$B$17,C1722+E1722)+H1722)</f>
        <v/>
      </c>
      <c r="E1722" s="2" t="str">
        <f>IF(A1722="","",C1722*'Loan Inputs'!$B$15)</f>
        <v/>
      </c>
      <c r="F1722" s="2" t="str">
        <f t="shared" si="78"/>
        <v/>
      </c>
      <c r="G1722" s="2" t="str">
        <f t="shared" si="79"/>
        <v/>
      </c>
      <c r="H1722" s="2" t="str">
        <f>IF(A1722="","",MIN(0,MAX(0,C1722+E1722-'Loan Inputs'!$B$17)))</f>
        <v/>
      </c>
    </row>
    <row r="1723" spans="1:8" ht="22" customHeight="1">
      <c r="A1723" s="1" t="str">
        <f>IF(AND('Loan Inputs'!$B$12,1717&lt;=IF('Loan Inputs'!$B$12,'Loan Inputs'!$B$7,0)*'Loan Inputs'!$B$14+0,ISNUMBER(G1722),G1722&gt;0),1717,"")</f>
        <v/>
      </c>
      <c r="B1723" s="4" t="str">
        <f>IF(A1723="","",IF('Loan Inputs'!$B$14=12,DATE(YEAR('Loan Inputs'!$B$8),MONTH('Loan Inputs'!$B$8)+A1723,DAY('Loan Inputs'!$B$8)),'Loan Inputs'!$B$8+A1723*IF('Loan Inputs'!$B$14=26,14,7)))</f>
        <v/>
      </c>
      <c r="C1723" s="2" t="str">
        <f t="shared" si="80"/>
        <v/>
      </c>
      <c r="D1723" s="2" t="str">
        <f>IF(A1723="","",MIN('Loan Inputs'!$B$17,C1723+E1723)+H1723)</f>
        <v/>
      </c>
      <c r="E1723" s="2" t="str">
        <f>IF(A1723="","",C1723*'Loan Inputs'!$B$15)</f>
        <v/>
      </c>
      <c r="F1723" s="2" t="str">
        <f t="shared" si="78"/>
        <v/>
      </c>
      <c r="G1723" s="2" t="str">
        <f t="shared" si="79"/>
        <v/>
      </c>
      <c r="H1723" s="2" t="str">
        <f>IF(A1723="","",MIN(0,MAX(0,C1723+E1723-'Loan Inputs'!$B$17)))</f>
        <v/>
      </c>
    </row>
    <row r="1724" spans="1:8" ht="22" customHeight="1">
      <c r="A1724" s="1" t="str">
        <f>IF(AND('Loan Inputs'!$B$12,1718&lt;=IF('Loan Inputs'!$B$12,'Loan Inputs'!$B$7,0)*'Loan Inputs'!$B$14+0,ISNUMBER(G1723),G1723&gt;0),1718,"")</f>
        <v/>
      </c>
      <c r="B1724" s="4" t="str">
        <f>IF(A1724="","",IF('Loan Inputs'!$B$14=12,DATE(YEAR('Loan Inputs'!$B$8),MONTH('Loan Inputs'!$B$8)+A1724,DAY('Loan Inputs'!$B$8)),'Loan Inputs'!$B$8+A1724*IF('Loan Inputs'!$B$14=26,14,7)))</f>
        <v/>
      </c>
      <c r="C1724" s="2" t="str">
        <f t="shared" si="80"/>
        <v/>
      </c>
      <c r="D1724" s="2" t="str">
        <f>IF(A1724="","",MIN('Loan Inputs'!$B$17,C1724+E1724)+H1724)</f>
        <v/>
      </c>
      <c r="E1724" s="2" t="str">
        <f>IF(A1724="","",C1724*'Loan Inputs'!$B$15)</f>
        <v/>
      </c>
      <c r="F1724" s="2" t="str">
        <f t="shared" si="78"/>
        <v/>
      </c>
      <c r="G1724" s="2" t="str">
        <f t="shared" si="79"/>
        <v/>
      </c>
      <c r="H1724" s="2" t="str">
        <f>IF(A1724="","",MIN(0,MAX(0,C1724+E1724-'Loan Inputs'!$B$17)))</f>
        <v/>
      </c>
    </row>
    <row r="1725" spans="1:8" ht="22" customHeight="1">
      <c r="A1725" s="1" t="str">
        <f>IF(AND('Loan Inputs'!$B$12,1719&lt;=IF('Loan Inputs'!$B$12,'Loan Inputs'!$B$7,0)*'Loan Inputs'!$B$14+0,ISNUMBER(G1724),G1724&gt;0),1719,"")</f>
        <v/>
      </c>
      <c r="B1725" s="4" t="str">
        <f>IF(A1725="","",IF('Loan Inputs'!$B$14=12,DATE(YEAR('Loan Inputs'!$B$8),MONTH('Loan Inputs'!$B$8)+A1725,DAY('Loan Inputs'!$B$8)),'Loan Inputs'!$B$8+A1725*IF('Loan Inputs'!$B$14=26,14,7)))</f>
        <v/>
      </c>
      <c r="C1725" s="2" t="str">
        <f t="shared" si="80"/>
        <v/>
      </c>
      <c r="D1725" s="2" t="str">
        <f>IF(A1725="","",MIN('Loan Inputs'!$B$17,C1725+E1725)+H1725)</f>
        <v/>
      </c>
      <c r="E1725" s="2" t="str">
        <f>IF(A1725="","",C1725*'Loan Inputs'!$B$15)</f>
        <v/>
      </c>
      <c r="F1725" s="2" t="str">
        <f t="shared" si="78"/>
        <v/>
      </c>
      <c r="G1725" s="2" t="str">
        <f t="shared" si="79"/>
        <v/>
      </c>
      <c r="H1725" s="2" t="str">
        <f>IF(A1725="","",MIN(0,MAX(0,C1725+E1725-'Loan Inputs'!$B$17)))</f>
        <v/>
      </c>
    </row>
    <row r="1726" spans="1:8" ht="22" customHeight="1">
      <c r="A1726" s="1" t="str">
        <f>IF(AND('Loan Inputs'!$B$12,1720&lt;=IF('Loan Inputs'!$B$12,'Loan Inputs'!$B$7,0)*'Loan Inputs'!$B$14+0,ISNUMBER(G1725),G1725&gt;0),1720,"")</f>
        <v/>
      </c>
      <c r="B1726" s="4" t="str">
        <f>IF(A1726="","",IF('Loan Inputs'!$B$14=12,DATE(YEAR('Loan Inputs'!$B$8),MONTH('Loan Inputs'!$B$8)+A1726,DAY('Loan Inputs'!$B$8)),'Loan Inputs'!$B$8+A1726*IF('Loan Inputs'!$B$14=26,14,7)))</f>
        <v/>
      </c>
      <c r="C1726" s="2" t="str">
        <f t="shared" si="80"/>
        <v/>
      </c>
      <c r="D1726" s="2" t="str">
        <f>IF(A1726="","",MIN('Loan Inputs'!$B$17,C1726+E1726)+H1726)</f>
        <v/>
      </c>
      <c r="E1726" s="2" t="str">
        <f>IF(A1726="","",C1726*'Loan Inputs'!$B$15)</f>
        <v/>
      </c>
      <c r="F1726" s="2" t="str">
        <f t="shared" si="78"/>
        <v/>
      </c>
      <c r="G1726" s="2" t="str">
        <f t="shared" si="79"/>
        <v/>
      </c>
      <c r="H1726" s="2" t="str">
        <f>IF(A1726="","",MIN(0,MAX(0,C1726+E1726-'Loan Inputs'!$B$17)))</f>
        <v/>
      </c>
    </row>
    <row r="1727" spans="1:8" ht="22" customHeight="1">
      <c r="A1727" s="1" t="str">
        <f>IF(AND('Loan Inputs'!$B$12,1721&lt;=IF('Loan Inputs'!$B$12,'Loan Inputs'!$B$7,0)*'Loan Inputs'!$B$14+0,ISNUMBER(G1726),G1726&gt;0),1721,"")</f>
        <v/>
      </c>
      <c r="B1727" s="4" t="str">
        <f>IF(A1727="","",IF('Loan Inputs'!$B$14=12,DATE(YEAR('Loan Inputs'!$B$8),MONTH('Loan Inputs'!$B$8)+A1727,DAY('Loan Inputs'!$B$8)),'Loan Inputs'!$B$8+A1727*IF('Loan Inputs'!$B$14=26,14,7)))</f>
        <v/>
      </c>
      <c r="C1727" s="2" t="str">
        <f t="shared" si="80"/>
        <v/>
      </c>
      <c r="D1727" s="2" t="str">
        <f>IF(A1727="","",MIN('Loan Inputs'!$B$17,C1727+E1727)+H1727)</f>
        <v/>
      </c>
      <c r="E1727" s="2" t="str">
        <f>IF(A1727="","",C1727*'Loan Inputs'!$B$15)</f>
        <v/>
      </c>
      <c r="F1727" s="2" t="str">
        <f t="shared" si="78"/>
        <v/>
      </c>
      <c r="G1727" s="2" t="str">
        <f t="shared" si="79"/>
        <v/>
      </c>
      <c r="H1727" s="2" t="str">
        <f>IF(A1727="","",MIN(0,MAX(0,C1727+E1727-'Loan Inputs'!$B$17)))</f>
        <v/>
      </c>
    </row>
    <row r="1728" spans="1:8" ht="22" customHeight="1">
      <c r="A1728" s="1" t="str">
        <f>IF(AND('Loan Inputs'!$B$12,1722&lt;=IF('Loan Inputs'!$B$12,'Loan Inputs'!$B$7,0)*'Loan Inputs'!$B$14+0,ISNUMBER(G1727),G1727&gt;0),1722,"")</f>
        <v/>
      </c>
      <c r="B1728" s="4" t="str">
        <f>IF(A1728="","",IF('Loan Inputs'!$B$14=12,DATE(YEAR('Loan Inputs'!$B$8),MONTH('Loan Inputs'!$B$8)+A1728,DAY('Loan Inputs'!$B$8)),'Loan Inputs'!$B$8+A1728*IF('Loan Inputs'!$B$14=26,14,7)))</f>
        <v/>
      </c>
      <c r="C1728" s="2" t="str">
        <f t="shared" si="80"/>
        <v/>
      </c>
      <c r="D1728" s="2" t="str">
        <f>IF(A1728="","",MIN('Loan Inputs'!$B$17,C1728+E1728)+H1728)</f>
        <v/>
      </c>
      <c r="E1728" s="2" t="str">
        <f>IF(A1728="","",C1728*'Loan Inputs'!$B$15)</f>
        <v/>
      </c>
      <c r="F1728" s="2" t="str">
        <f t="shared" si="78"/>
        <v/>
      </c>
      <c r="G1728" s="2" t="str">
        <f t="shared" si="79"/>
        <v/>
      </c>
      <c r="H1728" s="2" t="str">
        <f>IF(A1728="","",MIN(0,MAX(0,C1728+E1728-'Loan Inputs'!$B$17)))</f>
        <v/>
      </c>
    </row>
    <row r="1729" spans="1:8" ht="22" customHeight="1">
      <c r="A1729" s="1" t="str">
        <f>IF(AND('Loan Inputs'!$B$12,1723&lt;=IF('Loan Inputs'!$B$12,'Loan Inputs'!$B$7,0)*'Loan Inputs'!$B$14+0,ISNUMBER(G1728),G1728&gt;0),1723,"")</f>
        <v/>
      </c>
      <c r="B1729" s="4" t="str">
        <f>IF(A1729="","",IF('Loan Inputs'!$B$14=12,DATE(YEAR('Loan Inputs'!$B$8),MONTH('Loan Inputs'!$B$8)+A1729,DAY('Loan Inputs'!$B$8)),'Loan Inputs'!$B$8+A1729*IF('Loan Inputs'!$B$14=26,14,7)))</f>
        <v/>
      </c>
      <c r="C1729" s="2" t="str">
        <f t="shared" si="80"/>
        <v/>
      </c>
      <c r="D1729" s="2" t="str">
        <f>IF(A1729="","",MIN('Loan Inputs'!$B$17,C1729+E1729)+H1729)</f>
        <v/>
      </c>
      <c r="E1729" s="2" t="str">
        <f>IF(A1729="","",C1729*'Loan Inputs'!$B$15)</f>
        <v/>
      </c>
      <c r="F1729" s="2" t="str">
        <f t="shared" si="78"/>
        <v/>
      </c>
      <c r="G1729" s="2" t="str">
        <f t="shared" si="79"/>
        <v/>
      </c>
      <c r="H1729" s="2" t="str">
        <f>IF(A1729="","",MIN(0,MAX(0,C1729+E1729-'Loan Inputs'!$B$17)))</f>
        <v/>
      </c>
    </row>
    <row r="1730" spans="1:8" ht="22" customHeight="1">
      <c r="A1730" s="1" t="str">
        <f>IF(AND('Loan Inputs'!$B$12,1724&lt;=IF('Loan Inputs'!$B$12,'Loan Inputs'!$B$7,0)*'Loan Inputs'!$B$14+0,ISNUMBER(G1729),G1729&gt;0),1724,"")</f>
        <v/>
      </c>
      <c r="B1730" s="4" t="str">
        <f>IF(A1730="","",IF('Loan Inputs'!$B$14=12,DATE(YEAR('Loan Inputs'!$B$8),MONTH('Loan Inputs'!$B$8)+A1730,DAY('Loan Inputs'!$B$8)),'Loan Inputs'!$B$8+A1730*IF('Loan Inputs'!$B$14=26,14,7)))</f>
        <v/>
      </c>
      <c r="C1730" s="2" t="str">
        <f t="shared" si="80"/>
        <v/>
      </c>
      <c r="D1730" s="2" t="str">
        <f>IF(A1730="","",MIN('Loan Inputs'!$B$17,C1730+E1730)+H1730)</f>
        <v/>
      </c>
      <c r="E1730" s="2" t="str">
        <f>IF(A1730="","",C1730*'Loan Inputs'!$B$15)</f>
        <v/>
      </c>
      <c r="F1730" s="2" t="str">
        <f t="shared" si="78"/>
        <v/>
      </c>
      <c r="G1730" s="2" t="str">
        <f t="shared" si="79"/>
        <v/>
      </c>
      <c r="H1730" s="2" t="str">
        <f>IF(A1730="","",MIN(0,MAX(0,C1730+E1730-'Loan Inputs'!$B$17)))</f>
        <v/>
      </c>
    </row>
    <row r="1731" spans="1:8" ht="22" customHeight="1">
      <c r="A1731" s="1" t="str">
        <f>IF(AND('Loan Inputs'!$B$12,1725&lt;=IF('Loan Inputs'!$B$12,'Loan Inputs'!$B$7,0)*'Loan Inputs'!$B$14+0,ISNUMBER(G1730),G1730&gt;0),1725,"")</f>
        <v/>
      </c>
      <c r="B1731" s="4" t="str">
        <f>IF(A1731="","",IF('Loan Inputs'!$B$14=12,DATE(YEAR('Loan Inputs'!$B$8),MONTH('Loan Inputs'!$B$8)+A1731,DAY('Loan Inputs'!$B$8)),'Loan Inputs'!$B$8+A1731*IF('Loan Inputs'!$B$14=26,14,7)))</f>
        <v/>
      </c>
      <c r="C1731" s="2" t="str">
        <f t="shared" si="80"/>
        <v/>
      </c>
      <c r="D1731" s="2" t="str">
        <f>IF(A1731="","",MIN('Loan Inputs'!$B$17,C1731+E1731)+H1731)</f>
        <v/>
      </c>
      <c r="E1731" s="2" t="str">
        <f>IF(A1731="","",C1731*'Loan Inputs'!$B$15)</f>
        <v/>
      </c>
      <c r="F1731" s="2" t="str">
        <f t="shared" si="78"/>
        <v/>
      </c>
      <c r="G1731" s="2" t="str">
        <f t="shared" si="79"/>
        <v/>
      </c>
      <c r="H1731" s="2" t="str">
        <f>IF(A1731="","",MIN(0,MAX(0,C1731+E1731-'Loan Inputs'!$B$17)))</f>
        <v/>
      </c>
    </row>
    <row r="1732" spans="1:8" ht="22" customHeight="1">
      <c r="A1732" s="1" t="str">
        <f>IF(AND('Loan Inputs'!$B$12,1726&lt;=IF('Loan Inputs'!$B$12,'Loan Inputs'!$B$7,0)*'Loan Inputs'!$B$14+0,ISNUMBER(G1731),G1731&gt;0),1726,"")</f>
        <v/>
      </c>
      <c r="B1732" s="4" t="str">
        <f>IF(A1732="","",IF('Loan Inputs'!$B$14=12,DATE(YEAR('Loan Inputs'!$B$8),MONTH('Loan Inputs'!$B$8)+A1732,DAY('Loan Inputs'!$B$8)),'Loan Inputs'!$B$8+A1732*IF('Loan Inputs'!$B$14=26,14,7)))</f>
        <v/>
      </c>
      <c r="C1732" s="2" t="str">
        <f t="shared" si="80"/>
        <v/>
      </c>
      <c r="D1732" s="2" t="str">
        <f>IF(A1732="","",MIN('Loan Inputs'!$B$17,C1732+E1732)+H1732)</f>
        <v/>
      </c>
      <c r="E1732" s="2" t="str">
        <f>IF(A1732="","",C1732*'Loan Inputs'!$B$15)</f>
        <v/>
      </c>
      <c r="F1732" s="2" t="str">
        <f t="shared" si="78"/>
        <v/>
      </c>
      <c r="G1732" s="2" t="str">
        <f t="shared" si="79"/>
        <v/>
      </c>
      <c r="H1732" s="2" t="str">
        <f>IF(A1732="","",MIN(0,MAX(0,C1732+E1732-'Loan Inputs'!$B$17)))</f>
        <v/>
      </c>
    </row>
    <row r="1733" spans="1:8" ht="22" customHeight="1">
      <c r="A1733" s="1" t="str">
        <f>IF(AND('Loan Inputs'!$B$12,1727&lt;=IF('Loan Inputs'!$B$12,'Loan Inputs'!$B$7,0)*'Loan Inputs'!$B$14+0,ISNUMBER(G1732),G1732&gt;0),1727,"")</f>
        <v/>
      </c>
      <c r="B1733" s="4" t="str">
        <f>IF(A1733="","",IF('Loan Inputs'!$B$14=12,DATE(YEAR('Loan Inputs'!$B$8),MONTH('Loan Inputs'!$B$8)+A1733,DAY('Loan Inputs'!$B$8)),'Loan Inputs'!$B$8+A1733*IF('Loan Inputs'!$B$14=26,14,7)))</f>
        <v/>
      </c>
      <c r="C1733" s="2" t="str">
        <f t="shared" si="80"/>
        <v/>
      </c>
      <c r="D1733" s="2" t="str">
        <f>IF(A1733="","",MIN('Loan Inputs'!$B$17,C1733+E1733)+H1733)</f>
        <v/>
      </c>
      <c r="E1733" s="2" t="str">
        <f>IF(A1733="","",C1733*'Loan Inputs'!$B$15)</f>
        <v/>
      </c>
      <c r="F1733" s="2" t="str">
        <f t="shared" si="78"/>
        <v/>
      </c>
      <c r="G1733" s="2" t="str">
        <f t="shared" si="79"/>
        <v/>
      </c>
      <c r="H1733" s="2" t="str">
        <f>IF(A1733="","",MIN(0,MAX(0,C1733+E1733-'Loan Inputs'!$B$17)))</f>
        <v/>
      </c>
    </row>
    <row r="1734" spans="1:8" ht="22" customHeight="1">
      <c r="A1734" s="1" t="str">
        <f>IF(AND('Loan Inputs'!$B$12,1728&lt;=IF('Loan Inputs'!$B$12,'Loan Inputs'!$B$7,0)*'Loan Inputs'!$B$14+0,ISNUMBER(G1733),G1733&gt;0),1728,"")</f>
        <v/>
      </c>
      <c r="B1734" s="4" t="str">
        <f>IF(A1734="","",IF('Loan Inputs'!$B$14=12,DATE(YEAR('Loan Inputs'!$B$8),MONTH('Loan Inputs'!$B$8)+A1734,DAY('Loan Inputs'!$B$8)),'Loan Inputs'!$B$8+A1734*IF('Loan Inputs'!$B$14=26,14,7)))</f>
        <v/>
      </c>
      <c r="C1734" s="2" t="str">
        <f t="shared" si="80"/>
        <v/>
      </c>
      <c r="D1734" s="2" t="str">
        <f>IF(A1734="","",MIN('Loan Inputs'!$B$17,C1734+E1734)+H1734)</f>
        <v/>
      </c>
      <c r="E1734" s="2" t="str">
        <f>IF(A1734="","",C1734*'Loan Inputs'!$B$15)</f>
        <v/>
      </c>
      <c r="F1734" s="2" t="str">
        <f t="shared" si="78"/>
        <v/>
      </c>
      <c r="G1734" s="2" t="str">
        <f t="shared" si="79"/>
        <v/>
      </c>
      <c r="H1734" s="2" t="str">
        <f>IF(A1734="","",MIN(0,MAX(0,C1734+E1734-'Loan Inputs'!$B$17)))</f>
        <v/>
      </c>
    </row>
    <row r="1735" spans="1:8" ht="22" customHeight="1">
      <c r="A1735" s="1" t="str">
        <f>IF(AND('Loan Inputs'!$B$12,1729&lt;=IF('Loan Inputs'!$B$12,'Loan Inputs'!$B$7,0)*'Loan Inputs'!$B$14+0,ISNUMBER(G1734),G1734&gt;0),1729,"")</f>
        <v/>
      </c>
      <c r="B1735" s="4" t="str">
        <f>IF(A1735="","",IF('Loan Inputs'!$B$14=12,DATE(YEAR('Loan Inputs'!$B$8),MONTH('Loan Inputs'!$B$8)+A1735,DAY('Loan Inputs'!$B$8)),'Loan Inputs'!$B$8+A1735*IF('Loan Inputs'!$B$14=26,14,7)))</f>
        <v/>
      </c>
      <c r="C1735" s="2" t="str">
        <f t="shared" si="80"/>
        <v/>
      </c>
      <c r="D1735" s="2" t="str">
        <f>IF(A1735="","",MIN('Loan Inputs'!$B$17,C1735+E1735)+H1735)</f>
        <v/>
      </c>
      <c r="E1735" s="2" t="str">
        <f>IF(A1735="","",C1735*'Loan Inputs'!$B$15)</f>
        <v/>
      </c>
      <c r="F1735" s="2" t="str">
        <f t="shared" ref="F1735:F1798" si="81">IF(A1735="","",MIN(C1735,D1735-E1735))</f>
        <v/>
      </c>
      <c r="G1735" s="2" t="str">
        <f t="shared" ref="G1735:G1798" si="82">IF(A1735="","",IF(C1735-F1735&lt;0.01,0,MAX(0,C1735-F1735)))</f>
        <v/>
      </c>
      <c r="H1735" s="2" t="str">
        <f>IF(A1735="","",MIN(0,MAX(0,C1735+E1735-'Loan Inputs'!$B$17)))</f>
        <v/>
      </c>
    </row>
    <row r="1736" spans="1:8" ht="22" customHeight="1">
      <c r="A1736" s="1" t="str">
        <f>IF(AND('Loan Inputs'!$B$12,1730&lt;=IF('Loan Inputs'!$B$12,'Loan Inputs'!$B$7,0)*'Loan Inputs'!$B$14+0,ISNUMBER(G1735),G1735&gt;0),1730,"")</f>
        <v/>
      </c>
      <c r="B1736" s="4" t="str">
        <f>IF(A1736="","",IF('Loan Inputs'!$B$14=12,DATE(YEAR('Loan Inputs'!$B$8),MONTH('Loan Inputs'!$B$8)+A1736,DAY('Loan Inputs'!$B$8)),'Loan Inputs'!$B$8+A1736*IF('Loan Inputs'!$B$14=26,14,7)))</f>
        <v/>
      </c>
      <c r="C1736" s="2" t="str">
        <f t="shared" ref="C1736:C1799" si="83">IF(A1736="","",G1735)</f>
        <v/>
      </c>
      <c r="D1736" s="2" t="str">
        <f>IF(A1736="","",MIN('Loan Inputs'!$B$17,C1736+E1736)+H1736)</f>
        <v/>
      </c>
      <c r="E1736" s="2" t="str">
        <f>IF(A1736="","",C1736*'Loan Inputs'!$B$15)</f>
        <v/>
      </c>
      <c r="F1736" s="2" t="str">
        <f t="shared" si="81"/>
        <v/>
      </c>
      <c r="G1736" s="2" t="str">
        <f t="shared" si="82"/>
        <v/>
      </c>
      <c r="H1736" s="2" t="str">
        <f>IF(A1736="","",MIN(0,MAX(0,C1736+E1736-'Loan Inputs'!$B$17)))</f>
        <v/>
      </c>
    </row>
    <row r="1737" spans="1:8" ht="22" customHeight="1">
      <c r="A1737" s="1" t="str">
        <f>IF(AND('Loan Inputs'!$B$12,1731&lt;=IF('Loan Inputs'!$B$12,'Loan Inputs'!$B$7,0)*'Loan Inputs'!$B$14+0,ISNUMBER(G1736),G1736&gt;0),1731,"")</f>
        <v/>
      </c>
      <c r="B1737" s="4" t="str">
        <f>IF(A1737="","",IF('Loan Inputs'!$B$14=12,DATE(YEAR('Loan Inputs'!$B$8),MONTH('Loan Inputs'!$B$8)+A1737,DAY('Loan Inputs'!$B$8)),'Loan Inputs'!$B$8+A1737*IF('Loan Inputs'!$B$14=26,14,7)))</f>
        <v/>
      </c>
      <c r="C1737" s="2" t="str">
        <f t="shared" si="83"/>
        <v/>
      </c>
      <c r="D1737" s="2" t="str">
        <f>IF(A1737="","",MIN('Loan Inputs'!$B$17,C1737+E1737)+H1737)</f>
        <v/>
      </c>
      <c r="E1737" s="2" t="str">
        <f>IF(A1737="","",C1737*'Loan Inputs'!$B$15)</f>
        <v/>
      </c>
      <c r="F1737" s="2" t="str">
        <f t="shared" si="81"/>
        <v/>
      </c>
      <c r="G1737" s="2" t="str">
        <f t="shared" si="82"/>
        <v/>
      </c>
      <c r="H1737" s="2" t="str">
        <f>IF(A1737="","",MIN(0,MAX(0,C1737+E1737-'Loan Inputs'!$B$17)))</f>
        <v/>
      </c>
    </row>
    <row r="1738" spans="1:8" ht="22" customHeight="1">
      <c r="A1738" s="1" t="str">
        <f>IF(AND('Loan Inputs'!$B$12,1732&lt;=IF('Loan Inputs'!$B$12,'Loan Inputs'!$B$7,0)*'Loan Inputs'!$B$14+0,ISNUMBER(G1737),G1737&gt;0),1732,"")</f>
        <v/>
      </c>
      <c r="B1738" s="4" t="str">
        <f>IF(A1738="","",IF('Loan Inputs'!$B$14=12,DATE(YEAR('Loan Inputs'!$B$8),MONTH('Loan Inputs'!$B$8)+A1738,DAY('Loan Inputs'!$B$8)),'Loan Inputs'!$B$8+A1738*IF('Loan Inputs'!$B$14=26,14,7)))</f>
        <v/>
      </c>
      <c r="C1738" s="2" t="str">
        <f t="shared" si="83"/>
        <v/>
      </c>
      <c r="D1738" s="2" t="str">
        <f>IF(A1738="","",MIN('Loan Inputs'!$B$17,C1738+E1738)+H1738)</f>
        <v/>
      </c>
      <c r="E1738" s="2" t="str">
        <f>IF(A1738="","",C1738*'Loan Inputs'!$B$15)</f>
        <v/>
      </c>
      <c r="F1738" s="2" t="str">
        <f t="shared" si="81"/>
        <v/>
      </c>
      <c r="G1738" s="2" t="str">
        <f t="shared" si="82"/>
        <v/>
      </c>
      <c r="H1738" s="2" t="str">
        <f>IF(A1738="","",MIN(0,MAX(0,C1738+E1738-'Loan Inputs'!$B$17)))</f>
        <v/>
      </c>
    </row>
    <row r="1739" spans="1:8" ht="22" customHeight="1">
      <c r="A1739" s="1" t="str">
        <f>IF(AND('Loan Inputs'!$B$12,1733&lt;=IF('Loan Inputs'!$B$12,'Loan Inputs'!$B$7,0)*'Loan Inputs'!$B$14+0,ISNUMBER(G1738),G1738&gt;0),1733,"")</f>
        <v/>
      </c>
      <c r="B1739" s="4" t="str">
        <f>IF(A1739="","",IF('Loan Inputs'!$B$14=12,DATE(YEAR('Loan Inputs'!$B$8),MONTH('Loan Inputs'!$B$8)+A1739,DAY('Loan Inputs'!$B$8)),'Loan Inputs'!$B$8+A1739*IF('Loan Inputs'!$B$14=26,14,7)))</f>
        <v/>
      </c>
      <c r="C1739" s="2" t="str">
        <f t="shared" si="83"/>
        <v/>
      </c>
      <c r="D1739" s="2" t="str">
        <f>IF(A1739="","",MIN('Loan Inputs'!$B$17,C1739+E1739)+H1739)</f>
        <v/>
      </c>
      <c r="E1739" s="2" t="str">
        <f>IF(A1739="","",C1739*'Loan Inputs'!$B$15)</f>
        <v/>
      </c>
      <c r="F1739" s="2" t="str">
        <f t="shared" si="81"/>
        <v/>
      </c>
      <c r="G1739" s="2" t="str">
        <f t="shared" si="82"/>
        <v/>
      </c>
      <c r="H1739" s="2" t="str">
        <f>IF(A1739="","",MIN(0,MAX(0,C1739+E1739-'Loan Inputs'!$B$17)))</f>
        <v/>
      </c>
    </row>
    <row r="1740" spans="1:8" ht="22" customHeight="1">
      <c r="A1740" s="1" t="str">
        <f>IF(AND('Loan Inputs'!$B$12,1734&lt;=IF('Loan Inputs'!$B$12,'Loan Inputs'!$B$7,0)*'Loan Inputs'!$B$14+0,ISNUMBER(G1739),G1739&gt;0),1734,"")</f>
        <v/>
      </c>
      <c r="B1740" s="4" t="str">
        <f>IF(A1740="","",IF('Loan Inputs'!$B$14=12,DATE(YEAR('Loan Inputs'!$B$8),MONTH('Loan Inputs'!$B$8)+A1740,DAY('Loan Inputs'!$B$8)),'Loan Inputs'!$B$8+A1740*IF('Loan Inputs'!$B$14=26,14,7)))</f>
        <v/>
      </c>
      <c r="C1740" s="2" t="str">
        <f t="shared" si="83"/>
        <v/>
      </c>
      <c r="D1740" s="2" t="str">
        <f>IF(A1740="","",MIN('Loan Inputs'!$B$17,C1740+E1740)+H1740)</f>
        <v/>
      </c>
      <c r="E1740" s="2" t="str">
        <f>IF(A1740="","",C1740*'Loan Inputs'!$B$15)</f>
        <v/>
      </c>
      <c r="F1740" s="2" t="str">
        <f t="shared" si="81"/>
        <v/>
      </c>
      <c r="G1740" s="2" t="str">
        <f t="shared" si="82"/>
        <v/>
      </c>
      <c r="H1740" s="2" t="str">
        <f>IF(A1740="","",MIN(0,MAX(0,C1740+E1740-'Loan Inputs'!$B$17)))</f>
        <v/>
      </c>
    </row>
    <row r="1741" spans="1:8" ht="22" customHeight="1">
      <c r="A1741" s="1" t="str">
        <f>IF(AND('Loan Inputs'!$B$12,1735&lt;=IF('Loan Inputs'!$B$12,'Loan Inputs'!$B$7,0)*'Loan Inputs'!$B$14+0,ISNUMBER(G1740),G1740&gt;0),1735,"")</f>
        <v/>
      </c>
      <c r="B1741" s="4" t="str">
        <f>IF(A1741="","",IF('Loan Inputs'!$B$14=12,DATE(YEAR('Loan Inputs'!$B$8),MONTH('Loan Inputs'!$B$8)+A1741,DAY('Loan Inputs'!$B$8)),'Loan Inputs'!$B$8+A1741*IF('Loan Inputs'!$B$14=26,14,7)))</f>
        <v/>
      </c>
      <c r="C1741" s="2" t="str">
        <f t="shared" si="83"/>
        <v/>
      </c>
      <c r="D1741" s="2" t="str">
        <f>IF(A1741="","",MIN('Loan Inputs'!$B$17,C1741+E1741)+H1741)</f>
        <v/>
      </c>
      <c r="E1741" s="2" t="str">
        <f>IF(A1741="","",C1741*'Loan Inputs'!$B$15)</f>
        <v/>
      </c>
      <c r="F1741" s="2" t="str">
        <f t="shared" si="81"/>
        <v/>
      </c>
      <c r="G1741" s="2" t="str">
        <f t="shared" si="82"/>
        <v/>
      </c>
      <c r="H1741" s="2" t="str">
        <f>IF(A1741="","",MIN(0,MAX(0,C1741+E1741-'Loan Inputs'!$B$17)))</f>
        <v/>
      </c>
    </row>
    <row r="1742" spans="1:8" ht="22" customHeight="1">
      <c r="A1742" s="1" t="str">
        <f>IF(AND('Loan Inputs'!$B$12,1736&lt;=IF('Loan Inputs'!$B$12,'Loan Inputs'!$B$7,0)*'Loan Inputs'!$B$14+0,ISNUMBER(G1741),G1741&gt;0),1736,"")</f>
        <v/>
      </c>
      <c r="B1742" s="4" t="str">
        <f>IF(A1742="","",IF('Loan Inputs'!$B$14=12,DATE(YEAR('Loan Inputs'!$B$8),MONTH('Loan Inputs'!$B$8)+A1742,DAY('Loan Inputs'!$B$8)),'Loan Inputs'!$B$8+A1742*IF('Loan Inputs'!$B$14=26,14,7)))</f>
        <v/>
      </c>
      <c r="C1742" s="2" t="str">
        <f t="shared" si="83"/>
        <v/>
      </c>
      <c r="D1742" s="2" t="str">
        <f>IF(A1742="","",MIN('Loan Inputs'!$B$17,C1742+E1742)+H1742)</f>
        <v/>
      </c>
      <c r="E1742" s="2" t="str">
        <f>IF(A1742="","",C1742*'Loan Inputs'!$B$15)</f>
        <v/>
      </c>
      <c r="F1742" s="2" t="str">
        <f t="shared" si="81"/>
        <v/>
      </c>
      <c r="G1742" s="2" t="str">
        <f t="shared" si="82"/>
        <v/>
      </c>
      <c r="H1742" s="2" t="str">
        <f>IF(A1742="","",MIN(0,MAX(0,C1742+E1742-'Loan Inputs'!$B$17)))</f>
        <v/>
      </c>
    </row>
    <row r="1743" spans="1:8" ht="22" customHeight="1">
      <c r="A1743" s="1" t="str">
        <f>IF(AND('Loan Inputs'!$B$12,1737&lt;=IF('Loan Inputs'!$B$12,'Loan Inputs'!$B$7,0)*'Loan Inputs'!$B$14+0,ISNUMBER(G1742),G1742&gt;0),1737,"")</f>
        <v/>
      </c>
      <c r="B1743" s="4" t="str">
        <f>IF(A1743="","",IF('Loan Inputs'!$B$14=12,DATE(YEAR('Loan Inputs'!$B$8),MONTH('Loan Inputs'!$B$8)+A1743,DAY('Loan Inputs'!$B$8)),'Loan Inputs'!$B$8+A1743*IF('Loan Inputs'!$B$14=26,14,7)))</f>
        <v/>
      </c>
      <c r="C1743" s="2" t="str">
        <f t="shared" si="83"/>
        <v/>
      </c>
      <c r="D1743" s="2" t="str">
        <f>IF(A1743="","",MIN('Loan Inputs'!$B$17,C1743+E1743)+H1743)</f>
        <v/>
      </c>
      <c r="E1743" s="2" t="str">
        <f>IF(A1743="","",C1743*'Loan Inputs'!$B$15)</f>
        <v/>
      </c>
      <c r="F1743" s="2" t="str">
        <f t="shared" si="81"/>
        <v/>
      </c>
      <c r="G1743" s="2" t="str">
        <f t="shared" si="82"/>
        <v/>
      </c>
      <c r="H1743" s="2" t="str">
        <f>IF(A1743="","",MIN(0,MAX(0,C1743+E1743-'Loan Inputs'!$B$17)))</f>
        <v/>
      </c>
    </row>
    <row r="1744" spans="1:8" ht="22" customHeight="1">
      <c r="A1744" s="1" t="str">
        <f>IF(AND('Loan Inputs'!$B$12,1738&lt;=IF('Loan Inputs'!$B$12,'Loan Inputs'!$B$7,0)*'Loan Inputs'!$B$14+0,ISNUMBER(G1743),G1743&gt;0),1738,"")</f>
        <v/>
      </c>
      <c r="B1744" s="4" t="str">
        <f>IF(A1744="","",IF('Loan Inputs'!$B$14=12,DATE(YEAR('Loan Inputs'!$B$8),MONTH('Loan Inputs'!$B$8)+A1744,DAY('Loan Inputs'!$B$8)),'Loan Inputs'!$B$8+A1744*IF('Loan Inputs'!$B$14=26,14,7)))</f>
        <v/>
      </c>
      <c r="C1744" s="2" t="str">
        <f t="shared" si="83"/>
        <v/>
      </c>
      <c r="D1744" s="2" t="str">
        <f>IF(A1744="","",MIN('Loan Inputs'!$B$17,C1744+E1744)+H1744)</f>
        <v/>
      </c>
      <c r="E1744" s="2" t="str">
        <f>IF(A1744="","",C1744*'Loan Inputs'!$B$15)</f>
        <v/>
      </c>
      <c r="F1744" s="2" t="str">
        <f t="shared" si="81"/>
        <v/>
      </c>
      <c r="G1744" s="2" t="str">
        <f t="shared" si="82"/>
        <v/>
      </c>
      <c r="H1744" s="2" t="str">
        <f>IF(A1744="","",MIN(0,MAX(0,C1744+E1744-'Loan Inputs'!$B$17)))</f>
        <v/>
      </c>
    </row>
    <row r="1745" spans="1:8" ht="22" customHeight="1">
      <c r="A1745" s="1" t="str">
        <f>IF(AND('Loan Inputs'!$B$12,1739&lt;=IF('Loan Inputs'!$B$12,'Loan Inputs'!$B$7,0)*'Loan Inputs'!$B$14+0,ISNUMBER(G1744),G1744&gt;0),1739,"")</f>
        <v/>
      </c>
      <c r="B1745" s="4" t="str">
        <f>IF(A1745="","",IF('Loan Inputs'!$B$14=12,DATE(YEAR('Loan Inputs'!$B$8),MONTH('Loan Inputs'!$B$8)+A1745,DAY('Loan Inputs'!$B$8)),'Loan Inputs'!$B$8+A1745*IF('Loan Inputs'!$B$14=26,14,7)))</f>
        <v/>
      </c>
      <c r="C1745" s="2" t="str">
        <f t="shared" si="83"/>
        <v/>
      </c>
      <c r="D1745" s="2" t="str">
        <f>IF(A1745="","",MIN('Loan Inputs'!$B$17,C1745+E1745)+H1745)</f>
        <v/>
      </c>
      <c r="E1745" s="2" t="str">
        <f>IF(A1745="","",C1745*'Loan Inputs'!$B$15)</f>
        <v/>
      </c>
      <c r="F1745" s="2" t="str">
        <f t="shared" si="81"/>
        <v/>
      </c>
      <c r="G1745" s="2" t="str">
        <f t="shared" si="82"/>
        <v/>
      </c>
      <c r="H1745" s="2" t="str">
        <f>IF(A1745="","",MIN(0,MAX(0,C1745+E1745-'Loan Inputs'!$B$17)))</f>
        <v/>
      </c>
    </row>
    <row r="1746" spans="1:8" ht="22" customHeight="1">
      <c r="A1746" s="1" t="str">
        <f>IF(AND('Loan Inputs'!$B$12,1740&lt;=IF('Loan Inputs'!$B$12,'Loan Inputs'!$B$7,0)*'Loan Inputs'!$B$14+0,ISNUMBER(G1745),G1745&gt;0),1740,"")</f>
        <v/>
      </c>
      <c r="B1746" s="4" t="str">
        <f>IF(A1746="","",IF('Loan Inputs'!$B$14=12,DATE(YEAR('Loan Inputs'!$B$8),MONTH('Loan Inputs'!$B$8)+A1746,DAY('Loan Inputs'!$B$8)),'Loan Inputs'!$B$8+A1746*IF('Loan Inputs'!$B$14=26,14,7)))</f>
        <v/>
      </c>
      <c r="C1746" s="2" t="str">
        <f t="shared" si="83"/>
        <v/>
      </c>
      <c r="D1746" s="2" t="str">
        <f>IF(A1746="","",MIN('Loan Inputs'!$B$17,C1746+E1746)+H1746)</f>
        <v/>
      </c>
      <c r="E1746" s="2" t="str">
        <f>IF(A1746="","",C1746*'Loan Inputs'!$B$15)</f>
        <v/>
      </c>
      <c r="F1746" s="2" t="str">
        <f t="shared" si="81"/>
        <v/>
      </c>
      <c r="G1746" s="2" t="str">
        <f t="shared" si="82"/>
        <v/>
      </c>
      <c r="H1746" s="2" t="str">
        <f>IF(A1746="","",MIN(0,MAX(0,C1746+E1746-'Loan Inputs'!$B$17)))</f>
        <v/>
      </c>
    </row>
    <row r="1747" spans="1:8" ht="22" customHeight="1">
      <c r="A1747" s="1" t="str">
        <f>IF(AND('Loan Inputs'!$B$12,1741&lt;=IF('Loan Inputs'!$B$12,'Loan Inputs'!$B$7,0)*'Loan Inputs'!$B$14+0,ISNUMBER(G1746),G1746&gt;0),1741,"")</f>
        <v/>
      </c>
      <c r="B1747" s="4" t="str">
        <f>IF(A1747="","",IF('Loan Inputs'!$B$14=12,DATE(YEAR('Loan Inputs'!$B$8),MONTH('Loan Inputs'!$B$8)+A1747,DAY('Loan Inputs'!$B$8)),'Loan Inputs'!$B$8+A1747*IF('Loan Inputs'!$B$14=26,14,7)))</f>
        <v/>
      </c>
      <c r="C1747" s="2" t="str">
        <f t="shared" si="83"/>
        <v/>
      </c>
      <c r="D1747" s="2" t="str">
        <f>IF(A1747="","",MIN('Loan Inputs'!$B$17,C1747+E1747)+H1747)</f>
        <v/>
      </c>
      <c r="E1747" s="2" t="str">
        <f>IF(A1747="","",C1747*'Loan Inputs'!$B$15)</f>
        <v/>
      </c>
      <c r="F1747" s="2" t="str">
        <f t="shared" si="81"/>
        <v/>
      </c>
      <c r="G1747" s="2" t="str">
        <f t="shared" si="82"/>
        <v/>
      </c>
      <c r="H1747" s="2" t="str">
        <f>IF(A1747="","",MIN(0,MAX(0,C1747+E1747-'Loan Inputs'!$B$17)))</f>
        <v/>
      </c>
    </row>
    <row r="1748" spans="1:8" ht="22" customHeight="1">
      <c r="A1748" s="1" t="str">
        <f>IF(AND('Loan Inputs'!$B$12,1742&lt;=IF('Loan Inputs'!$B$12,'Loan Inputs'!$B$7,0)*'Loan Inputs'!$B$14+0,ISNUMBER(G1747),G1747&gt;0),1742,"")</f>
        <v/>
      </c>
      <c r="B1748" s="4" t="str">
        <f>IF(A1748="","",IF('Loan Inputs'!$B$14=12,DATE(YEAR('Loan Inputs'!$B$8),MONTH('Loan Inputs'!$B$8)+A1748,DAY('Loan Inputs'!$B$8)),'Loan Inputs'!$B$8+A1748*IF('Loan Inputs'!$B$14=26,14,7)))</f>
        <v/>
      </c>
      <c r="C1748" s="2" t="str">
        <f t="shared" si="83"/>
        <v/>
      </c>
      <c r="D1748" s="2" t="str">
        <f>IF(A1748="","",MIN('Loan Inputs'!$B$17,C1748+E1748)+H1748)</f>
        <v/>
      </c>
      <c r="E1748" s="2" t="str">
        <f>IF(A1748="","",C1748*'Loan Inputs'!$B$15)</f>
        <v/>
      </c>
      <c r="F1748" s="2" t="str">
        <f t="shared" si="81"/>
        <v/>
      </c>
      <c r="G1748" s="2" t="str">
        <f t="shared" si="82"/>
        <v/>
      </c>
      <c r="H1748" s="2" t="str">
        <f>IF(A1748="","",MIN(0,MAX(0,C1748+E1748-'Loan Inputs'!$B$17)))</f>
        <v/>
      </c>
    </row>
    <row r="1749" spans="1:8" ht="22" customHeight="1">
      <c r="A1749" s="1" t="str">
        <f>IF(AND('Loan Inputs'!$B$12,1743&lt;=IF('Loan Inputs'!$B$12,'Loan Inputs'!$B$7,0)*'Loan Inputs'!$B$14+0,ISNUMBER(G1748),G1748&gt;0),1743,"")</f>
        <v/>
      </c>
      <c r="B1749" s="4" t="str">
        <f>IF(A1749="","",IF('Loan Inputs'!$B$14=12,DATE(YEAR('Loan Inputs'!$B$8),MONTH('Loan Inputs'!$B$8)+A1749,DAY('Loan Inputs'!$B$8)),'Loan Inputs'!$B$8+A1749*IF('Loan Inputs'!$B$14=26,14,7)))</f>
        <v/>
      </c>
      <c r="C1749" s="2" t="str">
        <f t="shared" si="83"/>
        <v/>
      </c>
      <c r="D1749" s="2" t="str">
        <f>IF(A1749="","",MIN('Loan Inputs'!$B$17,C1749+E1749)+H1749)</f>
        <v/>
      </c>
      <c r="E1749" s="2" t="str">
        <f>IF(A1749="","",C1749*'Loan Inputs'!$B$15)</f>
        <v/>
      </c>
      <c r="F1749" s="2" t="str">
        <f t="shared" si="81"/>
        <v/>
      </c>
      <c r="G1749" s="2" t="str">
        <f t="shared" si="82"/>
        <v/>
      </c>
      <c r="H1749" s="2" t="str">
        <f>IF(A1749="","",MIN(0,MAX(0,C1749+E1749-'Loan Inputs'!$B$17)))</f>
        <v/>
      </c>
    </row>
    <row r="1750" spans="1:8" ht="22" customHeight="1">
      <c r="A1750" s="1" t="str">
        <f>IF(AND('Loan Inputs'!$B$12,1744&lt;=IF('Loan Inputs'!$B$12,'Loan Inputs'!$B$7,0)*'Loan Inputs'!$B$14+0,ISNUMBER(G1749),G1749&gt;0),1744,"")</f>
        <v/>
      </c>
      <c r="B1750" s="4" t="str">
        <f>IF(A1750="","",IF('Loan Inputs'!$B$14=12,DATE(YEAR('Loan Inputs'!$B$8),MONTH('Loan Inputs'!$B$8)+A1750,DAY('Loan Inputs'!$B$8)),'Loan Inputs'!$B$8+A1750*IF('Loan Inputs'!$B$14=26,14,7)))</f>
        <v/>
      </c>
      <c r="C1750" s="2" t="str">
        <f t="shared" si="83"/>
        <v/>
      </c>
      <c r="D1750" s="2" t="str">
        <f>IF(A1750="","",MIN('Loan Inputs'!$B$17,C1750+E1750)+H1750)</f>
        <v/>
      </c>
      <c r="E1750" s="2" t="str">
        <f>IF(A1750="","",C1750*'Loan Inputs'!$B$15)</f>
        <v/>
      </c>
      <c r="F1750" s="2" t="str">
        <f t="shared" si="81"/>
        <v/>
      </c>
      <c r="G1750" s="2" t="str">
        <f t="shared" si="82"/>
        <v/>
      </c>
      <c r="H1750" s="2" t="str">
        <f>IF(A1750="","",MIN(0,MAX(0,C1750+E1750-'Loan Inputs'!$B$17)))</f>
        <v/>
      </c>
    </row>
    <row r="1751" spans="1:8" ht="22" customHeight="1">
      <c r="A1751" s="1" t="str">
        <f>IF(AND('Loan Inputs'!$B$12,1745&lt;=IF('Loan Inputs'!$B$12,'Loan Inputs'!$B$7,0)*'Loan Inputs'!$B$14+0,ISNUMBER(G1750),G1750&gt;0),1745,"")</f>
        <v/>
      </c>
      <c r="B1751" s="4" t="str">
        <f>IF(A1751="","",IF('Loan Inputs'!$B$14=12,DATE(YEAR('Loan Inputs'!$B$8),MONTH('Loan Inputs'!$B$8)+A1751,DAY('Loan Inputs'!$B$8)),'Loan Inputs'!$B$8+A1751*IF('Loan Inputs'!$B$14=26,14,7)))</f>
        <v/>
      </c>
      <c r="C1751" s="2" t="str">
        <f t="shared" si="83"/>
        <v/>
      </c>
      <c r="D1751" s="2" t="str">
        <f>IF(A1751="","",MIN('Loan Inputs'!$B$17,C1751+E1751)+H1751)</f>
        <v/>
      </c>
      <c r="E1751" s="2" t="str">
        <f>IF(A1751="","",C1751*'Loan Inputs'!$B$15)</f>
        <v/>
      </c>
      <c r="F1751" s="2" t="str">
        <f t="shared" si="81"/>
        <v/>
      </c>
      <c r="G1751" s="2" t="str">
        <f t="shared" si="82"/>
        <v/>
      </c>
      <c r="H1751" s="2" t="str">
        <f>IF(A1751="","",MIN(0,MAX(0,C1751+E1751-'Loan Inputs'!$B$17)))</f>
        <v/>
      </c>
    </row>
    <row r="1752" spans="1:8" ht="22" customHeight="1">
      <c r="A1752" s="1" t="str">
        <f>IF(AND('Loan Inputs'!$B$12,1746&lt;=IF('Loan Inputs'!$B$12,'Loan Inputs'!$B$7,0)*'Loan Inputs'!$B$14+0,ISNUMBER(G1751),G1751&gt;0),1746,"")</f>
        <v/>
      </c>
      <c r="B1752" s="4" t="str">
        <f>IF(A1752="","",IF('Loan Inputs'!$B$14=12,DATE(YEAR('Loan Inputs'!$B$8),MONTH('Loan Inputs'!$B$8)+A1752,DAY('Loan Inputs'!$B$8)),'Loan Inputs'!$B$8+A1752*IF('Loan Inputs'!$B$14=26,14,7)))</f>
        <v/>
      </c>
      <c r="C1752" s="2" t="str">
        <f t="shared" si="83"/>
        <v/>
      </c>
      <c r="D1752" s="2" t="str">
        <f>IF(A1752="","",MIN('Loan Inputs'!$B$17,C1752+E1752)+H1752)</f>
        <v/>
      </c>
      <c r="E1752" s="2" t="str">
        <f>IF(A1752="","",C1752*'Loan Inputs'!$B$15)</f>
        <v/>
      </c>
      <c r="F1752" s="2" t="str">
        <f t="shared" si="81"/>
        <v/>
      </c>
      <c r="G1752" s="2" t="str">
        <f t="shared" si="82"/>
        <v/>
      </c>
      <c r="H1752" s="2" t="str">
        <f>IF(A1752="","",MIN(0,MAX(0,C1752+E1752-'Loan Inputs'!$B$17)))</f>
        <v/>
      </c>
    </row>
    <row r="1753" spans="1:8" ht="22" customHeight="1">
      <c r="A1753" s="1" t="str">
        <f>IF(AND('Loan Inputs'!$B$12,1747&lt;=IF('Loan Inputs'!$B$12,'Loan Inputs'!$B$7,0)*'Loan Inputs'!$B$14+0,ISNUMBER(G1752),G1752&gt;0),1747,"")</f>
        <v/>
      </c>
      <c r="B1753" s="4" t="str">
        <f>IF(A1753="","",IF('Loan Inputs'!$B$14=12,DATE(YEAR('Loan Inputs'!$B$8),MONTH('Loan Inputs'!$B$8)+A1753,DAY('Loan Inputs'!$B$8)),'Loan Inputs'!$B$8+A1753*IF('Loan Inputs'!$B$14=26,14,7)))</f>
        <v/>
      </c>
      <c r="C1753" s="2" t="str">
        <f t="shared" si="83"/>
        <v/>
      </c>
      <c r="D1753" s="2" t="str">
        <f>IF(A1753="","",MIN('Loan Inputs'!$B$17,C1753+E1753)+H1753)</f>
        <v/>
      </c>
      <c r="E1753" s="2" t="str">
        <f>IF(A1753="","",C1753*'Loan Inputs'!$B$15)</f>
        <v/>
      </c>
      <c r="F1753" s="2" t="str">
        <f t="shared" si="81"/>
        <v/>
      </c>
      <c r="G1753" s="2" t="str">
        <f t="shared" si="82"/>
        <v/>
      </c>
      <c r="H1753" s="2" t="str">
        <f>IF(A1753="","",MIN(0,MAX(0,C1753+E1753-'Loan Inputs'!$B$17)))</f>
        <v/>
      </c>
    </row>
    <row r="1754" spans="1:8" ht="22" customHeight="1">
      <c r="A1754" s="1" t="str">
        <f>IF(AND('Loan Inputs'!$B$12,1748&lt;=IF('Loan Inputs'!$B$12,'Loan Inputs'!$B$7,0)*'Loan Inputs'!$B$14+0,ISNUMBER(G1753),G1753&gt;0),1748,"")</f>
        <v/>
      </c>
      <c r="B1754" s="4" t="str">
        <f>IF(A1754="","",IF('Loan Inputs'!$B$14=12,DATE(YEAR('Loan Inputs'!$B$8),MONTH('Loan Inputs'!$B$8)+A1754,DAY('Loan Inputs'!$B$8)),'Loan Inputs'!$B$8+A1754*IF('Loan Inputs'!$B$14=26,14,7)))</f>
        <v/>
      </c>
      <c r="C1754" s="2" t="str">
        <f t="shared" si="83"/>
        <v/>
      </c>
      <c r="D1754" s="2" t="str">
        <f>IF(A1754="","",MIN('Loan Inputs'!$B$17,C1754+E1754)+H1754)</f>
        <v/>
      </c>
      <c r="E1754" s="2" t="str">
        <f>IF(A1754="","",C1754*'Loan Inputs'!$B$15)</f>
        <v/>
      </c>
      <c r="F1754" s="2" t="str">
        <f t="shared" si="81"/>
        <v/>
      </c>
      <c r="G1754" s="2" t="str">
        <f t="shared" si="82"/>
        <v/>
      </c>
      <c r="H1754" s="2" t="str">
        <f>IF(A1754="","",MIN(0,MAX(0,C1754+E1754-'Loan Inputs'!$B$17)))</f>
        <v/>
      </c>
    </row>
    <row r="1755" spans="1:8" ht="22" customHeight="1">
      <c r="A1755" s="1" t="str">
        <f>IF(AND('Loan Inputs'!$B$12,1749&lt;=IF('Loan Inputs'!$B$12,'Loan Inputs'!$B$7,0)*'Loan Inputs'!$B$14+0,ISNUMBER(G1754),G1754&gt;0),1749,"")</f>
        <v/>
      </c>
      <c r="B1755" s="4" t="str">
        <f>IF(A1755="","",IF('Loan Inputs'!$B$14=12,DATE(YEAR('Loan Inputs'!$B$8),MONTH('Loan Inputs'!$B$8)+A1755,DAY('Loan Inputs'!$B$8)),'Loan Inputs'!$B$8+A1755*IF('Loan Inputs'!$B$14=26,14,7)))</f>
        <v/>
      </c>
      <c r="C1755" s="2" t="str">
        <f t="shared" si="83"/>
        <v/>
      </c>
      <c r="D1755" s="2" t="str">
        <f>IF(A1755="","",MIN('Loan Inputs'!$B$17,C1755+E1755)+H1755)</f>
        <v/>
      </c>
      <c r="E1755" s="2" t="str">
        <f>IF(A1755="","",C1755*'Loan Inputs'!$B$15)</f>
        <v/>
      </c>
      <c r="F1755" s="2" t="str">
        <f t="shared" si="81"/>
        <v/>
      </c>
      <c r="G1755" s="2" t="str">
        <f t="shared" si="82"/>
        <v/>
      </c>
      <c r="H1755" s="2" t="str">
        <f>IF(A1755="","",MIN(0,MAX(0,C1755+E1755-'Loan Inputs'!$B$17)))</f>
        <v/>
      </c>
    </row>
    <row r="1756" spans="1:8" ht="22" customHeight="1">
      <c r="A1756" s="1" t="str">
        <f>IF(AND('Loan Inputs'!$B$12,1750&lt;=IF('Loan Inputs'!$B$12,'Loan Inputs'!$B$7,0)*'Loan Inputs'!$B$14+0,ISNUMBER(G1755),G1755&gt;0),1750,"")</f>
        <v/>
      </c>
      <c r="B1756" s="4" t="str">
        <f>IF(A1756="","",IF('Loan Inputs'!$B$14=12,DATE(YEAR('Loan Inputs'!$B$8),MONTH('Loan Inputs'!$B$8)+A1756,DAY('Loan Inputs'!$B$8)),'Loan Inputs'!$B$8+A1756*IF('Loan Inputs'!$B$14=26,14,7)))</f>
        <v/>
      </c>
      <c r="C1756" s="2" t="str">
        <f t="shared" si="83"/>
        <v/>
      </c>
      <c r="D1756" s="2" t="str">
        <f>IF(A1756="","",MIN('Loan Inputs'!$B$17,C1756+E1756)+H1756)</f>
        <v/>
      </c>
      <c r="E1756" s="2" t="str">
        <f>IF(A1756="","",C1756*'Loan Inputs'!$B$15)</f>
        <v/>
      </c>
      <c r="F1756" s="2" t="str">
        <f t="shared" si="81"/>
        <v/>
      </c>
      <c r="G1756" s="2" t="str">
        <f t="shared" si="82"/>
        <v/>
      </c>
      <c r="H1756" s="2" t="str">
        <f>IF(A1756="","",MIN(0,MAX(0,C1756+E1756-'Loan Inputs'!$B$17)))</f>
        <v/>
      </c>
    </row>
    <row r="1757" spans="1:8" ht="22" customHeight="1">
      <c r="A1757" s="1" t="str">
        <f>IF(AND('Loan Inputs'!$B$12,1751&lt;=IF('Loan Inputs'!$B$12,'Loan Inputs'!$B$7,0)*'Loan Inputs'!$B$14+0,ISNUMBER(G1756),G1756&gt;0),1751,"")</f>
        <v/>
      </c>
      <c r="B1757" s="4" t="str">
        <f>IF(A1757="","",IF('Loan Inputs'!$B$14=12,DATE(YEAR('Loan Inputs'!$B$8),MONTH('Loan Inputs'!$B$8)+A1757,DAY('Loan Inputs'!$B$8)),'Loan Inputs'!$B$8+A1757*IF('Loan Inputs'!$B$14=26,14,7)))</f>
        <v/>
      </c>
      <c r="C1757" s="2" t="str">
        <f t="shared" si="83"/>
        <v/>
      </c>
      <c r="D1757" s="2" t="str">
        <f>IF(A1757="","",MIN('Loan Inputs'!$B$17,C1757+E1757)+H1757)</f>
        <v/>
      </c>
      <c r="E1757" s="2" t="str">
        <f>IF(A1757="","",C1757*'Loan Inputs'!$B$15)</f>
        <v/>
      </c>
      <c r="F1757" s="2" t="str">
        <f t="shared" si="81"/>
        <v/>
      </c>
      <c r="G1757" s="2" t="str">
        <f t="shared" si="82"/>
        <v/>
      </c>
      <c r="H1757" s="2" t="str">
        <f>IF(A1757="","",MIN(0,MAX(0,C1757+E1757-'Loan Inputs'!$B$17)))</f>
        <v/>
      </c>
    </row>
    <row r="1758" spans="1:8" ht="22" customHeight="1">
      <c r="A1758" s="1" t="str">
        <f>IF(AND('Loan Inputs'!$B$12,1752&lt;=IF('Loan Inputs'!$B$12,'Loan Inputs'!$B$7,0)*'Loan Inputs'!$B$14+0,ISNUMBER(G1757),G1757&gt;0),1752,"")</f>
        <v/>
      </c>
      <c r="B1758" s="4" t="str">
        <f>IF(A1758="","",IF('Loan Inputs'!$B$14=12,DATE(YEAR('Loan Inputs'!$B$8),MONTH('Loan Inputs'!$B$8)+A1758,DAY('Loan Inputs'!$B$8)),'Loan Inputs'!$B$8+A1758*IF('Loan Inputs'!$B$14=26,14,7)))</f>
        <v/>
      </c>
      <c r="C1758" s="2" t="str">
        <f t="shared" si="83"/>
        <v/>
      </c>
      <c r="D1758" s="2" t="str">
        <f>IF(A1758="","",MIN('Loan Inputs'!$B$17,C1758+E1758)+H1758)</f>
        <v/>
      </c>
      <c r="E1758" s="2" t="str">
        <f>IF(A1758="","",C1758*'Loan Inputs'!$B$15)</f>
        <v/>
      </c>
      <c r="F1758" s="2" t="str">
        <f t="shared" si="81"/>
        <v/>
      </c>
      <c r="G1758" s="2" t="str">
        <f t="shared" si="82"/>
        <v/>
      </c>
      <c r="H1758" s="2" t="str">
        <f>IF(A1758="","",MIN(0,MAX(0,C1758+E1758-'Loan Inputs'!$B$17)))</f>
        <v/>
      </c>
    </row>
    <row r="1759" spans="1:8" ht="22" customHeight="1">
      <c r="A1759" s="1" t="str">
        <f>IF(AND('Loan Inputs'!$B$12,1753&lt;=IF('Loan Inputs'!$B$12,'Loan Inputs'!$B$7,0)*'Loan Inputs'!$B$14+0,ISNUMBER(G1758),G1758&gt;0),1753,"")</f>
        <v/>
      </c>
      <c r="B1759" s="4" t="str">
        <f>IF(A1759="","",IF('Loan Inputs'!$B$14=12,DATE(YEAR('Loan Inputs'!$B$8),MONTH('Loan Inputs'!$B$8)+A1759,DAY('Loan Inputs'!$B$8)),'Loan Inputs'!$B$8+A1759*IF('Loan Inputs'!$B$14=26,14,7)))</f>
        <v/>
      </c>
      <c r="C1759" s="2" t="str">
        <f t="shared" si="83"/>
        <v/>
      </c>
      <c r="D1759" s="2" t="str">
        <f>IF(A1759="","",MIN('Loan Inputs'!$B$17,C1759+E1759)+H1759)</f>
        <v/>
      </c>
      <c r="E1759" s="2" t="str">
        <f>IF(A1759="","",C1759*'Loan Inputs'!$B$15)</f>
        <v/>
      </c>
      <c r="F1759" s="2" t="str">
        <f t="shared" si="81"/>
        <v/>
      </c>
      <c r="G1759" s="2" t="str">
        <f t="shared" si="82"/>
        <v/>
      </c>
      <c r="H1759" s="2" t="str">
        <f>IF(A1759="","",MIN(0,MAX(0,C1759+E1759-'Loan Inputs'!$B$17)))</f>
        <v/>
      </c>
    </row>
    <row r="1760" spans="1:8" ht="22" customHeight="1">
      <c r="A1760" s="1" t="str">
        <f>IF(AND('Loan Inputs'!$B$12,1754&lt;=IF('Loan Inputs'!$B$12,'Loan Inputs'!$B$7,0)*'Loan Inputs'!$B$14+0,ISNUMBER(G1759),G1759&gt;0),1754,"")</f>
        <v/>
      </c>
      <c r="B1760" s="4" t="str">
        <f>IF(A1760="","",IF('Loan Inputs'!$B$14=12,DATE(YEAR('Loan Inputs'!$B$8),MONTH('Loan Inputs'!$B$8)+A1760,DAY('Loan Inputs'!$B$8)),'Loan Inputs'!$B$8+A1760*IF('Loan Inputs'!$B$14=26,14,7)))</f>
        <v/>
      </c>
      <c r="C1760" s="2" t="str">
        <f t="shared" si="83"/>
        <v/>
      </c>
      <c r="D1760" s="2" t="str">
        <f>IF(A1760="","",MIN('Loan Inputs'!$B$17,C1760+E1760)+H1760)</f>
        <v/>
      </c>
      <c r="E1760" s="2" t="str">
        <f>IF(A1760="","",C1760*'Loan Inputs'!$B$15)</f>
        <v/>
      </c>
      <c r="F1760" s="2" t="str">
        <f t="shared" si="81"/>
        <v/>
      </c>
      <c r="G1760" s="2" t="str">
        <f t="shared" si="82"/>
        <v/>
      </c>
      <c r="H1760" s="2" t="str">
        <f>IF(A1760="","",MIN(0,MAX(0,C1760+E1760-'Loan Inputs'!$B$17)))</f>
        <v/>
      </c>
    </row>
    <row r="1761" spans="1:8" ht="22" customHeight="1">
      <c r="A1761" s="1" t="str">
        <f>IF(AND('Loan Inputs'!$B$12,1755&lt;=IF('Loan Inputs'!$B$12,'Loan Inputs'!$B$7,0)*'Loan Inputs'!$B$14+0,ISNUMBER(G1760),G1760&gt;0),1755,"")</f>
        <v/>
      </c>
      <c r="B1761" s="4" t="str">
        <f>IF(A1761="","",IF('Loan Inputs'!$B$14=12,DATE(YEAR('Loan Inputs'!$B$8),MONTH('Loan Inputs'!$B$8)+A1761,DAY('Loan Inputs'!$B$8)),'Loan Inputs'!$B$8+A1761*IF('Loan Inputs'!$B$14=26,14,7)))</f>
        <v/>
      </c>
      <c r="C1761" s="2" t="str">
        <f t="shared" si="83"/>
        <v/>
      </c>
      <c r="D1761" s="2" t="str">
        <f>IF(A1761="","",MIN('Loan Inputs'!$B$17,C1761+E1761)+H1761)</f>
        <v/>
      </c>
      <c r="E1761" s="2" t="str">
        <f>IF(A1761="","",C1761*'Loan Inputs'!$B$15)</f>
        <v/>
      </c>
      <c r="F1761" s="2" t="str">
        <f t="shared" si="81"/>
        <v/>
      </c>
      <c r="G1761" s="2" t="str">
        <f t="shared" si="82"/>
        <v/>
      </c>
      <c r="H1761" s="2" t="str">
        <f>IF(A1761="","",MIN(0,MAX(0,C1761+E1761-'Loan Inputs'!$B$17)))</f>
        <v/>
      </c>
    </row>
    <row r="1762" spans="1:8" ht="22" customHeight="1">
      <c r="A1762" s="1" t="str">
        <f>IF(AND('Loan Inputs'!$B$12,1756&lt;=IF('Loan Inputs'!$B$12,'Loan Inputs'!$B$7,0)*'Loan Inputs'!$B$14+0,ISNUMBER(G1761),G1761&gt;0),1756,"")</f>
        <v/>
      </c>
      <c r="B1762" s="4" t="str">
        <f>IF(A1762="","",IF('Loan Inputs'!$B$14=12,DATE(YEAR('Loan Inputs'!$B$8),MONTH('Loan Inputs'!$B$8)+A1762,DAY('Loan Inputs'!$B$8)),'Loan Inputs'!$B$8+A1762*IF('Loan Inputs'!$B$14=26,14,7)))</f>
        <v/>
      </c>
      <c r="C1762" s="2" t="str">
        <f t="shared" si="83"/>
        <v/>
      </c>
      <c r="D1762" s="2" t="str">
        <f>IF(A1762="","",MIN('Loan Inputs'!$B$17,C1762+E1762)+H1762)</f>
        <v/>
      </c>
      <c r="E1762" s="2" t="str">
        <f>IF(A1762="","",C1762*'Loan Inputs'!$B$15)</f>
        <v/>
      </c>
      <c r="F1762" s="2" t="str">
        <f t="shared" si="81"/>
        <v/>
      </c>
      <c r="G1762" s="2" t="str">
        <f t="shared" si="82"/>
        <v/>
      </c>
      <c r="H1762" s="2" t="str">
        <f>IF(A1762="","",MIN(0,MAX(0,C1762+E1762-'Loan Inputs'!$B$17)))</f>
        <v/>
      </c>
    </row>
    <row r="1763" spans="1:8" ht="22" customHeight="1">
      <c r="A1763" s="1" t="str">
        <f>IF(AND('Loan Inputs'!$B$12,1757&lt;=IF('Loan Inputs'!$B$12,'Loan Inputs'!$B$7,0)*'Loan Inputs'!$B$14+0,ISNUMBER(G1762),G1762&gt;0),1757,"")</f>
        <v/>
      </c>
      <c r="B1763" s="4" t="str">
        <f>IF(A1763="","",IF('Loan Inputs'!$B$14=12,DATE(YEAR('Loan Inputs'!$B$8),MONTH('Loan Inputs'!$B$8)+A1763,DAY('Loan Inputs'!$B$8)),'Loan Inputs'!$B$8+A1763*IF('Loan Inputs'!$B$14=26,14,7)))</f>
        <v/>
      </c>
      <c r="C1763" s="2" t="str">
        <f t="shared" si="83"/>
        <v/>
      </c>
      <c r="D1763" s="2" t="str">
        <f>IF(A1763="","",MIN('Loan Inputs'!$B$17,C1763+E1763)+H1763)</f>
        <v/>
      </c>
      <c r="E1763" s="2" t="str">
        <f>IF(A1763="","",C1763*'Loan Inputs'!$B$15)</f>
        <v/>
      </c>
      <c r="F1763" s="2" t="str">
        <f t="shared" si="81"/>
        <v/>
      </c>
      <c r="G1763" s="2" t="str">
        <f t="shared" si="82"/>
        <v/>
      </c>
      <c r="H1763" s="2" t="str">
        <f>IF(A1763="","",MIN(0,MAX(0,C1763+E1763-'Loan Inputs'!$B$17)))</f>
        <v/>
      </c>
    </row>
    <row r="1764" spans="1:8" ht="22" customHeight="1">
      <c r="A1764" s="1" t="str">
        <f>IF(AND('Loan Inputs'!$B$12,1758&lt;=IF('Loan Inputs'!$B$12,'Loan Inputs'!$B$7,0)*'Loan Inputs'!$B$14+0,ISNUMBER(G1763),G1763&gt;0),1758,"")</f>
        <v/>
      </c>
      <c r="B1764" s="4" t="str">
        <f>IF(A1764="","",IF('Loan Inputs'!$B$14=12,DATE(YEAR('Loan Inputs'!$B$8),MONTH('Loan Inputs'!$B$8)+A1764,DAY('Loan Inputs'!$B$8)),'Loan Inputs'!$B$8+A1764*IF('Loan Inputs'!$B$14=26,14,7)))</f>
        <v/>
      </c>
      <c r="C1764" s="2" t="str">
        <f t="shared" si="83"/>
        <v/>
      </c>
      <c r="D1764" s="2" t="str">
        <f>IF(A1764="","",MIN('Loan Inputs'!$B$17,C1764+E1764)+H1764)</f>
        <v/>
      </c>
      <c r="E1764" s="2" t="str">
        <f>IF(A1764="","",C1764*'Loan Inputs'!$B$15)</f>
        <v/>
      </c>
      <c r="F1764" s="2" t="str">
        <f t="shared" si="81"/>
        <v/>
      </c>
      <c r="G1764" s="2" t="str">
        <f t="shared" si="82"/>
        <v/>
      </c>
      <c r="H1764" s="2" t="str">
        <f>IF(A1764="","",MIN(0,MAX(0,C1764+E1764-'Loan Inputs'!$B$17)))</f>
        <v/>
      </c>
    </row>
    <row r="1765" spans="1:8" ht="22" customHeight="1">
      <c r="A1765" s="1" t="str">
        <f>IF(AND('Loan Inputs'!$B$12,1759&lt;=IF('Loan Inputs'!$B$12,'Loan Inputs'!$B$7,0)*'Loan Inputs'!$B$14+0,ISNUMBER(G1764),G1764&gt;0),1759,"")</f>
        <v/>
      </c>
      <c r="B1765" s="4" t="str">
        <f>IF(A1765="","",IF('Loan Inputs'!$B$14=12,DATE(YEAR('Loan Inputs'!$B$8),MONTH('Loan Inputs'!$B$8)+A1765,DAY('Loan Inputs'!$B$8)),'Loan Inputs'!$B$8+A1765*IF('Loan Inputs'!$B$14=26,14,7)))</f>
        <v/>
      </c>
      <c r="C1765" s="2" t="str">
        <f t="shared" si="83"/>
        <v/>
      </c>
      <c r="D1765" s="2" t="str">
        <f>IF(A1765="","",MIN('Loan Inputs'!$B$17,C1765+E1765)+H1765)</f>
        <v/>
      </c>
      <c r="E1765" s="2" t="str">
        <f>IF(A1765="","",C1765*'Loan Inputs'!$B$15)</f>
        <v/>
      </c>
      <c r="F1765" s="2" t="str">
        <f t="shared" si="81"/>
        <v/>
      </c>
      <c r="G1765" s="2" t="str">
        <f t="shared" si="82"/>
        <v/>
      </c>
      <c r="H1765" s="2" t="str">
        <f>IF(A1765="","",MIN(0,MAX(0,C1765+E1765-'Loan Inputs'!$B$17)))</f>
        <v/>
      </c>
    </row>
    <row r="1766" spans="1:8" ht="22" customHeight="1">
      <c r="A1766" s="1" t="str">
        <f>IF(AND('Loan Inputs'!$B$12,1760&lt;=IF('Loan Inputs'!$B$12,'Loan Inputs'!$B$7,0)*'Loan Inputs'!$B$14+0,ISNUMBER(G1765),G1765&gt;0),1760,"")</f>
        <v/>
      </c>
      <c r="B1766" s="4" t="str">
        <f>IF(A1766="","",IF('Loan Inputs'!$B$14=12,DATE(YEAR('Loan Inputs'!$B$8),MONTH('Loan Inputs'!$B$8)+A1766,DAY('Loan Inputs'!$B$8)),'Loan Inputs'!$B$8+A1766*IF('Loan Inputs'!$B$14=26,14,7)))</f>
        <v/>
      </c>
      <c r="C1766" s="2" t="str">
        <f t="shared" si="83"/>
        <v/>
      </c>
      <c r="D1766" s="2" t="str">
        <f>IF(A1766="","",MIN('Loan Inputs'!$B$17,C1766+E1766)+H1766)</f>
        <v/>
      </c>
      <c r="E1766" s="2" t="str">
        <f>IF(A1766="","",C1766*'Loan Inputs'!$B$15)</f>
        <v/>
      </c>
      <c r="F1766" s="2" t="str">
        <f t="shared" si="81"/>
        <v/>
      </c>
      <c r="G1766" s="2" t="str">
        <f t="shared" si="82"/>
        <v/>
      </c>
      <c r="H1766" s="2" t="str">
        <f>IF(A1766="","",MIN(0,MAX(0,C1766+E1766-'Loan Inputs'!$B$17)))</f>
        <v/>
      </c>
    </row>
    <row r="1767" spans="1:8" ht="22" customHeight="1">
      <c r="A1767" s="1" t="str">
        <f>IF(AND('Loan Inputs'!$B$12,1761&lt;=IF('Loan Inputs'!$B$12,'Loan Inputs'!$B$7,0)*'Loan Inputs'!$B$14+0,ISNUMBER(G1766),G1766&gt;0),1761,"")</f>
        <v/>
      </c>
      <c r="B1767" s="4" t="str">
        <f>IF(A1767="","",IF('Loan Inputs'!$B$14=12,DATE(YEAR('Loan Inputs'!$B$8),MONTH('Loan Inputs'!$B$8)+A1767,DAY('Loan Inputs'!$B$8)),'Loan Inputs'!$B$8+A1767*IF('Loan Inputs'!$B$14=26,14,7)))</f>
        <v/>
      </c>
      <c r="C1767" s="2" t="str">
        <f t="shared" si="83"/>
        <v/>
      </c>
      <c r="D1767" s="2" t="str">
        <f>IF(A1767="","",MIN('Loan Inputs'!$B$17,C1767+E1767)+H1767)</f>
        <v/>
      </c>
      <c r="E1767" s="2" t="str">
        <f>IF(A1767="","",C1767*'Loan Inputs'!$B$15)</f>
        <v/>
      </c>
      <c r="F1767" s="2" t="str">
        <f t="shared" si="81"/>
        <v/>
      </c>
      <c r="G1767" s="2" t="str">
        <f t="shared" si="82"/>
        <v/>
      </c>
      <c r="H1767" s="2" t="str">
        <f>IF(A1767="","",MIN(0,MAX(0,C1767+E1767-'Loan Inputs'!$B$17)))</f>
        <v/>
      </c>
    </row>
    <row r="1768" spans="1:8" ht="22" customHeight="1">
      <c r="A1768" s="1" t="str">
        <f>IF(AND('Loan Inputs'!$B$12,1762&lt;=IF('Loan Inputs'!$B$12,'Loan Inputs'!$B$7,0)*'Loan Inputs'!$B$14+0,ISNUMBER(G1767),G1767&gt;0),1762,"")</f>
        <v/>
      </c>
      <c r="B1768" s="4" t="str">
        <f>IF(A1768="","",IF('Loan Inputs'!$B$14=12,DATE(YEAR('Loan Inputs'!$B$8),MONTH('Loan Inputs'!$B$8)+A1768,DAY('Loan Inputs'!$B$8)),'Loan Inputs'!$B$8+A1768*IF('Loan Inputs'!$B$14=26,14,7)))</f>
        <v/>
      </c>
      <c r="C1768" s="2" t="str">
        <f t="shared" si="83"/>
        <v/>
      </c>
      <c r="D1768" s="2" t="str">
        <f>IF(A1768="","",MIN('Loan Inputs'!$B$17,C1768+E1768)+H1768)</f>
        <v/>
      </c>
      <c r="E1768" s="2" t="str">
        <f>IF(A1768="","",C1768*'Loan Inputs'!$B$15)</f>
        <v/>
      </c>
      <c r="F1768" s="2" t="str">
        <f t="shared" si="81"/>
        <v/>
      </c>
      <c r="G1768" s="2" t="str">
        <f t="shared" si="82"/>
        <v/>
      </c>
      <c r="H1768" s="2" t="str">
        <f>IF(A1768="","",MIN(0,MAX(0,C1768+E1768-'Loan Inputs'!$B$17)))</f>
        <v/>
      </c>
    </row>
    <row r="1769" spans="1:8" ht="22" customHeight="1">
      <c r="A1769" s="1" t="str">
        <f>IF(AND('Loan Inputs'!$B$12,1763&lt;=IF('Loan Inputs'!$B$12,'Loan Inputs'!$B$7,0)*'Loan Inputs'!$B$14+0,ISNUMBER(G1768),G1768&gt;0),1763,"")</f>
        <v/>
      </c>
      <c r="B1769" s="4" t="str">
        <f>IF(A1769="","",IF('Loan Inputs'!$B$14=12,DATE(YEAR('Loan Inputs'!$B$8),MONTH('Loan Inputs'!$B$8)+A1769,DAY('Loan Inputs'!$B$8)),'Loan Inputs'!$B$8+A1769*IF('Loan Inputs'!$B$14=26,14,7)))</f>
        <v/>
      </c>
      <c r="C1769" s="2" t="str">
        <f t="shared" si="83"/>
        <v/>
      </c>
      <c r="D1769" s="2" t="str">
        <f>IF(A1769="","",MIN('Loan Inputs'!$B$17,C1769+E1769)+H1769)</f>
        <v/>
      </c>
      <c r="E1769" s="2" t="str">
        <f>IF(A1769="","",C1769*'Loan Inputs'!$B$15)</f>
        <v/>
      </c>
      <c r="F1769" s="2" t="str">
        <f t="shared" si="81"/>
        <v/>
      </c>
      <c r="G1769" s="2" t="str">
        <f t="shared" si="82"/>
        <v/>
      </c>
      <c r="H1769" s="2" t="str">
        <f>IF(A1769="","",MIN(0,MAX(0,C1769+E1769-'Loan Inputs'!$B$17)))</f>
        <v/>
      </c>
    </row>
    <row r="1770" spans="1:8" ht="22" customHeight="1">
      <c r="A1770" s="1" t="str">
        <f>IF(AND('Loan Inputs'!$B$12,1764&lt;=IF('Loan Inputs'!$B$12,'Loan Inputs'!$B$7,0)*'Loan Inputs'!$B$14+0,ISNUMBER(G1769),G1769&gt;0),1764,"")</f>
        <v/>
      </c>
      <c r="B1770" s="4" t="str">
        <f>IF(A1770="","",IF('Loan Inputs'!$B$14=12,DATE(YEAR('Loan Inputs'!$B$8),MONTH('Loan Inputs'!$B$8)+A1770,DAY('Loan Inputs'!$B$8)),'Loan Inputs'!$B$8+A1770*IF('Loan Inputs'!$B$14=26,14,7)))</f>
        <v/>
      </c>
      <c r="C1770" s="2" t="str">
        <f t="shared" si="83"/>
        <v/>
      </c>
      <c r="D1770" s="2" t="str">
        <f>IF(A1770="","",MIN('Loan Inputs'!$B$17,C1770+E1770)+H1770)</f>
        <v/>
      </c>
      <c r="E1770" s="2" t="str">
        <f>IF(A1770="","",C1770*'Loan Inputs'!$B$15)</f>
        <v/>
      </c>
      <c r="F1770" s="2" t="str">
        <f t="shared" si="81"/>
        <v/>
      </c>
      <c r="G1770" s="2" t="str">
        <f t="shared" si="82"/>
        <v/>
      </c>
      <c r="H1770" s="2" t="str">
        <f>IF(A1770="","",MIN(0,MAX(0,C1770+E1770-'Loan Inputs'!$B$17)))</f>
        <v/>
      </c>
    </row>
    <row r="1771" spans="1:8" ht="22" customHeight="1">
      <c r="A1771" s="1" t="str">
        <f>IF(AND('Loan Inputs'!$B$12,1765&lt;=IF('Loan Inputs'!$B$12,'Loan Inputs'!$B$7,0)*'Loan Inputs'!$B$14+0,ISNUMBER(G1770),G1770&gt;0),1765,"")</f>
        <v/>
      </c>
      <c r="B1771" s="4" t="str">
        <f>IF(A1771="","",IF('Loan Inputs'!$B$14=12,DATE(YEAR('Loan Inputs'!$B$8),MONTH('Loan Inputs'!$B$8)+A1771,DAY('Loan Inputs'!$B$8)),'Loan Inputs'!$B$8+A1771*IF('Loan Inputs'!$B$14=26,14,7)))</f>
        <v/>
      </c>
      <c r="C1771" s="2" t="str">
        <f t="shared" si="83"/>
        <v/>
      </c>
      <c r="D1771" s="2" t="str">
        <f>IF(A1771="","",MIN('Loan Inputs'!$B$17,C1771+E1771)+H1771)</f>
        <v/>
      </c>
      <c r="E1771" s="2" t="str">
        <f>IF(A1771="","",C1771*'Loan Inputs'!$B$15)</f>
        <v/>
      </c>
      <c r="F1771" s="2" t="str">
        <f t="shared" si="81"/>
        <v/>
      </c>
      <c r="G1771" s="2" t="str">
        <f t="shared" si="82"/>
        <v/>
      </c>
      <c r="H1771" s="2" t="str">
        <f>IF(A1771="","",MIN(0,MAX(0,C1771+E1771-'Loan Inputs'!$B$17)))</f>
        <v/>
      </c>
    </row>
    <row r="1772" spans="1:8" ht="22" customHeight="1">
      <c r="A1772" s="1" t="str">
        <f>IF(AND('Loan Inputs'!$B$12,1766&lt;=IF('Loan Inputs'!$B$12,'Loan Inputs'!$B$7,0)*'Loan Inputs'!$B$14+0,ISNUMBER(G1771),G1771&gt;0),1766,"")</f>
        <v/>
      </c>
      <c r="B1772" s="4" t="str">
        <f>IF(A1772="","",IF('Loan Inputs'!$B$14=12,DATE(YEAR('Loan Inputs'!$B$8),MONTH('Loan Inputs'!$B$8)+A1772,DAY('Loan Inputs'!$B$8)),'Loan Inputs'!$B$8+A1772*IF('Loan Inputs'!$B$14=26,14,7)))</f>
        <v/>
      </c>
      <c r="C1772" s="2" t="str">
        <f t="shared" si="83"/>
        <v/>
      </c>
      <c r="D1772" s="2" t="str">
        <f>IF(A1772="","",MIN('Loan Inputs'!$B$17,C1772+E1772)+H1772)</f>
        <v/>
      </c>
      <c r="E1772" s="2" t="str">
        <f>IF(A1772="","",C1772*'Loan Inputs'!$B$15)</f>
        <v/>
      </c>
      <c r="F1772" s="2" t="str">
        <f t="shared" si="81"/>
        <v/>
      </c>
      <c r="G1772" s="2" t="str">
        <f t="shared" si="82"/>
        <v/>
      </c>
      <c r="H1772" s="2" t="str">
        <f>IF(A1772="","",MIN(0,MAX(0,C1772+E1772-'Loan Inputs'!$B$17)))</f>
        <v/>
      </c>
    </row>
    <row r="1773" spans="1:8" ht="22" customHeight="1">
      <c r="A1773" s="1" t="str">
        <f>IF(AND('Loan Inputs'!$B$12,1767&lt;=IF('Loan Inputs'!$B$12,'Loan Inputs'!$B$7,0)*'Loan Inputs'!$B$14+0,ISNUMBER(G1772),G1772&gt;0),1767,"")</f>
        <v/>
      </c>
      <c r="B1773" s="4" t="str">
        <f>IF(A1773="","",IF('Loan Inputs'!$B$14=12,DATE(YEAR('Loan Inputs'!$B$8),MONTH('Loan Inputs'!$B$8)+A1773,DAY('Loan Inputs'!$B$8)),'Loan Inputs'!$B$8+A1773*IF('Loan Inputs'!$B$14=26,14,7)))</f>
        <v/>
      </c>
      <c r="C1773" s="2" t="str">
        <f t="shared" si="83"/>
        <v/>
      </c>
      <c r="D1773" s="2" t="str">
        <f>IF(A1773="","",MIN('Loan Inputs'!$B$17,C1773+E1773)+H1773)</f>
        <v/>
      </c>
      <c r="E1773" s="2" t="str">
        <f>IF(A1773="","",C1773*'Loan Inputs'!$B$15)</f>
        <v/>
      </c>
      <c r="F1773" s="2" t="str">
        <f t="shared" si="81"/>
        <v/>
      </c>
      <c r="G1773" s="2" t="str">
        <f t="shared" si="82"/>
        <v/>
      </c>
      <c r="H1773" s="2" t="str">
        <f>IF(A1773="","",MIN(0,MAX(0,C1773+E1773-'Loan Inputs'!$B$17)))</f>
        <v/>
      </c>
    </row>
    <row r="1774" spans="1:8" ht="22" customHeight="1">
      <c r="A1774" s="1" t="str">
        <f>IF(AND('Loan Inputs'!$B$12,1768&lt;=IF('Loan Inputs'!$B$12,'Loan Inputs'!$B$7,0)*'Loan Inputs'!$B$14+0,ISNUMBER(G1773),G1773&gt;0),1768,"")</f>
        <v/>
      </c>
      <c r="B1774" s="4" t="str">
        <f>IF(A1774="","",IF('Loan Inputs'!$B$14=12,DATE(YEAR('Loan Inputs'!$B$8),MONTH('Loan Inputs'!$B$8)+A1774,DAY('Loan Inputs'!$B$8)),'Loan Inputs'!$B$8+A1774*IF('Loan Inputs'!$B$14=26,14,7)))</f>
        <v/>
      </c>
      <c r="C1774" s="2" t="str">
        <f t="shared" si="83"/>
        <v/>
      </c>
      <c r="D1774" s="2" t="str">
        <f>IF(A1774="","",MIN('Loan Inputs'!$B$17,C1774+E1774)+H1774)</f>
        <v/>
      </c>
      <c r="E1774" s="2" t="str">
        <f>IF(A1774="","",C1774*'Loan Inputs'!$B$15)</f>
        <v/>
      </c>
      <c r="F1774" s="2" t="str">
        <f t="shared" si="81"/>
        <v/>
      </c>
      <c r="G1774" s="2" t="str">
        <f t="shared" si="82"/>
        <v/>
      </c>
      <c r="H1774" s="2" t="str">
        <f>IF(A1774="","",MIN(0,MAX(0,C1774+E1774-'Loan Inputs'!$B$17)))</f>
        <v/>
      </c>
    </row>
    <row r="1775" spans="1:8" ht="22" customHeight="1">
      <c r="A1775" s="1" t="str">
        <f>IF(AND('Loan Inputs'!$B$12,1769&lt;=IF('Loan Inputs'!$B$12,'Loan Inputs'!$B$7,0)*'Loan Inputs'!$B$14+0,ISNUMBER(G1774),G1774&gt;0),1769,"")</f>
        <v/>
      </c>
      <c r="B1775" s="4" t="str">
        <f>IF(A1775="","",IF('Loan Inputs'!$B$14=12,DATE(YEAR('Loan Inputs'!$B$8),MONTH('Loan Inputs'!$B$8)+A1775,DAY('Loan Inputs'!$B$8)),'Loan Inputs'!$B$8+A1775*IF('Loan Inputs'!$B$14=26,14,7)))</f>
        <v/>
      </c>
      <c r="C1775" s="2" t="str">
        <f t="shared" si="83"/>
        <v/>
      </c>
      <c r="D1775" s="2" t="str">
        <f>IF(A1775="","",MIN('Loan Inputs'!$B$17,C1775+E1775)+H1775)</f>
        <v/>
      </c>
      <c r="E1775" s="2" t="str">
        <f>IF(A1775="","",C1775*'Loan Inputs'!$B$15)</f>
        <v/>
      </c>
      <c r="F1775" s="2" t="str">
        <f t="shared" si="81"/>
        <v/>
      </c>
      <c r="G1775" s="2" t="str">
        <f t="shared" si="82"/>
        <v/>
      </c>
      <c r="H1775" s="2" t="str">
        <f>IF(A1775="","",MIN(0,MAX(0,C1775+E1775-'Loan Inputs'!$B$17)))</f>
        <v/>
      </c>
    </row>
    <row r="1776" spans="1:8" ht="22" customHeight="1">
      <c r="A1776" s="1" t="str">
        <f>IF(AND('Loan Inputs'!$B$12,1770&lt;=IF('Loan Inputs'!$B$12,'Loan Inputs'!$B$7,0)*'Loan Inputs'!$B$14+0,ISNUMBER(G1775),G1775&gt;0),1770,"")</f>
        <v/>
      </c>
      <c r="B1776" s="4" t="str">
        <f>IF(A1776="","",IF('Loan Inputs'!$B$14=12,DATE(YEAR('Loan Inputs'!$B$8),MONTH('Loan Inputs'!$B$8)+A1776,DAY('Loan Inputs'!$B$8)),'Loan Inputs'!$B$8+A1776*IF('Loan Inputs'!$B$14=26,14,7)))</f>
        <v/>
      </c>
      <c r="C1776" s="2" t="str">
        <f t="shared" si="83"/>
        <v/>
      </c>
      <c r="D1776" s="2" t="str">
        <f>IF(A1776="","",MIN('Loan Inputs'!$B$17,C1776+E1776)+H1776)</f>
        <v/>
      </c>
      <c r="E1776" s="2" t="str">
        <f>IF(A1776="","",C1776*'Loan Inputs'!$B$15)</f>
        <v/>
      </c>
      <c r="F1776" s="2" t="str">
        <f t="shared" si="81"/>
        <v/>
      </c>
      <c r="G1776" s="2" t="str">
        <f t="shared" si="82"/>
        <v/>
      </c>
      <c r="H1776" s="2" t="str">
        <f>IF(A1776="","",MIN(0,MAX(0,C1776+E1776-'Loan Inputs'!$B$17)))</f>
        <v/>
      </c>
    </row>
    <row r="1777" spans="1:8" ht="22" customHeight="1">
      <c r="A1777" s="1" t="str">
        <f>IF(AND('Loan Inputs'!$B$12,1771&lt;=IF('Loan Inputs'!$B$12,'Loan Inputs'!$B$7,0)*'Loan Inputs'!$B$14+0,ISNUMBER(G1776),G1776&gt;0),1771,"")</f>
        <v/>
      </c>
      <c r="B1777" s="4" t="str">
        <f>IF(A1777="","",IF('Loan Inputs'!$B$14=12,DATE(YEAR('Loan Inputs'!$B$8),MONTH('Loan Inputs'!$B$8)+A1777,DAY('Loan Inputs'!$B$8)),'Loan Inputs'!$B$8+A1777*IF('Loan Inputs'!$B$14=26,14,7)))</f>
        <v/>
      </c>
      <c r="C1777" s="2" t="str">
        <f t="shared" si="83"/>
        <v/>
      </c>
      <c r="D1777" s="2" t="str">
        <f>IF(A1777="","",MIN('Loan Inputs'!$B$17,C1777+E1777)+H1777)</f>
        <v/>
      </c>
      <c r="E1777" s="2" t="str">
        <f>IF(A1777="","",C1777*'Loan Inputs'!$B$15)</f>
        <v/>
      </c>
      <c r="F1777" s="2" t="str">
        <f t="shared" si="81"/>
        <v/>
      </c>
      <c r="G1777" s="2" t="str">
        <f t="shared" si="82"/>
        <v/>
      </c>
      <c r="H1777" s="2" t="str">
        <f>IF(A1777="","",MIN(0,MAX(0,C1777+E1777-'Loan Inputs'!$B$17)))</f>
        <v/>
      </c>
    </row>
    <row r="1778" spans="1:8" ht="22" customHeight="1">
      <c r="A1778" s="1" t="str">
        <f>IF(AND('Loan Inputs'!$B$12,1772&lt;=IF('Loan Inputs'!$B$12,'Loan Inputs'!$B$7,0)*'Loan Inputs'!$B$14+0,ISNUMBER(G1777),G1777&gt;0),1772,"")</f>
        <v/>
      </c>
      <c r="B1778" s="4" t="str">
        <f>IF(A1778="","",IF('Loan Inputs'!$B$14=12,DATE(YEAR('Loan Inputs'!$B$8),MONTH('Loan Inputs'!$B$8)+A1778,DAY('Loan Inputs'!$B$8)),'Loan Inputs'!$B$8+A1778*IF('Loan Inputs'!$B$14=26,14,7)))</f>
        <v/>
      </c>
      <c r="C1778" s="2" t="str">
        <f t="shared" si="83"/>
        <v/>
      </c>
      <c r="D1778" s="2" t="str">
        <f>IF(A1778="","",MIN('Loan Inputs'!$B$17,C1778+E1778)+H1778)</f>
        <v/>
      </c>
      <c r="E1778" s="2" t="str">
        <f>IF(A1778="","",C1778*'Loan Inputs'!$B$15)</f>
        <v/>
      </c>
      <c r="F1778" s="2" t="str">
        <f t="shared" si="81"/>
        <v/>
      </c>
      <c r="G1778" s="2" t="str">
        <f t="shared" si="82"/>
        <v/>
      </c>
      <c r="H1778" s="2" t="str">
        <f>IF(A1778="","",MIN(0,MAX(0,C1778+E1778-'Loan Inputs'!$B$17)))</f>
        <v/>
      </c>
    </row>
    <row r="1779" spans="1:8" ht="22" customHeight="1">
      <c r="A1779" s="1" t="str">
        <f>IF(AND('Loan Inputs'!$B$12,1773&lt;=IF('Loan Inputs'!$B$12,'Loan Inputs'!$B$7,0)*'Loan Inputs'!$B$14+0,ISNUMBER(G1778),G1778&gt;0),1773,"")</f>
        <v/>
      </c>
      <c r="B1779" s="4" t="str">
        <f>IF(A1779="","",IF('Loan Inputs'!$B$14=12,DATE(YEAR('Loan Inputs'!$B$8),MONTH('Loan Inputs'!$B$8)+A1779,DAY('Loan Inputs'!$B$8)),'Loan Inputs'!$B$8+A1779*IF('Loan Inputs'!$B$14=26,14,7)))</f>
        <v/>
      </c>
      <c r="C1779" s="2" t="str">
        <f t="shared" si="83"/>
        <v/>
      </c>
      <c r="D1779" s="2" t="str">
        <f>IF(A1779="","",MIN('Loan Inputs'!$B$17,C1779+E1779)+H1779)</f>
        <v/>
      </c>
      <c r="E1779" s="2" t="str">
        <f>IF(A1779="","",C1779*'Loan Inputs'!$B$15)</f>
        <v/>
      </c>
      <c r="F1779" s="2" t="str">
        <f t="shared" si="81"/>
        <v/>
      </c>
      <c r="G1779" s="2" t="str">
        <f t="shared" si="82"/>
        <v/>
      </c>
      <c r="H1779" s="2" t="str">
        <f>IF(A1779="","",MIN(0,MAX(0,C1779+E1779-'Loan Inputs'!$B$17)))</f>
        <v/>
      </c>
    </row>
    <row r="1780" spans="1:8" ht="22" customHeight="1">
      <c r="A1780" s="1" t="str">
        <f>IF(AND('Loan Inputs'!$B$12,1774&lt;=IF('Loan Inputs'!$B$12,'Loan Inputs'!$B$7,0)*'Loan Inputs'!$B$14+0,ISNUMBER(G1779),G1779&gt;0),1774,"")</f>
        <v/>
      </c>
      <c r="B1780" s="4" t="str">
        <f>IF(A1780="","",IF('Loan Inputs'!$B$14=12,DATE(YEAR('Loan Inputs'!$B$8),MONTH('Loan Inputs'!$B$8)+A1780,DAY('Loan Inputs'!$B$8)),'Loan Inputs'!$B$8+A1780*IF('Loan Inputs'!$B$14=26,14,7)))</f>
        <v/>
      </c>
      <c r="C1780" s="2" t="str">
        <f t="shared" si="83"/>
        <v/>
      </c>
      <c r="D1780" s="2" t="str">
        <f>IF(A1780="","",MIN('Loan Inputs'!$B$17,C1780+E1780)+H1780)</f>
        <v/>
      </c>
      <c r="E1780" s="2" t="str">
        <f>IF(A1780="","",C1780*'Loan Inputs'!$B$15)</f>
        <v/>
      </c>
      <c r="F1780" s="2" t="str">
        <f t="shared" si="81"/>
        <v/>
      </c>
      <c r="G1780" s="2" t="str">
        <f t="shared" si="82"/>
        <v/>
      </c>
      <c r="H1780" s="2" t="str">
        <f>IF(A1780="","",MIN(0,MAX(0,C1780+E1780-'Loan Inputs'!$B$17)))</f>
        <v/>
      </c>
    </row>
    <row r="1781" spans="1:8" ht="22" customHeight="1">
      <c r="A1781" s="1" t="str">
        <f>IF(AND('Loan Inputs'!$B$12,1775&lt;=IF('Loan Inputs'!$B$12,'Loan Inputs'!$B$7,0)*'Loan Inputs'!$B$14+0,ISNUMBER(G1780),G1780&gt;0),1775,"")</f>
        <v/>
      </c>
      <c r="B1781" s="4" t="str">
        <f>IF(A1781="","",IF('Loan Inputs'!$B$14=12,DATE(YEAR('Loan Inputs'!$B$8),MONTH('Loan Inputs'!$B$8)+A1781,DAY('Loan Inputs'!$B$8)),'Loan Inputs'!$B$8+A1781*IF('Loan Inputs'!$B$14=26,14,7)))</f>
        <v/>
      </c>
      <c r="C1781" s="2" t="str">
        <f t="shared" si="83"/>
        <v/>
      </c>
      <c r="D1781" s="2" t="str">
        <f>IF(A1781="","",MIN('Loan Inputs'!$B$17,C1781+E1781)+H1781)</f>
        <v/>
      </c>
      <c r="E1781" s="2" t="str">
        <f>IF(A1781="","",C1781*'Loan Inputs'!$B$15)</f>
        <v/>
      </c>
      <c r="F1781" s="2" t="str">
        <f t="shared" si="81"/>
        <v/>
      </c>
      <c r="G1781" s="2" t="str">
        <f t="shared" si="82"/>
        <v/>
      </c>
      <c r="H1781" s="2" t="str">
        <f>IF(A1781="","",MIN(0,MAX(0,C1781+E1781-'Loan Inputs'!$B$17)))</f>
        <v/>
      </c>
    </row>
    <row r="1782" spans="1:8" ht="22" customHeight="1">
      <c r="A1782" s="1" t="str">
        <f>IF(AND('Loan Inputs'!$B$12,1776&lt;=IF('Loan Inputs'!$B$12,'Loan Inputs'!$B$7,0)*'Loan Inputs'!$B$14+0,ISNUMBER(G1781),G1781&gt;0),1776,"")</f>
        <v/>
      </c>
      <c r="B1782" s="4" t="str">
        <f>IF(A1782="","",IF('Loan Inputs'!$B$14=12,DATE(YEAR('Loan Inputs'!$B$8),MONTH('Loan Inputs'!$B$8)+A1782,DAY('Loan Inputs'!$B$8)),'Loan Inputs'!$B$8+A1782*IF('Loan Inputs'!$B$14=26,14,7)))</f>
        <v/>
      </c>
      <c r="C1782" s="2" t="str">
        <f t="shared" si="83"/>
        <v/>
      </c>
      <c r="D1782" s="2" t="str">
        <f>IF(A1782="","",MIN('Loan Inputs'!$B$17,C1782+E1782)+H1782)</f>
        <v/>
      </c>
      <c r="E1782" s="2" t="str">
        <f>IF(A1782="","",C1782*'Loan Inputs'!$B$15)</f>
        <v/>
      </c>
      <c r="F1782" s="2" t="str">
        <f t="shared" si="81"/>
        <v/>
      </c>
      <c r="G1782" s="2" t="str">
        <f t="shared" si="82"/>
        <v/>
      </c>
      <c r="H1782" s="2" t="str">
        <f>IF(A1782="","",MIN(0,MAX(0,C1782+E1782-'Loan Inputs'!$B$17)))</f>
        <v/>
      </c>
    </row>
    <row r="1783" spans="1:8" ht="22" customHeight="1">
      <c r="A1783" s="1" t="str">
        <f>IF(AND('Loan Inputs'!$B$12,1777&lt;=IF('Loan Inputs'!$B$12,'Loan Inputs'!$B$7,0)*'Loan Inputs'!$B$14+0,ISNUMBER(G1782),G1782&gt;0),1777,"")</f>
        <v/>
      </c>
      <c r="B1783" s="4" t="str">
        <f>IF(A1783="","",IF('Loan Inputs'!$B$14=12,DATE(YEAR('Loan Inputs'!$B$8),MONTH('Loan Inputs'!$B$8)+A1783,DAY('Loan Inputs'!$B$8)),'Loan Inputs'!$B$8+A1783*IF('Loan Inputs'!$B$14=26,14,7)))</f>
        <v/>
      </c>
      <c r="C1783" s="2" t="str">
        <f t="shared" si="83"/>
        <v/>
      </c>
      <c r="D1783" s="2" t="str">
        <f>IF(A1783="","",MIN('Loan Inputs'!$B$17,C1783+E1783)+H1783)</f>
        <v/>
      </c>
      <c r="E1783" s="2" t="str">
        <f>IF(A1783="","",C1783*'Loan Inputs'!$B$15)</f>
        <v/>
      </c>
      <c r="F1783" s="2" t="str">
        <f t="shared" si="81"/>
        <v/>
      </c>
      <c r="G1783" s="2" t="str">
        <f t="shared" si="82"/>
        <v/>
      </c>
      <c r="H1783" s="2" t="str">
        <f>IF(A1783="","",MIN(0,MAX(0,C1783+E1783-'Loan Inputs'!$B$17)))</f>
        <v/>
      </c>
    </row>
    <row r="1784" spans="1:8" ht="22" customHeight="1">
      <c r="A1784" s="1" t="str">
        <f>IF(AND('Loan Inputs'!$B$12,1778&lt;=IF('Loan Inputs'!$B$12,'Loan Inputs'!$B$7,0)*'Loan Inputs'!$B$14+0,ISNUMBER(G1783),G1783&gt;0),1778,"")</f>
        <v/>
      </c>
      <c r="B1784" s="4" t="str">
        <f>IF(A1784="","",IF('Loan Inputs'!$B$14=12,DATE(YEAR('Loan Inputs'!$B$8),MONTH('Loan Inputs'!$B$8)+A1784,DAY('Loan Inputs'!$B$8)),'Loan Inputs'!$B$8+A1784*IF('Loan Inputs'!$B$14=26,14,7)))</f>
        <v/>
      </c>
      <c r="C1784" s="2" t="str">
        <f t="shared" si="83"/>
        <v/>
      </c>
      <c r="D1784" s="2" t="str">
        <f>IF(A1784="","",MIN('Loan Inputs'!$B$17,C1784+E1784)+H1784)</f>
        <v/>
      </c>
      <c r="E1784" s="2" t="str">
        <f>IF(A1784="","",C1784*'Loan Inputs'!$B$15)</f>
        <v/>
      </c>
      <c r="F1784" s="2" t="str">
        <f t="shared" si="81"/>
        <v/>
      </c>
      <c r="G1784" s="2" t="str">
        <f t="shared" si="82"/>
        <v/>
      </c>
      <c r="H1784" s="2" t="str">
        <f>IF(A1784="","",MIN(0,MAX(0,C1784+E1784-'Loan Inputs'!$B$17)))</f>
        <v/>
      </c>
    </row>
    <row r="1785" spans="1:8" ht="22" customHeight="1">
      <c r="A1785" s="1" t="str">
        <f>IF(AND('Loan Inputs'!$B$12,1779&lt;=IF('Loan Inputs'!$B$12,'Loan Inputs'!$B$7,0)*'Loan Inputs'!$B$14+0,ISNUMBER(G1784),G1784&gt;0),1779,"")</f>
        <v/>
      </c>
      <c r="B1785" s="4" t="str">
        <f>IF(A1785="","",IF('Loan Inputs'!$B$14=12,DATE(YEAR('Loan Inputs'!$B$8),MONTH('Loan Inputs'!$B$8)+A1785,DAY('Loan Inputs'!$B$8)),'Loan Inputs'!$B$8+A1785*IF('Loan Inputs'!$B$14=26,14,7)))</f>
        <v/>
      </c>
      <c r="C1785" s="2" t="str">
        <f t="shared" si="83"/>
        <v/>
      </c>
      <c r="D1785" s="2" t="str">
        <f>IF(A1785="","",MIN('Loan Inputs'!$B$17,C1785+E1785)+H1785)</f>
        <v/>
      </c>
      <c r="E1785" s="2" t="str">
        <f>IF(A1785="","",C1785*'Loan Inputs'!$B$15)</f>
        <v/>
      </c>
      <c r="F1785" s="2" t="str">
        <f t="shared" si="81"/>
        <v/>
      </c>
      <c r="G1785" s="2" t="str">
        <f t="shared" si="82"/>
        <v/>
      </c>
      <c r="H1785" s="2" t="str">
        <f>IF(A1785="","",MIN(0,MAX(0,C1785+E1785-'Loan Inputs'!$B$17)))</f>
        <v/>
      </c>
    </row>
    <row r="1786" spans="1:8" ht="22" customHeight="1">
      <c r="A1786" s="1" t="str">
        <f>IF(AND('Loan Inputs'!$B$12,1780&lt;=IF('Loan Inputs'!$B$12,'Loan Inputs'!$B$7,0)*'Loan Inputs'!$B$14+0,ISNUMBER(G1785),G1785&gt;0),1780,"")</f>
        <v/>
      </c>
      <c r="B1786" s="4" t="str">
        <f>IF(A1786="","",IF('Loan Inputs'!$B$14=12,DATE(YEAR('Loan Inputs'!$B$8),MONTH('Loan Inputs'!$B$8)+A1786,DAY('Loan Inputs'!$B$8)),'Loan Inputs'!$B$8+A1786*IF('Loan Inputs'!$B$14=26,14,7)))</f>
        <v/>
      </c>
      <c r="C1786" s="2" t="str">
        <f t="shared" si="83"/>
        <v/>
      </c>
      <c r="D1786" s="2" t="str">
        <f>IF(A1786="","",MIN('Loan Inputs'!$B$17,C1786+E1786)+H1786)</f>
        <v/>
      </c>
      <c r="E1786" s="2" t="str">
        <f>IF(A1786="","",C1786*'Loan Inputs'!$B$15)</f>
        <v/>
      </c>
      <c r="F1786" s="2" t="str">
        <f t="shared" si="81"/>
        <v/>
      </c>
      <c r="G1786" s="2" t="str">
        <f t="shared" si="82"/>
        <v/>
      </c>
      <c r="H1786" s="2" t="str">
        <f>IF(A1786="","",MIN(0,MAX(0,C1786+E1786-'Loan Inputs'!$B$17)))</f>
        <v/>
      </c>
    </row>
    <row r="1787" spans="1:8" ht="22" customHeight="1">
      <c r="A1787" s="1" t="str">
        <f>IF(AND('Loan Inputs'!$B$12,1781&lt;=IF('Loan Inputs'!$B$12,'Loan Inputs'!$B$7,0)*'Loan Inputs'!$B$14+0,ISNUMBER(G1786),G1786&gt;0),1781,"")</f>
        <v/>
      </c>
      <c r="B1787" s="4" t="str">
        <f>IF(A1787="","",IF('Loan Inputs'!$B$14=12,DATE(YEAR('Loan Inputs'!$B$8),MONTH('Loan Inputs'!$B$8)+A1787,DAY('Loan Inputs'!$B$8)),'Loan Inputs'!$B$8+A1787*IF('Loan Inputs'!$B$14=26,14,7)))</f>
        <v/>
      </c>
      <c r="C1787" s="2" t="str">
        <f t="shared" si="83"/>
        <v/>
      </c>
      <c r="D1787" s="2" t="str">
        <f>IF(A1787="","",MIN('Loan Inputs'!$B$17,C1787+E1787)+H1787)</f>
        <v/>
      </c>
      <c r="E1787" s="2" t="str">
        <f>IF(A1787="","",C1787*'Loan Inputs'!$B$15)</f>
        <v/>
      </c>
      <c r="F1787" s="2" t="str">
        <f t="shared" si="81"/>
        <v/>
      </c>
      <c r="G1787" s="2" t="str">
        <f t="shared" si="82"/>
        <v/>
      </c>
      <c r="H1787" s="2" t="str">
        <f>IF(A1787="","",MIN(0,MAX(0,C1787+E1787-'Loan Inputs'!$B$17)))</f>
        <v/>
      </c>
    </row>
    <row r="1788" spans="1:8" ht="22" customHeight="1">
      <c r="A1788" s="1" t="str">
        <f>IF(AND('Loan Inputs'!$B$12,1782&lt;=IF('Loan Inputs'!$B$12,'Loan Inputs'!$B$7,0)*'Loan Inputs'!$B$14+0,ISNUMBER(G1787),G1787&gt;0),1782,"")</f>
        <v/>
      </c>
      <c r="B1788" s="4" t="str">
        <f>IF(A1788="","",IF('Loan Inputs'!$B$14=12,DATE(YEAR('Loan Inputs'!$B$8),MONTH('Loan Inputs'!$B$8)+A1788,DAY('Loan Inputs'!$B$8)),'Loan Inputs'!$B$8+A1788*IF('Loan Inputs'!$B$14=26,14,7)))</f>
        <v/>
      </c>
      <c r="C1788" s="2" t="str">
        <f t="shared" si="83"/>
        <v/>
      </c>
      <c r="D1788" s="2" t="str">
        <f>IF(A1788="","",MIN('Loan Inputs'!$B$17,C1788+E1788)+H1788)</f>
        <v/>
      </c>
      <c r="E1788" s="2" t="str">
        <f>IF(A1788="","",C1788*'Loan Inputs'!$B$15)</f>
        <v/>
      </c>
      <c r="F1788" s="2" t="str">
        <f t="shared" si="81"/>
        <v/>
      </c>
      <c r="G1788" s="2" t="str">
        <f t="shared" si="82"/>
        <v/>
      </c>
      <c r="H1788" s="2" t="str">
        <f>IF(A1788="","",MIN(0,MAX(0,C1788+E1788-'Loan Inputs'!$B$17)))</f>
        <v/>
      </c>
    </row>
    <row r="1789" spans="1:8" ht="22" customHeight="1">
      <c r="A1789" s="1" t="str">
        <f>IF(AND('Loan Inputs'!$B$12,1783&lt;=IF('Loan Inputs'!$B$12,'Loan Inputs'!$B$7,0)*'Loan Inputs'!$B$14+0,ISNUMBER(G1788),G1788&gt;0),1783,"")</f>
        <v/>
      </c>
      <c r="B1789" s="4" t="str">
        <f>IF(A1789="","",IF('Loan Inputs'!$B$14=12,DATE(YEAR('Loan Inputs'!$B$8),MONTH('Loan Inputs'!$B$8)+A1789,DAY('Loan Inputs'!$B$8)),'Loan Inputs'!$B$8+A1789*IF('Loan Inputs'!$B$14=26,14,7)))</f>
        <v/>
      </c>
      <c r="C1789" s="2" t="str">
        <f t="shared" si="83"/>
        <v/>
      </c>
      <c r="D1789" s="2" t="str">
        <f>IF(A1789="","",MIN('Loan Inputs'!$B$17,C1789+E1789)+H1789)</f>
        <v/>
      </c>
      <c r="E1789" s="2" t="str">
        <f>IF(A1789="","",C1789*'Loan Inputs'!$B$15)</f>
        <v/>
      </c>
      <c r="F1789" s="2" t="str">
        <f t="shared" si="81"/>
        <v/>
      </c>
      <c r="G1789" s="2" t="str">
        <f t="shared" si="82"/>
        <v/>
      </c>
      <c r="H1789" s="2" t="str">
        <f>IF(A1789="","",MIN(0,MAX(0,C1789+E1789-'Loan Inputs'!$B$17)))</f>
        <v/>
      </c>
    </row>
    <row r="1790" spans="1:8" ht="22" customHeight="1">
      <c r="A1790" s="1" t="str">
        <f>IF(AND('Loan Inputs'!$B$12,1784&lt;=IF('Loan Inputs'!$B$12,'Loan Inputs'!$B$7,0)*'Loan Inputs'!$B$14+0,ISNUMBER(G1789),G1789&gt;0),1784,"")</f>
        <v/>
      </c>
      <c r="B1790" s="4" t="str">
        <f>IF(A1790="","",IF('Loan Inputs'!$B$14=12,DATE(YEAR('Loan Inputs'!$B$8),MONTH('Loan Inputs'!$B$8)+A1790,DAY('Loan Inputs'!$B$8)),'Loan Inputs'!$B$8+A1790*IF('Loan Inputs'!$B$14=26,14,7)))</f>
        <v/>
      </c>
      <c r="C1790" s="2" t="str">
        <f t="shared" si="83"/>
        <v/>
      </c>
      <c r="D1790" s="2" t="str">
        <f>IF(A1790="","",MIN('Loan Inputs'!$B$17,C1790+E1790)+H1790)</f>
        <v/>
      </c>
      <c r="E1790" s="2" t="str">
        <f>IF(A1790="","",C1790*'Loan Inputs'!$B$15)</f>
        <v/>
      </c>
      <c r="F1790" s="2" t="str">
        <f t="shared" si="81"/>
        <v/>
      </c>
      <c r="G1790" s="2" t="str">
        <f t="shared" si="82"/>
        <v/>
      </c>
      <c r="H1790" s="2" t="str">
        <f>IF(A1790="","",MIN(0,MAX(0,C1790+E1790-'Loan Inputs'!$B$17)))</f>
        <v/>
      </c>
    </row>
    <row r="1791" spans="1:8" ht="22" customHeight="1">
      <c r="A1791" s="1" t="str">
        <f>IF(AND('Loan Inputs'!$B$12,1785&lt;=IF('Loan Inputs'!$B$12,'Loan Inputs'!$B$7,0)*'Loan Inputs'!$B$14+0,ISNUMBER(G1790),G1790&gt;0),1785,"")</f>
        <v/>
      </c>
      <c r="B1791" s="4" t="str">
        <f>IF(A1791="","",IF('Loan Inputs'!$B$14=12,DATE(YEAR('Loan Inputs'!$B$8),MONTH('Loan Inputs'!$B$8)+A1791,DAY('Loan Inputs'!$B$8)),'Loan Inputs'!$B$8+A1791*IF('Loan Inputs'!$B$14=26,14,7)))</f>
        <v/>
      </c>
      <c r="C1791" s="2" t="str">
        <f t="shared" si="83"/>
        <v/>
      </c>
      <c r="D1791" s="2" t="str">
        <f>IF(A1791="","",MIN('Loan Inputs'!$B$17,C1791+E1791)+H1791)</f>
        <v/>
      </c>
      <c r="E1791" s="2" t="str">
        <f>IF(A1791="","",C1791*'Loan Inputs'!$B$15)</f>
        <v/>
      </c>
      <c r="F1791" s="2" t="str">
        <f t="shared" si="81"/>
        <v/>
      </c>
      <c r="G1791" s="2" t="str">
        <f t="shared" si="82"/>
        <v/>
      </c>
      <c r="H1791" s="2" t="str">
        <f>IF(A1791="","",MIN(0,MAX(0,C1791+E1791-'Loan Inputs'!$B$17)))</f>
        <v/>
      </c>
    </row>
    <row r="1792" spans="1:8" ht="22" customHeight="1">
      <c r="A1792" s="1" t="str">
        <f>IF(AND('Loan Inputs'!$B$12,1786&lt;=IF('Loan Inputs'!$B$12,'Loan Inputs'!$B$7,0)*'Loan Inputs'!$B$14+0,ISNUMBER(G1791),G1791&gt;0),1786,"")</f>
        <v/>
      </c>
      <c r="B1792" s="4" t="str">
        <f>IF(A1792="","",IF('Loan Inputs'!$B$14=12,DATE(YEAR('Loan Inputs'!$B$8),MONTH('Loan Inputs'!$B$8)+A1792,DAY('Loan Inputs'!$B$8)),'Loan Inputs'!$B$8+A1792*IF('Loan Inputs'!$B$14=26,14,7)))</f>
        <v/>
      </c>
      <c r="C1792" s="2" t="str">
        <f t="shared" si="83"/>
        <v/>
      </c>
      <c r="D1792" s="2" t="str">
        <f>IF(A1792="","",MIN('Loan Inputs'!$B$17,C1792+E1792)+H1792)</f>
        <v/>
      </c>
      <c r="E1792" s="2" t="str">
        <f>IF(A1792="","",C1792*'Loan Inputs'!$B$15)</f>
        <v/>
      </c>
      <c r="F1792" s="2" t="str">
        <f t="shared" si="81"/>
        <v/>
      </c>
      <c r="G1792" s="2" t="str">
        <f t="shared" si="82"/>
        <v/>
      </c>
      <c r="H1792" s="2" t="str">
        <f>IF(A1792="","",MIN(0,MAX(0,C1792+E1792-'Loan Inputs'!$B$17)))</f>
        <v/>
      </c>
    </row>
    <row r="1793" spans="1:8" ht="22" customHeight="1">
      <c r="A1793" s="1" t="str">
        <f>IF(AND('Loan Inputs'!$B$12,1787&lt;=IF('Loan Inputs'!$B$12,'Loan Inputs'!$B$7,0)*'Loan Inputs'!$B$14+0,ISNUMBER(G1792),G1792&gt;0),1787,"")</f>
        <v/>
      </c>
      <c r="B1793" s="4" t="str">
        <f>IF(A1793="","",IF('Loan Inputs'!$B$14=12,DATE(YEAR('Loan Inputs'!$B$8),MONTH('Loan Inputs'!$B$8)+A1793,DAY('Loan Inputs'!$B$8)),'Loan Inputs'!$B$8+A1793*IF('Loan Inputs'!$B$14=26,14,7)))</f>
        <v/>
      </c>
      <c r="C1793" s="2" t="str">
        <f t="shared" si="83"/>
        <v/>
      </c>
      <c r="D1793" s="2" t="str">
        <f>IF(A1793="","",MIN('Loan Inputs'!$B$17,C1793+E1793)+H1793)</f>
        <v/>
      </c>
      <c r="E1793" s="2" t="str">
        <f>IF(A1793="","",C1793*'Loan Inputs'!$B$15)</f>
        <v/>
      </c>
      <c r="F1793" s="2" t="str">
        <f t="shared" si="81"/>
        <v/>
      </c>
      <c r="G1793" s="2" t="str">
        <f t="shared" si="82"/>
        <v/>
      </c>
      <c r="H1793" s="2" t="str">
        <f>IF(A1793="","",MIN(0,MAX(0,C1793+E1793-'Loan Inputs'!$B$17)))</f>
        <v/>
      </c>
    </row>
    <row r="1794" spans="1:8" ht="22" customHeight="1">
      <c r="A1794" s="1" t="str">
        <f>IF(AND('Loan Inputs'!$B$12,1788&lt;=IF('Loan Inputs'!$B$12,'Loan Inputs'!$B$7,0)*'Loan Inputs'!$B$14+0,ISNUMBER(G1793),G1793&gt;0),1788,"")</f>
        <v/>
      </c>
      <c r="B1794" s="4" t="str">
        <f>IF(A1794="","",IF('Loan Inputs'!$B$14=12,DATE(YEAR('Loan Inputs'!$B$8),MONTH('Loan Inputs'!$B$8)+A1794,DAY('Loan Inputs'!$B$8)),'Loan Inputs'!$B$8+A1794*IF('Loan Inputs'!$B$14=26,14,7)))</f>
        <v/>
      </c>
      <c r="C1794" s="2" t="str">
        <f t="shared" si="83"/>
        <v/>
      </c>
      <c r="D1794" s="2" t="str">
        <f>IF(A1794="","",MIN('Loan Inputs'!$B$17,C1794+E1794)+H1794)</f>
        <v/>
      </c>
      <c r="E1794" s="2" t="str">
        <f>IF(A1794="","",C1794*'Loan Inputs'!$B$15)</f>
        <v/>
      </c>
      <c r="F1794" s="2" t="str">
        <f t="shared" si="81"/>
        <v/>
      </c>
      <c r="G1794" s="2" t="str">
        <f t="shared" si="82"/>
        <v/>
      </c>
      <c r="H1794" s="2" t="str">
        <f>IF(A1794="","",MIN(0,MAX(0,C1794+E1794-'Loan Inputs'!$B$17)))</f>
        <v/>
      </c>
    </row>
    <row r="1795" spans="1:8" ht="22" customHeight="1">
      <c r="A1795" s="1" t="str">
        <f>IF(AND('Loan Inputs'!$B$12,1789&lt;=IF('Loan Inputs'!$B$12,'Loan Inputs'!$B$7,0)*'Loan Inputs'!$B$14+0,ISNUMBER(G1794),G1794&gt;0),1789,"")</f>
        <v/>
      </c>
      <c r="B1795" s="4" t="str">
        <f>IF(A1795="","",IF('Loan Inputs'!$B$14=12,DATE(YEAR('Loan Inputs'!$B$8),MONTH('Loan Inputs'!$B$8)+A1795,DAY('Loan Inputs'!$B$8)),'Loan Inputs'!$B$8+A1795*IF('Loan Inputs'!$B$14=26,14,7)))</f>
        <v/>
      </c>
      <c r="C1795" s="2" t="str">
        <f t="shared" si="83"/>
        <v/>
      </c>
      <c r="D1795" s="2" t="str">
        <f>IF(A1795="","",MIN('Loan Inputs'!$B$17,C1795+E1795)+H1795)</f>
        <v/>
      </c>
      <c r="E1795" s="2" t="str">
        <f>IF(A1795="","",C1795*'Loan Inputs'!$B$15)</f>
        <v/>
      </c>
      <c r="F1795" s="2" t="str">
        <f t="shared" si="81"/>
        <v/>
      </c>
      <c r="G1795" s="2" t="str">
        <f t="shared" si="82"/>
        <v/>
      </c>
      <c r="H1795" s="2" t="str">
        <f>IF(A1795="","",MIN(0,MAX(0,C1795+E1795-'Loan Inputs'!$B$17)))</f>
        <v/>
      </c>
    </row>
    <row r="1796" spans="1:8" ht="22" customHeight="1">
      <c r="A1796" s="1" t="str">
        <f>IF(AND('Loan Inputs'!$B$12,1790&lt;=IF('Loan Inputs'!$B$12,'Loan Inputs'!$B$7,0)*'Loan Inputs'!$B$14+0,ISNUMBER(G1795),G1795&gt;0),1790,"")</f>
        <v/>
      </c>
      <c r="B1796" s="4" t="str">
        <f>IF(A1796="","",IF('Loan Inputs'!$B$14=12,DATE(YEAR('Loan Inputs'!$B$8),MONTH('Loan Inputs'!$B$8)+A1796,DAY('Loan Inputs'!$B$8)),'Loan Inputs'!$B$8+A1796*IF('Loan Inputs'!$B$14=26,14,7)))</f>
        <v/>
      </c>
      <c r="C1796" s="2" t="str">
        <f t="shared" si="83"/>
        <v/>
      </c>
      <c r="D1796" s="2" t="str">
        <f>IF(A1796="","",MIN('Loan Inputs'!$B$17,C1796+E1796)+H1796)</f>
        <v/>
      </c>
      <c r="E1796" s="2" t="str">
        <f>IF(A1796="","",C1796*'Loan Inputs'!$B$15)</f>
        <v/>
      </c>
      <c r="F1796" s="2" t="str">
        <f t="shared" si="81"/>
        <v/>
      </c>
      <c r="G1796" s="2" t="str">
        <f t="shared" si="82"/>
        <v/>
      </c>
      <c r="H1796" s="2" t="str">
        <f>IF(A1796="","",MIN(0,MAX(0,C1796+E1796-'Loan Inputs'!$B$17)))</f>
        <v/>
      </c>
    </row>
    <row r="1797" spans="1:8" ht="22" customHeight="1">
      <c r="A1797" s="1" t="str">
        <f>IF(AND('Loan Inputs'!$B$12,1791&lt;=IF('Loan Inputs'!$B$12,'Loan Inputs'!$B$7,0)*'Loan Inputs'!$B$14+0,ISNUMBER(G1796),G1796&gt;0),1791,"")</f>
        <v/>
      </c>
      <c r="B1797" s="4" t="str">
        <f>IF(A1797="","",IF('Loan Inputs'!$B$14=12,DATE(YEAR('Loan Inputs'!$B$8),MONTH('Loan Inputs'!$B$8)+A1797,DAY('Loan Inputs'!$B$8)),'Loan Inputs'!$B$8+A1797*IF('Loan Inputs'!$B$14=26,14,7)))</f>
        <v/>
      </c>
      <c r="C1797" s="2" t="str">
        <f t="shared" si="83"/>
        <v/>
      </c>
      <c r="D1797" s="2" t="str">
        <f>IF(A1797="","",MIN('Loan Inputs'!$B$17,C1797+E1797)+H1797)</f>
        <v/>
      </c>
      <c r="E1797" s="2" t="str">
        <f>IF(A1797="","",C1797*'Loan Inputs'!$B$15)</f>
        <v/>
      </c>
      <c r="F1797" s="2" t="str">
        <f t="shared" si="81"/>
        <v/>
      </c>
      <c r="G1797" s="2" t="str">
        <f t="shared" si="82"/>
        <v/>
      </c>
      <c r="H1797" s="2" t="str">
        <f>IF(A1797="","",MIN(0,MAX(0,C1797+E1797-'Loan Inputs'!$B$17)))</f>
        <v/>
      </c>
    </row>
    <row r="1798" spans="1:8" ht="22" customHeight="1">
      <c r="A1798" s="1" t="str">
        <f>IF(AND('Loan Inputs'!$B$12,1792&lt;=IF('Loan Inputs'!$B$12,'Loan Inputs'!$B$7,0)*'Loan Inputs'!$B$14+0,ISNUMBER(G1797),G1797&gt;0),1792,"")</f>
        <v/>
      </c>
      <c r="B1798" s="4" t="str">
        <f>IF(A1798="","",IF('Loan Inputs'!$B$14=12,DATE(YEAR('Loan Inputs'!$B$8),MONTH('Loan Inputs'!$B$8)+A1798,DAY('Loan Inputs'!$B$8)),'Loan Inputs'!$B$8+A1798*IF('Loan Inputs'!$B$14=26,14,7)))</f>
        <v/>
      </c>
      <c r="C1798" s="2" t="str">
        <f t="shared" si="83"/>
        <v/>
      </c>
      <c r="D1798" s="2" t="str">
        <f>IF(A1798="","",MIN('Loan Inputs'!$B$17,C1798+E1798)+H1798)</f>
        <v/>
      </c>
      <c r="E1798" s="2" t="str">
        <f>IF(A1798="","",C1798*'Loan Inputs'!$B$15)</f>
        <v/>
      </c>
      <c r="F1798" s="2" t="str">
        <f t="shared" si="81"/>
        <v/>
      </c>
      <c r="G1798" s="2" t="str">
        <f t="shared" si="82"/>
        <v/>
      </c>
      <c r="H1798" s="2" t="str">
        <f>IF(A1798="","",MIN(0,MAX(0,C1798+E1798-'Loan Inputs'!$B$17)))</f>
        <v/>
      </c>
    </row>
    <row r="1799" spans="1:8" ht="22" customHeight="1">
      <c r="A1799" s="1" t="str">
        <f>IF(AND('Loan Inputs'!$B$12,1793&lt;=IF('Loan Inputs'!$B$12,'Loan Inputs'!$B$7,0)*'Loan Inputs'!$B$14+0,ISNUMBER(G1798),G1798&gt;0),1793,"")</f>
        <v/>
      </c>
      <c r="B1799" s="4" t="str">
        <f>IF(A1799="","",IF('Loan Inputs'!$B$14=12,DATE(YEAR('Loan Inputs'!$B$8),MONTH('Loan Inputs'!$B$8)+A1799,DAY('Loan Inputs'!$B$8)),'Loan Inputs'!$B$8+A1799*IF('Loan Inputs'!$B$14=26,14,7)))</f>
        <v/>
      </c>
      <c r="C1799" s="2" t="str">
        <f t="shared" si="83"/>
        <v/>
      </c>
      <c r="D1799" s="2" t="str">
        <f>IF(A1799="","",MIN('Loan Inputs'!$B$17,C1799+E1799)+H1799)</f>
        <v/>
      </c>
      <c r="E1799" s="2" t="str">
        <f>IF(A1799="","",C1799*'Loan Inputs'!$B$15)</f>
        <v/>
      </c>
      <c r="F1799" s="2" t="str">
        <f t="shared" ref="F1799:F1862" si="84">IF(A1799="","",MIN(C1799,D1799-E1799))</f>
        <v/>
      </c>
      <c r="G1799" s="2" t="str">
        <f t="shared" ref="G1799:G1862" si="85">IF(A1799="","",IF(C1799-F1799&lt;0.01,0,MAX(0,C1799-F1799)))</f>
        <v/>
      </c>
      <c r="H1799" s="2" t="str">
        <f>IF(A1799="","",MIN(0,MAX(0,C1799+E1799-'Loan Inputs'!$B$17)))</f>
        <v/>
      </c>
    </row>
    <row r="1800" spans="1:8" ht="22" customHeight="1">
      <c r="A1800" s="1" t="str">
        <f>IF(AND('Loan Inputs'!$B$12,1794&lt;=IF('Loan Inputs'!$B$12,'Loan Inputs'!$B$7,0)*'Loan Inputs'!$B$14+0,ISNUMBER(G1799),G1799&gt;0),1794,"")</f>
        <v/>
      </c>
      <c r="B1800" s="4" t="str">
        <f>IF(A1800="","",IF('Loan Inputs'!$B$14=12,DATE(YEAR('Loan Inputs'!$B$8),MONTH('Loan Inputs'!$B$8)+A1800,DAY('Loan Inputs'!$B$8)),'Loan Inputs'!$B$8+A1800*IF('Loan Inputs'!$B$14=26,14,7)))</f>
        <v/>
      </c>
      <c r="C1800" s="2" t="str">
        <f t="shared" ref="C1800:C1863" si="86">IF(A1800="","",G1799)</f>
        <v/>
      </c>
      <c r="D1800" s="2" t="str">
        <f>IF(A1800="","",MIN('Loan Inputs'!$B$17,C1800+E1800)+H1800)</f>
        <v/>
      </c>
      <c r="E1800" s="2" t="str">
        <f>IF(A1800="","",C1800*'Loan Inputs'!$B$15)</f>
        <v/>
      </c>
      <c r="F1800" s="2" t="str">
        <f t="shared" si="84"/>
        <v/>
      </c>
      <c r="G1800" s="2" t="str">
        <f t="shared" si="85"/>
        <v/>
      </c>
      <c r="H1800" s="2" t="str">
        <f>IF(A1800="","",MIN(0,MAX(0,C1800+E1800-'Loan Inputs'!$B$17)))</f>
        <v/>
      </c>
    </row>
    <row r="1801" spans="1:8" ht="22" customHeight="1">
      <c r="A1801" s="1" t="str">
        <f>IF(AND('Loan Inputs'!$B$12,1795&lt;=IF('Loan Inputs'!$B$12,'Loan Inputs'!$B$7,0)*'Loan Inputs'!$B$14+0,ISNUMBER(G1800),G1800&gt;0),1795,"")</f>
        <v/>
      </c>
      <c r="B1801" s="4" t="str">
        <f>IF(A1801="","",IF('Loan Inputs'!$B$14=12,DATE(YEAR('Loan Inputs'!$B$8),MONTH('Loan Inputs'!$B$8)+A1801,DAY('Loan Inputs'!$B$8)),'Loan Inputs'!$B$8+A1801*IF('Loan Inputs'!$B$14=26,14,7)))</f>
        <v/>
      </c>
      <c r="C1801" s="2" t="str">
        <f t="shared" si="86"/>
        <v/>
      </c>
      <c r="D1801" s="2" t="str">
        <f>IF(A1801="","",MIN('Loan Inputs'!$B$17,C1801+E1801)+H1801)</f>
        <v/>
      </c>
      <c r="E1801" s="2" t="str">
        <f>IF(A1801="","",C1801*'Loan Inputs'!$B$15)</f>
        <v/>
      </c>
      <c r="F1801" s="2" t="str">
        <f t="shared" si="84"/>
        <v/>
      </c>
      <c r="G1801" s="2" t="str">
        <f t="shared" si="85"/>
        <v/>
      </c>
      <c r="H1801" s="2" t="str">
        <f>IF(A1801="","",MIN(0,MAX(0,C1801+E1801-'Loan Inputs'!$B$17)))</f>
        <v/>
      </c>
    </row>
    <row r="1802" spans="1:8" ht="22" customHeight="1">
      <c r="A1802" s="1" t="str">
        <f>IF(AND('Loan Inputs'!$B$12,1796&lt;=IF('Loan Inputs'!$B$12,'Loan Inputs'!$B$7,0)*'Loan Inputs'!$B$14+0,ISNUMBER(G1801),G1801&gt;0),1796,"")</f>
        <v/>
      </c>
      <c r="B1802" s="4" t="str">
        <f>IF(A1802="","",IF('Loan Inputs'!$B$14=12,DATE(YEAR('Loan Inputs'!$B$8),MONTH('Loan Inputs'!$B$8)+A1802,DAY('Loan Inputs'!$B$8)),'Loan Inputs'!$B$8+A1802*IF('Loan Inputs'!$B$14=26,14,7)))</f>
        <v/>
      </c>
      <c r="C1802" s="2" t="str">
        <f t="shared" si="86"/>
        <v/>
      </c>
      <c r="D1802" s="2" t="str">
        <f>IF(A1802="","",MIN('Loan Inputs'!$B$17,C1802+E1802)+H1802)</f>
        <v/>
      </c>
      <c r="E1802" s="2" t="str">
        <f>IF(A1802="","",C1802*'Loan Inputs'!$B$15)</f>
        <v/>
      </c>
      <c r="F1802" s="2" t="str">
        <f t="shared" si="84"/>
        <v/>
      </c>
      <c r="G1802" s="2" t="str">
        <f t="shared" si="85"/>
        <v/>
      </c>
      <c r="H1802" s="2" t="str">
        <f>IF(A1802="","",MIN(0,MAX(0,C1802+E1802-'Loan Inputs'!$B$17)))</f>
        <v/>
      </c>
    </row>
    <row r="1803" spans="1:8" ht="22" customHeight="1">
      <c r="A1803" s="1" t="str">
        <f>IF(AND('Loan Inputs'!$B$12,1797&lt;=IF('Loan Inputs'!$B$12,'Loan Inputs'!$B$7,0)*'Loan Inputs'!$B$14+0,ISNUMBER(G1802),G1802&gt;0),1797,"")</f>
        <v/>
      </c>
      <c r="B1803" s="4" t="str">
        <f>IF(A1803="","",IF('Loan Inputs'!$B$14=12,DATE(YEAR('Loan Inputs'!$B$8),MONTH('Loan Inputs'!$B$8)+A1803,DAY('Loan Inputs'!$B$8)),'Loan Inputs'!$B$8+A1803*IF('Loan Inputs'!$B$14=26,14,7)))</f>
        <v/>
      </c>
      <c r="C1803" s="2" t="str">
        <f t="shared" si="86"/>
        <v/>
      </c>
      <c r="D1803" s="2" t="str">
        <f>IF(A1803="","",MIN('Loan Inputs'!$B$17,C1803+E1803)+H1803)</f>
        <v/>
      </c>
      <c r="E1803" s="2" t="str">
        <f>IF(A1803="","",C1803*'Loan Inputs'!$B$15)</f>
        <v/>
      </c>
      <c r="F1803" s="2" t="str">
        <f t="shared" si="84"/>
        <v/>
      </c>
      <c r="G1803" s="2" t="str">
        <f t="shared" si="85"/>
        <v/>
      </c>
      <c r="H1803" s="2" t="str">
        <f>IF(A1803="","",MIN(0,MAX(0,C1803+E1803-'Loan Inputs'!$B$17)))</f>
        <v/>
      </c>
    </row>
    <row r="1804" spans="1:8" ht="22" customHeight="1">
      <c r="A1804" s="1" t="str">
        <f>IF(AND('Loan Inputs'!$B$12,1798&lt;=IF('Loan Inputs'!$B$12,'Loan Inputs'!$B$7,0)*'Loan Inputs'!$B$14+0,ISNUMBER(G1803),G1803&gt;0),1798,"")</f>
        <v/>
      </c>
      <c r="B1804" s="4" t="str">
        <f>IF(A1804="","",IF('Loan Inputs'!$B$14=12,DATE(YEAR('Loan Inputs'!$B$8),MONTH('Loan Inputs'!$B$8)+A1804,DAY('Loan Inputs'!$B$8)),'Loan Inputs'!$B$8+A1804*IF('Loan Inputs'!$B$14=26,14,7)))</f>
        <v/>
      </c>
      <c r="C1804" s="2" t="str">
        <f t="shared" si="86"/>
        <v/>
      </c>
      <c r="D1804" s="2" t="str">
        <f>IF(A1804="","",MIN('Loan Inputs'!$B$17,C1804+E1804)+H1804)</f>
        <v/>
      </c>
      <c r="E1804" s="2" t="str">
        <f>IF(A1804="","",C1804*'Loan Inputs'!$B$15)</f>
        <v/>
      </c>
      <c r="F1804" s="2" t="str">
        <f t="shared" si="84"/>
        <v/>
      </c>
      <c r="G1804" s="2" t="str">
        <f t="shared" si="85"/>
        <v/>
      </c>
      <c r="H1804" s="2" t="str">
        <f>IF(A1804="","",MIN(0,MAX(0,C1804+E1804-'Loan Inputs'!$B$17)))</f>
        <v/>
      </c>
    </row>
    <row r="1805" spans="1:8" ht="22" customHeight="1">
      <c r="A1805" s="1" t="str">
        <f>IF(AND('Loan Inputs'!$B$12,1799&lt;=IF('Loan Inputs'!$B$12,'Loan Inputs'!$B$7,0)*'Loan Inputs'!$B$14+0,ISNUMBER(G1804),G1804&gt;0),1799,"")</f>
        <v/>
      </c>
      <c r="B1805" s="4" t="str">
        <f>IF(A1805="","",IF('Loan Inputs'!$B$14=12,DATE(YEAR('Loan Inputs'!$B$8),MONTH('Loan Inputs'!$B$8)+A1805,DAY('Loan Inputs'!$B$8)),'Loan Inputs'!$B$8+A1805*IF('Loan Inputs'!$B$14=26,14,7)))</f>
        <v/>
      </c>
      <c r="C1805" s="2" t="str">
        <f t="shared" si="86"/>
        <v/>
      </c>
      <c r="D1805" s="2" t="str">
        <f>IF(A1805="","",MIN('Loan Inputs'!$B$17,C1805+E1805)+H1805)</f>
        <v/>
      </c>
      <c r="E1805" s="2" t="str">
        <f>IF(A1805="","",C1805*'Loan Inputs'!$B$15)</f>
        <v/>
      </c>
      <c r="F1805" s="2" t="str">
        <f t="shared" si="84"/>
        <v/>
      </c>
      <c r="G1805" s="2" t="str">
        <f t="shared" si="85"/>
        <v/>
      </c>
      <c r="H1805" s="2" t="str">
        <f>IF(A1805="","",MIN(0,MAX(0,C1805+E1805-'Loan Inputs'!$B$17)))</f>
        <v/>
      </c>
    </row>
    <row r="1806" spans="1:8" ht="22" customHeight="1">
      <c r="A1806" s="1" t="str">
        <f>IF(AND('Loan Inputs'!$B$12,1800&lt;=IF('Loan Inputs'!$B$12,'Loan Inputs'!$B$7,0)*'Loan Inputs'!$B$14+0,ISNUMBER(G1805),G1805&gt;0),1800,"")</f>
        <v/>
      </c>
      <c r="B1806" s="4" t="str">
        <f>IF(A1806="","",IF('Loan Inputs'!$B$14=12,DATE(YEAR('Loan Inputs'!$B$8),MONTH('Loan Inputs'!$B$8)+A1806,DAY('Loan Inputs'!$B$8)),'Loan Inputs'!$B$8+A1806*IF('Loan Inputs'!$B$14=26,14,7)))</f>
        <v/>
      </c>
      <c r="C1806" s="2" t="str">
        <f t="shared" si="86"/>
        <v/>
      </c>
      <c r="D1806" s="2" t="str">
        <f>IF(A1806="","",MIN('Loan Inputs'!$B$17,C1806+E1806)+H1806)</f>
        <v/>
      </c>
      <c r="E1806" s="2" t="str">
        <f>IF(A1806="","",C1806*'Loan Inputs'!$B$15)</f>
        <v/>
      </c>
      <c r="F1806" s="2" t="str">
        <f t="shared" si="84"/>
        <v/>
      </c>
      <c r="G1806" s="2" t="str">
        <f t="shared" si="85"/>
        <v/>
      </c>
      <c r="H1806" s="2" t="str">
        <f>IF(A1806="","",MIN(0,MAX(0,C1806+E1806-'Loan Inputs'!$B$17)))</f>
        <v/>
      </c>
    </row>
    <row r="1807" spans="1:8" ht="22" customHeight="1">
      <c r="A1807" s="1" t="str">
        <f>IF(AND('Loan Inputs'!$B$12,1801&lt;=IF('Loan Inputs'!$B$12,'Loan Inputs'!$B$7,0)*'Loan Inputs'!$B$14+0,ISNUMBER(G1806),G1806&gt;0),1801,"")</f>
        <v/>
      </c>
      <c r="B1807" s="4" t="str">
        <f>IF(A1807="","",IF('Loan Inputs'!$B$14=12,DATE(YEAR('Loan Inputs'!$B$8),MONTH('Loan Inputs'!$B$8)+A1807,DAY('Loan Inputs'!$B$8)),'Loan Inputs'!$B$8+A1807*IF('Loan Inputs'!$B$14=26,14,7)))</f>
        <v/>
      </c>
      <c r="C1807" s="2" t="str">
        <f t="shared" si="86"/>
        <v/>
      </c>
      <c r="D1807" s="2" t="str">
        <f>IF(A1807="","",MIN('Loan Inputs'!$B$17,C1807+E1807)+H1807)</f>
        <v/>
      </c>
      <c r="E1807" s="2" t="str">
        <f>IF(A1807="","",C1807*'Loan Inputs'!$B$15)</f>
        <v/>
      </c>
      <c r="F1807" s="2" t="str">
        <f t="shared" si="84"/>
        <v/>
      </c>
      <c r="G1807" s="2" t="str">
        <f t="shared" si="85"/>
        <v/>
      </c>
      <c r="H1807" s="2" t="str">
        <f>IF(A1807="","",MIN(0,MAX(0,C1807+E1807-'Loan Inputs'!$B$17)))</f>
        <v/>
      </c>
    </row>
    <row r="1808" spans="1:8" ht="22" customHeight="1">
      <c r="A1808" s="1" t="str">
        <f>IF(AND('Loan Inputs'!$B$12,1802&lt;=IF('Loan Inputs'!$B$12,'Loan Inputs'!$B$7,0)*'Loan Inputs'!$B$14+0,ISNUMBER(G1807),G1807&gt;0),1802,"")</f>
        <v/>
      </c>
      <c r="B1808" s="4" t="str">
        <f>IF(A1808="","",IF('Loan Inputs'!$B$14=12,DATE(YEAR('Loan Inputs'!$B$8),MONTH('Loan Inputs'!$B$8)+A1808,DAY('Loan Inputs'!$B$8)),'Loan Inputs'!$B$8+A1808*IF('Loan Inputs'!$B$14=26,14,7)))</f>
        <v/>
      </c>
      <c r="C1808" s="2" t="str">
        <f t="shared" si="86"/>
        <v/>
      </c>
      <c r="D1808" s="2" t="str">
        <f>IF(A1808="","",MIN('Loan Inputs'!$B$17,C1808+E1808)+H1808)</f>
        <v/>
      </c>
      <c r="E1808" s="2" t="str">
        <f>IF(A1808="","",C1808*'Loan Inputs'!$B$15)</f>
        <v/>
      </c>
      <c r="F1808" s="2" t="str">
        <f t="shared" si="84"/>
        <v/>
      </c>
      <c r="G1808" s="2" t="str">
        <f t="shared" si="85"/>
        <v/>
      </c>
      <c r="H1808" s="2" t="str">
        <f>IF(A1808="","",MIN(0,MAX(0,C1808+E1808-'Loan Inputs'!$B$17)))</f>
        <v/>
      </c>
    </row>
    <row r="1809" spans="1:8" ht="22" customHeight="1">
      <c r="A1809" s="1" t="str">
        <f>IF(AND('Loan Inputs'!$B$12,1803&lt;=IF('Loan Inputs'!$B$12,'Loan Inputs'!$B$7,0)*'Loan Inputs'!$B$14+0,ISNUMBER(G1808),G1808&gt;0),1803,"")</f>
        <v/>
      </c>
      <c r="B1809" s="4" t="str">
        <f>IF(A1809="","",IF('Loan Inputs'!$B$14=12,DATE(YEAR('Loan Inputs'!$B$8),MONTH('Loan Inputs'!$B$8)+A1809,DAY('Loan Inputs'!$B$8)),'Loan Inputs'!$B$8+A1809*IF('Loan Inputs'!$B$14=26,14,7)))</f>
        <v/>
      </c>
      <c r="C1809" s="2" t="str">
        <f t="shared" si="86"/>
        <v/>
      </c>
      <c r="D1809" s="2" t="str">
        <f>IF(A1809="","",MIN('Loan Inputs'!$B$17,C1809+E1809)+H1809)</f>
        <v/>
      </c>
      <c r="E1809" s="2" t="str">
        <f>IF(A1809="","",C1809*'Loan Inputs'!$B$15)</f>
        <v/>
      </c>
      <c r="F1809" s="2" t="str">
        <f t="shared" si="84"/>
        <v/>
      </c>
      <c r="G1809" s="2" t="str">
        <f t="shared" si="85"/>
        <v/>
      </c>
      <c r="H1809" s="2" t="str">
        <f>IF(A1809="","",MIN(0,MAX(0,C1809+E1809-'Loan Inputs'!$B$17)))</f>
        <v/>
      </c>
    </row>
    <row r="1810" spans="1:8" ht="22" customHeight="1">
      <c r="A1810" s="1" t="str">
        <f>IF(AND('Loan Inputs'!$B$12,1804&lt;=IF('Loan Inputs'!$B$12,'Loan Inputs'!$B$7,0)*'Loan Inputs'!$B$14+0,ISNUMBER(G1809),G1809&gt;0),1804,"")</f>
        <v/>
      </c>
      <c r="B1810" s="4" t="str">
        <f>IF(A1810="","",IF('Loan Inputs'!$B$14=12,DATE(YEAR('Loan Inputs'!$B$8),MONTH('Loan Inputs'!$B$8)+A1810,DAY('Loan Inputs'!$B$8)),'Loan Inputs'!$B$8+A1810*IF('Loan Inputs'!$B$14=26,14,7)))</f>
        <v/>
      </c>
      <c r="C1810" s="2" t="str">
        <f t="shared" si="86"/>
        <v/>
      </c>
      <c r="D1810" s="2" t="str">
        <f>IF(A1810="","",MIN('Loan Inputs'!$B$17,C1810+E1810)+H1810)</f>
        <v/>
      </c>
      <c r="E1810" s="2" t="str">
        <f>IF(A1810="","",C1810*'Loan Inputs'!$B$15)</f>
        <v/>
      </c>
      <c r="F1810" s="2" t="str">
        <f t="shared" si="84"/>
        <v/>
      </c>
      <c r="G1810" s="2" t="str">
        <f t="shared" si="85"/>
        <v/>
      </c>
      <c r="H1810" s="2" t="str">
        <f>IF(A1810="","",MIN(0,MAX(0,C1810+E1810-'Loan Inputs'!$B$17)))</f>
        <v/>
      </c>
    </row>
    <row r="1811" spans="1:8" ht="22" customHeight="1">
      <c r="A1811" s="1" t="str">
        <f>IF(AND('Loan Inputs'!$B$12,1805&lt;=IF('Loan Inputs'!$B$12,'Loan Inputs'!$B$7,0)*'Loan Inputs'!$B$14+0,ISNUMBER(G1810),G1810&gt;0),1805,"")</f>
        <v/>
      </c>
      <c r="B1811" s="4" t="str">
        <f>IF(A1811="","",IF('Loan Inputs'!$B$14=12,DATE(YEAR('Loan Inputs'!$B$8),MONTH('Loan Inputs'!$B$8)+A1811,DAY('Loan Inputs'!$B$8)),'Loan Inputs'!$B$8+A1811*IF('Loan Inputs'!$B$14=26,14,7)))</f>
        <v/>
      </c>
      <c r="C1811" s="2" t="str">
        <f t="shared" si="86"/>
        <v/>
      </c>
      <c r="D1811" s="2" t="str">
        <f>IF(A1811="","",MIN('Loan Inputs'!$B$17,C1811+E1811)+H1811)</f>
        <v/>
      </c>
      <c r="E1811" s="2" t="str">
        <f>IF(A1811="","",C1811*'Loan Inputs'!$B$15)</f>
        <v/>
      </c>
      <c r="F1811" s="2" t="str">
        <f t="shared" si="84"/>
        <v/>
      </c>
      <c r="G1811" s="2" t="str">
        <f t="shared" si="85"/>
        <v/>
      </c>
      <c r="H1811" s="2" t="str">
        <f>IF(A1811="","",MIN(0,MAX(0,C1811+E1811-'Loan Inputs'!$B$17)))</f>
        <v/>
      </c>
    </row>
    <row r="1812" spans="1:8" ht="22" customHeight="1">
      <c r="A1812" s="1" t="str">
        <f>IF(AND('Loan Inputs'!$B$12,1806&lt;=IF('Loan Inputs'!$B$12,'Loan Inputs'!$B$7,0)*'Loan Inputs'!$B$14+0,ISNUMBER(G1811),G1811&gt;0),1806,"")</f>
        <v/>
      </c>
      <c r="B1812" s="4" t="str">
        <f>IF(A1812="","",IF('Loan Inputs'!$B$14=12,DATE(YEAR('Loan Inputs'!$B$8),MONTH('Loan Inputs'!$B$8)+A1812,DAY('Loan Inputs'!$B$8)),'Loan Inputs'!$B$8+A1812*IF('Loan Inputs'!$B$14=26,14,7)))</f>
        <v/>
      </c>
      <c r="C1812" s="2" t="str">
        <f t="shared" si="86"/>
        <v/>
      </c>
      <c r="D1812" s="2" t="str">
        <f>IF(A1812="","",MIN('Loan Inputs'!$B$17,C1812+E1812)+H1812)</f>
        <v/>
      </c>
      <c r="E1812" s="2" t="str">
        <f>IF(A1812="","",C1812*'Loan Inputs'!$B$15)</f>
        <v/>
      </c>
      <c r="F1812" s="2" t="str">
        <f t="shared" si="84"/>
        <v/>
      </c>
      <c r="G1812" s="2" t="str">
        <f t="shared" si="85"/>
        <v/>
      </c>
      <c r="H1812" s="2" t="str">
        <f>IF(A1812="","",MIN(0,MAX(0,C1812+E1812-'Loan Inputs'!$B$17)))</f>
        <v/>
      </c>
    </row>
    <row r="1813" spans="1:8" ht="22" customHeight="1">
      <c r="A1813" s="1" t="str">
        <f>IF(AND('Loan Inputs'!$B$12,1807&lt;=IF('Loan Inputs'!$B$12,'Loan Inputs'!$B$7,0)*'Loan Inputs'!$B$14+0,ISNUMBER(G1812),G1812&gt;0),1807,"")</f>
        <v/>
      </c>
      <c r="B1813" s="4" t="str">
        <f>IF(A1813="","",IF('Loan Inputs'!$B$14=12,DATE(YEAR('Loan Inputs'!$B$8),MONTH('Loan Inputs'!$B$8)+A1813,DAY('Loan Inputs'!$B$8)),'Loan Inputs'!$B$8+A1813*IF('Loan Inputs'!$B$14=26,14,7)))</f>
        <v/>
      </c>
      <c r="C1813" s="2" t="str">
        <f t="shared" si="86"/>
        <v/>
      </c>
      <c r="D1813" s="2" t="str">
        <f>IF(A1813="","",MIN('Loan Inputs'!$B$17,C1813+E1813)+H1813)</f>
        <v/>
      </c>
      <c r="E1813" s="2" t="str">
        <f>IF(A1813="","",C1813*'Loan Inputs'!$B$15)</f>
        <v/>
      </c>
      <c r="F1813" s="2" t="str">
        <f t="shared" si="84"/>
        <v/>
      </c>
      <c r="G1813" s="2" t="str">
        <f t="shared" si="85"/>
        <v/>
      </c>
      <c r="H1813" s="2" t="str">
        <f>IF(A1813="","",MIN(0,MAX(0,C1813+E1813-'Loan Inputs'!$B$17)))</f>
        <v/>
      </c>
    </row>
    <row r="1814" spans="1:8" ht="22" customHeight="1">
      <c r="A1814" s="1" t="str">
        <f>IF(AND('Loan Inputs'!$B$12,1808&lt;=IF('Loan Inputs'!$B$12,'Loan Inputs'!$B$7,0)*'Loan Inputs'!$B$14+0,ISNUMBER(G1813),G1813&gt;0),1808,"")</f>
        <v/>
      </c>
      <c r="B1814" s="4" t="str">
        <f>IF(A1814="","",IF('Loan Inputs'!$B$14=12,DATE(YEAR('Loan Inputs'!$B$8),MONTH('Loan Inputs'!$B$8)+A1814,DAY('Loan Inputs'!$B$8)),'Loan Inputs'!$B$8+A1814*IF('Loan Inputs'!$B$14=26,14,7)))</f>
        <v/>
      </c>
      <c r="C1814" s="2" t="str">
        <f t="shared" si="86"/>
        <v/>
      </c>
      <c r="D1814" s="2" t="str">
        <f>IF(A1814="","",MIN('Loan Inputs'!$B$17,C1814+E1814)+H1814)</f>
        <v/>
      </c>
      <c r="E1814" s="2" t="str">
        <f>IF(A1814="","",C1814*'Loan Inputs'!$B$15)</f>
        <v/>
      </c>
      <c r="F1814" s="2" t="str">
        <f t="shared" si="84"/>
        <v/>
      </c>
      <c r="G1814" s="2" t="str">
        <f t="shared" si="85"/>
        <v/>
      </c>
      <c r="H1814" s="2" t="str">
        <f>IF(A1814="","",MIN(0,MAX(0,C1814+E1814-'Loan Inputs'!$B$17)))</f>
        <v/>
      </c>
    </row>
    <row r="1815" spans="1:8" ht="22" customHeight="1">
      <c r="A1815" s="1" t="str">
        <f>IF(AND('Loan Inputs'!$B$12,1809&lt;=IF('Loan Inputs'!$B$12,'Loan Inputs'!$B$7,0)*'Loan Inputs'!$B$14+0,ISNUMBER(G1814),G1814&gt;0),1809,"")</f>
        <v/>
      </c>
      <c r="B1815" s="4" t="str">
        <f>IF(A1815="","",IF('Loan Inputs'!$B$14=12,DATE(YEAR('Loan Inputs'!$B$8),MONTH('Loan Inputs'!$B$8)+A1815,DAY('Loan Inputs'!$B$8)),'Loan Inputs'!$B$8+A1815*IF('Loan Inputs'!$B$14=26,14,7)))</f>
        <v/>
      </c>
      <c r="C1815" s="2" t="str">
        <f t="shared" si="86"/>
        <v/>
      </c>
      <c r="D1815" s="2" t="str">
        <f>IF(A1815="","",MIN('Loan Inputs'!$B$17,C1815+E1815)+H1815)</f>
        <v/>
      </c>
      <c r="E1815" s="2" t="str">
        <f>IF(A1815="","",C1815*'Loan Inputs'!$B$15)</f>
        <v/>
      </c>
      <c r="F1815" s="2" t="str">
        <f t="shared" si="84"/>
        <v/>
      </c>
      <c r="G1815" s="2" t="str">
        <f t="shared" si="85"/>
        <v/>
      </c>
      <c r="H1815" s="2" t="str">
        <f>IF(A1815="","",MIN(0,MAX(0,C1815+E1815-'Loan Inputs'!$B$17)))</f>
        <v/>
      </c>
    </row>
    <row r="1816" spans="1:8" ht="22" customHeight="1">
      <c r="A1816" s="1" t="str">
        <f>IF(AND('Loan Inputs'!$B$12,1810&lt;=IF('Loan Inputs'!$B$12,'Loan Inputs'!$B$7,0)*'Loan Inputs'!$B$14+0,ISNUMBER(G1815),G1815&gt;0),1810,"")</f>
        <v/>
      </c>
      <c r="B1816" s="4" t="str">
        <f>IF(A1816="","",IF('Loan Inputs'!$B$14=12,DATE(YEAR('Loan Inputs'!$B$8),MONTH('Loan Inputs'!$B$8)+A1816,DAY('Loan Inputs'!$B$8)),'Loan Inputs'!$B$8+A1816*IF('Loan Inputs'!$B$14=26,14,7)))</f>
        <v/>
      </c>
      <c r="C1816" s="2" t="str">
        <f t="shared" si="86"/>
        <v/>
      </c>
      <c r="D1816" s="2" t="str">
        <f>IF(A1816="","",MIN('Loan Inputs'!$B$17,C1816+E1816)+H1816)</f>
        <v/>
      </c>
      <c r="E1816" s="2" t="str">
        <f>IF(A1816="","",C1816*'Loan Inputs'!$B$15)</f>
        <v/>
      </c>
      <c r="F1816" s="2" t="str">
        <f t="shared" si="84"/>
        <v/>
      </c>
      <c r="G1816" s="2" t="str">
        <f t="shared" si="85"/>
        <v/>
      </c>
      <c r="H1816" s="2" t="str">
        <f>IF(A1816="","",MIN(0,MAX(0,C1816+E1816-'Loan Inputs'!$B$17)))</f>
        <v/>
      </c>
    </row>
    <row r="1817" spans="1:8" ht="22" customHeight="1">
      <c r="A1817" s="1" t="str">
        <f>IF(AND('Loan Inputs'!$B$12,1811&lt;=IF('Loan Inputs'!$B$12,'Loan Inputs'!$B$7,0)*'Loan Inputs'!$B$14+0,ISNUMBER(G1816),G1816&gt;0),1811,"")</f>
        <v/>
      </c>
      <c r="B1817" s="4" t="str">
        <f>IF(A1817="","",IF('Loan Inputs'!$B$14=12,DATE(YEAR('Loan Inputs'!$B$8),MONTH('Loan Inputs'!$B$8)+A1817,DAY('Loan Inputs'!$B$8)),'Loan Inputs'!$B$8+A1817*IF('Loan Inputs'!$B$14=26,14,7)))</f>
        <v/>
      </c>
      <c r="C1817" s="2" t="str">
        <f t="shared" si="86"/>
        <v/>
      </c>
      <c r="D1817" s="2" t="str">
        <f>IF(A1817="","",MIN('Loan Inputs'!$B$17,C1817+E1817)+H1817)</f>
        <v/>
      </c>
      <c r="E1817" s="2" t="str">
        <f>IF(A1817="","",C1817*'Loan Inputs'!$B$15)</f>
        <v/>
      </c>
      <c r="F1817" s="2" t="str">
        <f t="shared" si="84"/>
        <v/>
      </c>
      <c r="G1817" s="2" t="str">
        <f t="shared" si="85"/>
        <v/>
      </c>
      <c r="H1817" s="2" t="str">
        <f>IF(A1817="","",MIN(0,MAX(0,C1817+E1817-'Loan Inputs'!$B$17)))</f>
        <v/>
      </c>
    </row>
    <row r="1818" spans="1:8" ht="22" customHeight="1">
      <c r="A1818" s="1" t="str">
        <f>IF(AND('Loan Inputs'!$B$12,1812&lt;=IF('Loan Inputs'!$B$12,'Loan Inputs'!$B$7,0)*'Loan Inputs'!$B$14+0,ISNUMBER(G1817),G1817&gt;0),1812,"")</f>
        <v/>
      </c>
      <c r="B1818" s="4" t="str">
        <f>IF(A1818="","",IF('Loan Inputs'!$B$14=12,DATE(YEAR('Loan Inputs'!$B$8),MONTH('Loan Inputs'!$B$8)+A1818,DAY('Loan Inputs'!$B$8)),'Loan Inputs'!$B$8+A1818*IF('Loan Inputs'!$B$14=26,14,7)))</f>
        <v/>
      </c>
      <c r="C1818" s="2" t="str">
        <f t="shared" si="86"/>
        <v/>
      </c>
      <c r="D1818" s="2" t="str">
        <f>IF(A1818="","",MIN('Loan Inputs'!$B$17,C1818+E1818)+H1818)</f>
        <v/>
      </c>
      <c r="E1818" s="2" t="str">
        <f>IF(A1818="","",C1818*'Loan Inputs'!$B$15)</f>
        <v/>
      </c>
      <c r="F1818" s="2" t="str">
        <f t="shared" si="84"/>
        <v/>
      </c>
      <c r="G1818" s="2" t="str">
        <f t="shared" si="85"/>
        <v/>
      </c>
      <c r="H1818" s="2" t="str">
        <f>IF(A1818="","",MIN(0,MAX(0,C1818+E1818-'Loan Inputs'!$B$17)))</f>
        <v/>
      </c>
    </row>
    <row r="1819" spans="1:8" ht="22" customHeight="1">
      <c r="A1819" s="1" t="str">
        <f>IF(AND('Loan Inputs'!$B$12,1813&lt;=IF('Loan Inputs'!$B$12,'Loan Inputs'!$B$7,0)*'Loan Inputs'!$B$14+0,ISNUMBER(G1818),G1818&gt;0),1813,"")</f>
        <v/>
      </c>
      <c r="B1819" s="4" t="str">
        <f>IF(A1819="","",IF('Loan Inputs'!$B$14=12,DATE(YEAR('Loan Inputs'!$B$8),MONTH('Loan Inputs'!$B$8)+A1819,DAY('Loan Inputs'!$B$8)),'Loan Inputs'!$B$8+A1819*IF('Loan Inputs'!$B$14=26,14,7)))</f>
        <v/>
      </c>
      <c r="C1819" s="2" t="str">
        <f t="shared" si="86"/>
        <v/>
      </c>
      <c r="D1819" s="2" t="str">
        <f>IF(A1819="","",MIN('Loan Inputs'!$B$17,C1819+E1819)+H1819)</f>
        <v/>
      </c>
      <c r="E1819" s="2" t="str">
        <f>IF(A1819="","",C1819*'Loan Inputs'!$B$15)</f>
        <v/>
      </c>
      <c r="F1819" s="2" t="str">
        <f t="shared" si="84"/>
        <v/>
      </c>
      <c r="G1819" s="2" t="str">
        <f t="shared" si="85"/>
        <v/>
      </c>
      <c r="H1819" s="2" t="str">
        <f>IF(A1819="","",MIN(0,MAX(0,C1819+E1819-'Loan Inputs'!$B$17)))</f>
        <v/>
      </c>
    </row>
    <row r="1820" spans="1:8" ht="22" customHeight="1">
      <c r="A1820" s="1" t="str">
        <f>IF(AND('Loan Inputs'!$B$12,1814&lt;=IF('Loan Inputs'!$B$12,'Loan Inputs'!$B$7,0)*'Loan Inputs'!$B$14+0,ISNUMBER(G1819),G1819&gt;0),1814,"")</f>
        <v/>
      </c>
      <c r="B1820" s="4" t="str">
        <f>IF(A1820="","",IF('Loan Inputs'!$B$14=12,DATE(YEAR('Loan Inputs'!$B$8),MONTH('Loan Inputs'!$B$8)+A1820,DAY('Loan Inputs'!$B$8)),'Loan Inputs'!$B$8+A1820*IF('Loan Inputs'!$B$14=26,14,7)))</f>
        <v/>
      </c>
      <c r="C1820" s="2" t="str">
        <f t="shared" si="86"/>
        <v/>
      </c>
      <c r="D1820" s="2" t="str">
        <f>IF(A1820="","",MIN('Loan Inputs'!$B$17,C1820+E1820)+H1820)</f>
        <v/>
      </c>
      <c r="E1820" s="2" t="str">
        <f>IF(A1820="","",C1820*'Loan Inputs'!$B$15)</f>
        <v/>
      </c>
      <c r="F1820" s="2" t="str">
        <f t="shared" si="84"/>
        <v/>
      </c>
      <c r="G1820" s="2" t="str">
        <f t="shared" si="85"/>
        <v/>
      </c>
      <c r="H1820" s="2" t="str">
        <f>IF(A1820="","",MIN(0,MAX(0,C1820+E1820-'Loan Inputs'!$B$17)))</f>
        <v/>
      </c>
    </row>
    <row r="1821" spans="1:8" ht="22" customHeight="1">
      <c r="A1821" s="1" t="str">
        <f>IF(AND('Loan Inputs'!$B$12,1815&lt;=IF('Loan Inputs'!$B$12,'Loan Inputs'!$B$7,0)*'Loan Inputs'!$B$14+0,ISNUMBER(G1820),G1820&gt;0),1815,"")</f>
        <v/>
      </c>
      <c r="B1821" s="4" t="str">
        <f>IF(A1821="","",IF('Loan Inputs'!$B$14=12,DATE(YEAR('Loan Inputs'!$B$8),MONTH('Loan Inputs'!$B$8)+A1821,DAY('Loan Inputs'!$B$8)),'Loan Inputs'!$B$8+A1821*IF('Loan Inputs'!$B$14=26,14,7)))</f>
        <v/>
      </c>
      <c r="C1821" s="2" t="str">
        <f t="shared" si="86"/>
        <v/>
      </c>
      <c r="D1821" s="2" t="str">
        <f>IF(A1821="","",MIN('Loan Inputs'!$B$17,C1821+E1821)+H1821)</f>
        <v/>
      </c>
      <c r="E1821" s="2" t="str">
        <f>IF(A1821="","",C1821*'Loan Inputs'!$B$15)</f>
        <v/>
      </c>
      <c r="F1821" s="2" t="str">
        <f t="shared" si="84"/>
        <v/>
      </c>
      <c r="G1821" s="2" t="str">
        <f t="shared" si="85"/>
        <v/>
      </c>
      <c r="H1821" s="2" t="str">
        <f>IF(A1821="","",MIN(0,MAX(0,C1821+E1821-'Loan Inputs'!$B$17)))</f>
        <v/>
      </c>
    </row>
    <row r="1822" spans="1:8" ht="22" customHeight="1">
      <c r="A1822" s="1" t="str">
        <f>IF(AND('Loan Inputs'!$B$12,1816&lt;=IF('Loan Inputs'!$B$12,'Loan Inputs'!$B$7,0)*'Loan Inputs'!$B$14+0,ISNUMBER(G1821),G1821&gt;0),1816,"")</f>
        <v/>
      </c>
      <c r="B1822" s="4" t="str">
        <f>IF(A1822="","",IF('Loan Inputs'!$B$14=12,DATE(YEAR('Loan Inputs'!$B$8),MONTH('Loan Inputs'!$B$8)+A1822,DAY('Loan Inputs'!$B$8)),'Loan Inputs'!$B$8+A1822*IF('Loan Inputs'!$B$14=26,14,7)))</f>
        <v/>
      </c>
      <c r="C1822" s="2" t="str">
        <f t="shared" si="86"/>
        <v/>
      </c>
      <c r="D1822" s="2" t="str">
        <f>IF(A1822="","",MIN('Loan Inputs'!$B$17,C1822+E1822)+H1822)</f>
        <v/>
      </c>
      <c r="E1822" s="2" t="str">
        <f>IF(A1822="","",C1822*'Loan Inputs'!$B$15)</f>
        <v/>
      </c>
      <c r="F1822" s="2" t="str">
        <f t="shared" si="84"/>
        <v/>
      </c>
      <c r="G1822" s="2" t="str">
        <f t="shared" si="85"/>
        <v/>
      </c>
      <c r="H1822" s="2" t="str">
        <f>IF(A1822="","",MIN(0,MAX(0,C1822+E1822-'Loan Inputs'!$B$17)))</f>
        <v/>
      </c>
    </row>
    <row r="1823" spans="1:8" ht="22" customHeight="1">
      <c r="A1823" s="1" t="str">
        <f>IF(AND('Loan Inputs'!$B$12,1817&lt;=IF('Loan Inputs'!$B$12,'Loan Inputs'!$B$7,0)*'Loan Inputs'!$B$14+0,ISNUMBER(G1822),G1822&gt;0),1817,"")</f>
        <v/>
      </c>
      <c r="B1823" s="4" t="str">
        <f>IF(A1823="","",IF('Loan Inputs'!$B$14=12,DATE(YEAR('Loan Inputs'!$B$8),MONTH('Loan Inputs'!$B$8)+A1823,DAY('Loan Inputs'!$B$8)),'Loan Inputs'!$B$8+A1823*IF('Loan Inputs'!$B$14=26,14,7)))</f>
        <v/>
      </c>
      <c r="C1823" s="2" t="str">
        <f t="shared" si="86"/>
        <v/>
      </c>
      <c r="D1823" s="2" t="str">
        <f>IF(A1823="","",MIN('Loan Inputs'!$B$17,C1823+E1823)+H1823)</f>
        <v/>
      </c>
      <c r="E1823" s="2" t="str">
        <f>IF(A1823="","",C1823*'Loan Inputs'!$B$15)</f>
        <v/>
      </c>
      <c r="F1823" s="2" t="str">
        <f t="shared" si="84"/>
        <v/>
      </c>
      <c r="G1823" s="2" t="str">
        <f t="shared" si="85"/>
        <v/>
      </c>
      <c r="H1823" s="2" t="str">
        <f>IF(A1823="","",MIN(0,MAX(0,C1823+E1823-'Loan Inputs'!$B$17)))</f>
        <v/>
      </c>
    </row>
    <row r="1824" spans="1:8" ht="22" customHeight="1">
      <c r="A1824" s="1" t="str">
        <f>IF(AND('Loan Inputs'!$B$12,1818&lt;=IF('Loan Inputs'!$B$12,'Loan Inputs'!$B$7,0)*'Loan Inputs'!$B$14+0,ISNUMBER(G1823),G1823&gt;0),1818,"")</f>
        <v/>
      </c>
      <c r="B1824" s="4" t="str">
        <f>IF(A1824="","",IF('Loan Inputs'!$B$14=12,DATE(YEAR('Loan Inputs'!$B$8),MONTH('Loan Inputs'!$B$8)+A1824,DAY('Loan Inputs'!$B$8)),'Loan Inputs'!$B$8+A1824*IF('Loan Inputs'!$B$14=26,14,7)))</f>
        <v/>
      </c>
      <c r="C1824" s="2" t="str">
        <f t="shared" si="86"/>
        <v/>
      </c>
      <c r="D1824" s="2" t="str">
        <f>IF(A1824="","",MIN('Loan Inputs'!$B$17,C1824+E1824)+H1824)</f>
        <v/>
      </c>
      <c r="E1824" s="2" t="str">
        <f>IF(A1824="","",C1824*'Loan Inputs'!$B$15)</f>
        <v/>
      </c>
      <c r="F1824" s="2" t="str">
        <f t="shared" si="84"/>
        <v/>
      </c>
      <c r="G1824" s="2" t="str">
        <f t="shared" si="85"/>
        <v/>
      </c>
      <c r="H1824" s="2" t="str">
        <f>IF(A1824="","",MIN(0,MAX(0,C1824+E1824-'Loan Inputs'!$B$17)))</f>
        <v/>
      </c>
    </row>
    <row r="1825" spans="1:8" ht="22" customHeight="1">
      <c r="A1825" s="1" t="str">
        <f>IF(AND('Loan Inputs'!$B$12,1819&lt;=IF('Loan Inputs'!$B$12,'Loan Inputs'!$B$7,0)*'Loan Inputs'!$B$14+0,ISNUMBER(G1824),G1824&gt;0),1819,"")</f>
        <v/>
      </c>
      <c r="B1825" s="4" t="str">
        <f>IF(A1825="","",IF('Loan Inputs'!$B$14=12,DATE(YEAR('Loan Inputs'!$B$8),MONTH('Loan Inputs'!$B$8)+A1825,DAY('Loan Inputs'!$B$8)),'Loan Inputs'!$B$8+A1825*IF('Loan Inputs'!$B$14=26,14,7)))</f>
        <v/>
      </c>
      <c r="C1825" s="2" t="str">
        <f t="shared" si="86"/>
        <v/>
      </c>
      <c r="D1825" s="2" t="str">
        <f>IF(A1825="","",MIN('Loan Inputs'!$B$17,C1825+E1825)+H1825)</f>
        <v/>
      </c>
      <c r="E1825" s="2" t="str">
        <f>IF(A1825="","",C1825*'Loan Inputs'!$B$15)</f>
        <v/>
      </c>
      <c r="F1825" s="2" t="str">
        <f t="shared" si="84"/>
        <v/>
      </c>
      <c r="G1825" s="2" t="str">
        <f t="shared" si="85"/>
        <v/>
      </c>
      <c r="H1825" s="2" t="str">
        <f>IF(A1825="","",MIN(0,MAX(0,C1825+E1825-'Loan Inputs'!$B$17)))</f>
        <v/>
      </c>
    </row>
    <row r="1826" spans="1:8" ht="22" customHeight="1">
      <c r="A1826" s="1" t="str">
        <f>IF(AND('Loan Inputs'!$B$12,1820&lt;=IF('Loan Inputs'!$B$12,'Loan Inputs'!$B$7,0)*'Loan Inputs'!$B$14+0,ISNUMBER(G1825),G1825&gt;0),1820,"")</f>
        <v/>
      </c>
      <c r="B1826" s="4" t="str">
        <f>IF(A1826="","",IF('Loan Inputs'!$B$14=12,DATE(YEAR('Loan Inputs'!$B$8),MONTH('Loan Inputs'!$B$8)+A1826,DAY('Loan Inputs'!$B$8)),'Loan Inputs'!$B$8+A1826*IF('Loan Inputs'!$B$14=26,14,7)))</f>
        <v/>
      </c>
      <c r="C1826" s="2" t="str">
        <f t="shared" si="86"/>
        <v/>
      </c>
      <c r="D1826" s="2" t="str">
        <f>IF(A1826="","",MIN('Loan Inputs'!$B$17,C1826+E1826)+H1826)</f>
        <v/>
      </c>
      <c r="E1826" s="2" t="str">
        <f>IF(A1826="","",C1826*'Loan Inputs'!$B$15)</f>
        <v/>
      </c>
      <c r="F1826" s="2" t="str">
        <f t="shared" si="84"/>
        <v/>
      </c>
      <c r="G1826" s="2" t="str">
        <f t="shared" si="85"/>
        <v/>
      </c>
      <c r="H1826" s="2" t="str">
        <f>IF(A1826="","",MIN(0,MAX(0,C1826+E1826-'Loan Inputs'!$B$17)))</f>
        <v/>
      </c>
    </row>
    <row r="1827" spans="1:8" ht="22" customHeight="1">
      <c r="A1827" s="1" t="str">
        <f>IF(AND('Loan Inputs'!$B$12,1821&lt;=IF('Loan Inputs'!$B$12,'Loan Inputs'!$B$7,0)*'Loan Inputs'!$B$14+0,ISNUMBER(G1826),G1826&gt;0),1821,"")</f>
        <v/>
      </c>
      <c r="B1827" s="4" t="str">
        <f>IF(A1827="","",IF('Loan Inputs'!$B$14=12,DATE(YEAR('Loan Inputs'!$B$8),MONTH('Loan Inputs'!$B$8)+A1827,DAY('Loan Inputs'!$B$8)),'Loan Inputs'!$B$8+A1827*IF('Loan Inputs'!$B$14=26,14,7)))</f>
        <v/>
      </c>
      <c r="C1827" s="2" t="str">
        <f t="shared" si="86"/>
        <v/>
      </c>
      <c r="D1827" s="2" t="str">
        <f>IF(A1827="","",MIN('Loan Inputs'!$B$17,C1827+E1827)+H1827)</f>
        <v/>
      </c>
      <c r="E1827" s="2" t="str">
        <f>IF(A1827="","",C1827*'Loan Inputs'!$B$15)</f>
        <v/>
      </c>
      <c r="F1827" s="2" t="str">
        <f t="shared" si="84"/>
        <v/>
      </c>
      <c r="G1827" s="2" t="str">
        <f t="shared" si="85"/>
        <v/>
      </c>
      <c r="H1827" s="2" t="str">
        <f>IF(A1827="","",MIN(0,MAX(0,C1827+E1827-'Loan Inputs'!$B$17)))</f>
        <v/>
      </c>
    </row>
    <row r="1828" spans="1:8" ht="22" customHeight="1">
      <c r="A1828" s="1" t="str">
        <f>IF(AND('Loan Inputs'!$B$12,1822&lt;=IF('Loan Inputs'!$B$12,'Loan Inputs'!$B$7,0)*'Loan Inputs'!$B$14+0,ISNUMBER(G1827),G1827&gt;0),1822,"")</f>
        <v/>
      </c>
      <c r="B1828" s="4" t="str">
        <f>IF(A1828="","",IF('Loan Inputs'!$B$14=12,DATE(YEAR('Loan Inputs'!$B$8),MONTH('Loan Inputs'!$B$8)+A1828,DAY('Loan Inputs'!$B$8)),'Loan Inputs'!$B$8+A1828*IF('Loan Inputs'!$B$14=26,14,7)))</f>
        <v/>
      </c>
      <c r="C1828" s="2" t="str">
        <f t="shared" si="86"/>
        <v/>
      </c>
      <c r="D1828" s="2" t="str">
        <f>IF(A1828="","",MIN('Loan Inputs'!$B$17,C1828+E1828)+H1828)</f>
        <v/>
      </c>
      <c r="E1828" s="2" t="str">
        <f>IF(A1828="","",C1828*'Loan Inputs'!$B$15)</f>
        <v/>
      </c>
      <c r="F1828" s="2" t="str">
        <f t="shared" si="84"/>
        <v/>
      </c>
      <c r="G1828" s="2" t="str">
        <f t="shared" si="85"/>
        <v/>
      </c>
      <c r="H1828" s="2" t="str">
        <f>IF(A1828="","",MIN(0,MAX(0,C1828+E1828-'Loan Inputs'!$B$17)))</f>
        <v/>
      </c>
    </row>
    <row r="1829" spans="1:8" ht="22" customHeight="1">
      <c r="A1829" s="1" t="str">
        <f>IF(AND('Loan Inputs'!$B$12,1823&lt;=IF('Loan Inputs'!$B$12,'Loan Inputs'!$B$7,0)*'Loan Inputs'!$B$14+0,ISNUMBER(G1828),G1828&gt;0),1823,"")</f>
        <v/>
      </c>
      <c r="B1829" s="4" t="str">
        <f>IF(A1829="","",IF('Loan Inputs'!$B$14=12,DATE(YEAR('Loan Inputs'!$B$8),MONTH('Loan Inputs'!$B$8)+A1829,DAY('Loan Inputs'!$B$8)),'Loan Inputs'!$B$8+A1829*IF('Loan Inputs'!$B$14=26,14,7)))</f>
        <v/>
      </c>
      <c r="C1829" s="2" t="str">
        <f t="shared" si="86"/>
        <v/>
      </c>
      <c r="D1829" s="2" t="str">
        <f>IF(A1829="","",MIN('Loan Inputs'!$B$17,C1829+E1829)+H1829)</f>
        <v/>
      </c>
      <c r="E1829" s="2" t="str">
        <f>IF(A1829="","",C1829*'Loan Inputs'!$B$15)</f>
        <v/>
      </c>
      <c r="F1829" s="2" t="str">
        <f t="shared" si="84"/>
        <v/>
      </c>
      <c r="G1829" s="2" t="str">
        <f t="shared" si="85"/>
        <v/>
      </c>
      <c r="H1829" s="2" t="str">
        <f>IF(A1829="","",MIN(0,MAX(0,C1829+E1829-'Loan Inputs'!$B$17)))</f>
        <v/>
      </c>
    </row>
    <row r="1830" spans="1:8" ht="22" customHeight="1">
      <c r="A1830" s="1" t="str">
        <f>IF(AND('Loan Inputs'!$B$12,1824&lt;=IF('Loan Inputs'!$B$12,'Loan Inputs'!$B$7,0)*'Loan Inputs'!$B$14+0,ISNUMBER(G1829),G1829&gt;0),1824,"")</f>
        <v/>
      </c>
      <c r="B1830" s="4" t="str">
        <f>IF(A1830="","",IF('Loan Inputs'!$B$14=12,DATE(YEAR('Loan Inputs'!$B$8),MONTH('Loan Inputs'!$B$8)+A1830,DAY('Loan Inputs'!$B$8)),'Loan Inputs'!$B$8+A1830*IF('Loan Inputs'!$B$14=26,14,7)))</f>
        <v/>
      </c>
      <c r="C1830" s="2" t="str">
        <f t="shared" si="86"/>
        <v/>
      </c>
      <c r="D1830" s="2" t="str">
        <f>IF(A1830="","",MIN('Loan Inputs'!$B$17,C1830+E1830)+H1830)</f>
        <v/>
      </c>
      <c r="E1830" s="2" t="str">
        <f>IF(A1830="","",C1830*'Loan Inputs'!$B$15)</f>
        <v/>
      </c>
      <c r="F1830" s="2" t="str">
        <f t="shared" si="84"/>
        <v/>
      </c>
      <c r="G1830" s="2" t="str">
        <f t="shared" si="85"/>
        <v/>
      </c>
      <c r="H1830" s="2" t="str">
        <f>IF(A1830="","",MIN(0,MAX(0,C1830+E1830-'Loan Inputs'!$B$17)))</f>
        <v/>
      </c>
    </row>
    <row r="1831" spans="1:8" ht="22" customHeight="1">
      <c r="A1831" s="1" t="str">
        <f>IF(AND('Loan Inputs'!$B$12,1825&lt;=IF('Loan Inputs'!$B$12,'Loan Inputs'!$B$7,0)*'Loan Inputs'!$B$14+0,ISNUMBER(G1830),G1830&gt;0),1825,"")</f>
        <v/>
      </c>
      <c r="B1831" s="4" t="str">
        <f>IF(A1831="","",IF('Loan Inputs'!$B$14=12,DATE(YEAR('Loan Inputs'!$B$8),MONTH('Loan Inputs'!$B$8)+A1831,DAY('Loan Inputs'!$B$8)),'Loan Inputs'!$B$8+A1831*IF('Loan Inputs'!$B$14=26,14,7)))</f>
        <v/>
      </c>
      <c r="C1831" s="2" t="str">
        <f t="shared" si="86"/>
        <v/>
      </c>
      <c r="D1831" s="2" t="str">
        <f>IF(A1831="","",MIN('Loan Inputs'!$B$17,C1831+E1831)+H1831)</f>
        <v/>
      </c>
      <c r="E1831" s="2" t="str">
        <f>IF(A1831="","",C1831*'Loan Inputs'!$B$15)</f>
        <v/>
      </c>
      <c r="F1831" s="2" t="str">
        <f t="shared" si="84"/>
        <v/>
      </c>
      <c r="G1831" s="2" t="str">
        <f t="shared" si="85"/>
        <v/>
      </c>
      <c r="H1831" s="2" t="str">
        <f>IF(A1831="","",MIN(0,MAX(0,C1831+E1831-'Loan Inputs'!$B$17)))</f>
        <v/>
      </c>
    </row>
    <row r="1832" spans="1:8" ht="22" customHeight="1">
      <c r="A1832" s="1" t="str">
        <f>IF(AND('Loan Inputs'!$B$12,1826&lt;=IF('Loan Inputs'!$B$12,'Loan Inputs'!$B$7,0)*'Loan Inputs'!$B$14+0,ISNUMBER(G1831),G1831&gt;0),1826,"")</f>
        <v/>
      </c>
      <c r="B1832" s="4" t="str">
        <f>IF(A1832="","",IF('Loan Inputs'!$B$14=12,DATE(YEAR('Loan Inputs'!$B$8),MONTH('Loan Inputs'!$B$8)+A1832,DAY('Loan Inputs'!$B$8)),'Loan Inputs'!$B$8+A1832*IF('Loan Inputs'!$B$14=26,14,7)))</f>
        <v/>
      </c>
      <c r="C1832" s="2" t="str">
        <f t="shared" si="86"/>
        <v/>
      </c>
      <c r="D1832" s="2" t="str">
        <f>IF(A1832="","",MIN('Loan Inputs'!$B$17,C1832+E1832)+H1832)</f>
        <v/>
      </c>
      <c r="E1832" s="2" t="str">
        <f>IF(A1832="","",C1832*'Loan Inputs'!$B$15)</f>
        <v/>
      </c>
      <c r="F1832" s="2" t="str">
        <f t="shared" si="84"/>
        <v/>
      </c>
      <c r="G1832" s="2" t="str">
        <f t="shared" si="85"/>
        <v/>
      </c>
      <c r="H1832" s="2" t="str">
        <f>IF(A1832="","",MIN(0,MAX(0,C1832+E1832-'Loan Inputs'!$B$17)))</f>
        <v/>
      </c>
    </row>
    <row r="1833" spans="1:8" ht="22" customHeight="1">
      <c r="A1833" s="1" t="str">
        <f>IF(AND('Loan Inputs'!$B$12,1827&lt;=IF('Loan Inputs'!$B$12,'Loan Inputs'!$B$7,0)*'Loan Inputs'!$B$14+0,ISNUMBER(G1832),G1832&gt;0),1827,"")</f>
        <v/>
      </c>
      <c r="B1833" s="4" t="str">
        <f>IF(A1833="","",IF('Loan Inputs'!$B$14=12,DATE(YEAR('Loan Inputs'!$B$8),MONTH('Loan Inputs'!$B$8)+A1833,DAY('Loan Inputs'!$B$8)),'Loan Inputs'!$B$8+A1833*IF('Loan Inputs'!$B$14=26,14,7)))</f>
        <v/>
      </c>
      <c r="C1833" s="2" t="str">
        <f t="shared" si="86"/>
        <v/>
      </c>
      <c r="D1833" s="2" t="str">
        <f>IF(A1833="","",MIN('Loan Inputs'!$B$17,C1833+E1833)+H1833)</f>
        <v/>
      </c>
      <c r="E1833" s="2" t="str">
        <f>IF(A1833="","",C1833*'Loan Inputs'!$B$15)</f>
        <v/>
      </c>
      <c r="F1833" s="2" t="str">
        <f t="shared" si="84"/>
        <v/>
      </c>
      <c r="G1833" s="2" t="str">
        <f t="shared" si="85"/>
        <v/>
      </c>
      <c r="H1833" s="2" t="str">
        <f>IF(A1833="","",MIN(0,MAX(0,C1833+E1833-'Loan Inputs'!$B$17)))</f>
        <v/>
      </c>
    </row>
    <row r="1834" spans="1:8" ht="22" customHeight="1">
      <c r="A1834" s="1" t="str">
        <f>IF(AND('Loan Inputs'!$B$12,1828&lt;=IF('Loan Inputs'!$B$12,'Loan Inputs'!$B$7,0)*'Loan Inputs'!$B$14+0,ISNUMBER(G1833),G1833&gt;0),1828,"")</f>
        <v/>
      </c>
      <c r="B1834" s="4" t="str">
        <f>IF(A1834="","",IF('Loan Inputs'!$B$14=12,DATE(YEAR('Loan Inputs'!$B$8),MONTH('Loan Inputs'!$B$8)+A1834,DAY('Loan Inputs'!$B$8)),'Loan Inputs'!$B$8+A1834*IF('Loan Inputs'!$B$14=26,14,7)))</f>
        <v/>
      </c>
      <c r="C1834" s="2" t="str">
        <f t="shared" si="86"/>
        <v/>
      </c>
      <c r="D1834" s="2" t="str">
        <f>IF(A1834="","",MIN('Loan Inputs'!$B$17,C1834+E1834)+H1834)</f>
        <v/>
      </c>
      <c r="E1834" s="2" t="str">
        <f>IF(A1834="","",C1834*'Loan Inputs'!$B$15)</f>
        <v/>
      </c>
      <c r="F1834" s="2" t="str">
        <f t="shared" si="84"/>
        <v/>
      </c>
      <c r="G1834" s="2" t="str">
        <f t="shared" si="85"/>
        <v/>
      </c>
      <c r="H1834" s="2" t="str">
        <f>IF(A1834="","",MIN(0,MAX(0,C1834+E1834-'Loan Inputs'!$B$17)))</f>
        <v/>
      </c>
    </row>
    <row r="1835" spans="1:8" ht="22" customHeight="1">
      <c r="A1835" s="1" t="str">
        <f>IF(AND('Loan Inputs'!$B$12,1829&lt;=IF('Loan Inputs'!$B$12,'Loan Inputs'!$B$7,0)*'Loan Inputs'!$B$14+0,ISNUMBER(G1834),G1834&gt;0),1829,"")</f>
        <v/>
      </c>
      <c r="B1835" s="4" t="str">
        <f>IF(A1835="","",IF('Loan Inputs'!$B$14=12,DATE(YEAR('Loan Inputs'!$B$8),MONTH('Loan Inputs'!$B$8)+A1835,DAY('Loan Inputs'!$B$8)),'Loan Inputs'!$B$8+A1835*IF('Loan Inputs'!$B$14=26,14,7)))</f>
        <v/>
      </c>
      <c r="C1835" s="2" t="str">
        <f t="shared" si="86"/>
        <v/>
      </c>
      <c r="D1835" s="2" t="str">
        <f>IF(A1835="","",MIN('Loan Inputs'!$B$17,C1835+E1835)+H1835)</f>
        <v/>
      </c>
      <c r="E1835" s="2" t="str">
        <f>IF(A1835="","",C1835*'Loan Inputs'!$B$15)</f>
        <v/>
      </c>
      <c r="F1835" s="2" t="str">
        <f t="shared" si="84"/>
        <v/>
      </c>
      <c r="G1835" s="2" t="str">
        <f t="shared" si="85"/>
        <v/>
      </c>
      <c r="H1835" s="2" t="str">
        <f>IF(A1835="","",MIN(0,MAX(0,C1835+E1835-'Loan Inputs'!$B$17)))</f>
        <v/>
      </c>
    </row>
    <row r="1836" spans="1:8" ht="22" customHeight="1">
      <c r="A1836" s="1" t="str">
        <f>IF(AND('Loan Inputs'!$B$12,1830&lt;=IF('Loan Inputs'!$B$12,'Loan Inputs'!$B$7,0)*'Loan Inputs'!$B$14+0,ISNUMBER(G1835),G1835&gt;0),1830,"")</f>
        <v/>
      </c>
      <c r="B1836" s="4" t="str">
        <f>IF(A1836="","",IF('Loan Inputs'!$B$14=12,DATE(YEAR('Loan Inputs'!$B$8),MONTH('Loan Inputs'!$B$8)+A1836,DAY('Loan Inputs'!$B$8)),'Loan Inputs'!$B$8+A1836*IF('Loan Inputs'!$B$14=26,14,7)))</f>
        <v/>
      </c>
      <c r="C1836" s="2" t="str">
        <f t="shared" si="86"/>
        <v/>
      </c>
      <c r="D1836" s="2" t="str">
        <f>IF(A1836="","",MIN('Loan Inputs'!$B$17,C1836+E1836)+H1836)</f>
        <v/>
      </c>
      <c r="E1836" s="2" t="str">
        <f>IF(A1836="","",C1836*'Loan Inputs'!$B$15)</f>
        <v/>
      </c>
      <c r="F1836" s="2" t="str">
        <f t="shared" si="84"/>
        <v/>
      </c>
      <c r="G1836" s="2" t="str">
        <f t="shared" si="85"/>
        <v/>
      </c>
      <c r="H1836" s="2" t="str">
        <f>IF(A1836="","",MIN(0,MAX(0,C1836+E1836-'Loan Inputs'!$B$17)))</f>
        <v/>
      </c>
    </row>
    <row r="1837" spans="1:8" ht="22" customHeight="1">
      <c r="A1837" s="1" t="str">
        <f>IF(AND('Loan Inputs'!$B$12,1831&lt;=IF('Loan Inputs'!$B$12,'Loan Inputs'!$B$7,0)*'Loan Inputs'!$B$14+0,ISNUMBER(G1836),G1836&gt;0),1831,"")</f>
        <v/>
      </c>
      <c r="B1837" s="4" t="str">
        <f>IF(A1837="","",IF('Loan Inputs'!$B$14=12,DATE(YEAR('Loan Inputs'!$B$8),MONTH('Loan Inputs'!$B$8)+A1837,DAY('Loan Inputs'!$B$8)),'Loan Inputs'!$B$8+A1837*IF('Loan Inputs'!$B$14=26,14,7)))</f>
        <v/>
      </c>
      <c r="C1837" s="2" t="str">
        <f t="shared" si="86"/>
        <v/>
      </c>
      <c r="D1837" s="2" t="str">
        <f>IF(A1837="","",MIN('Loan Inputs'!$B$17,C1837+E1837)+H1837)</f>
        <v/>
      </c>
      <c r="E1837" s="2" t="str">
        <f>IF(A1837="","",C1837*'Loan Inputs'!$B$15)</f>
        <v/>
      </c>
      <c r="F1837" s="2" t="str">
        <f t="shared" si="84"/>
        <v/>
      </c>
      <c r="G1837" s="2" t="str">
        <f t="shared" si="85"/>
        <v/>
      </c>
      <c r="H1837" s="2" t="str">
        <f>IF(A1837="","",MIN(0,MAX(0,C1837+E1837-'Loan Inputs'!$B$17)))</f>
        <v/>
      </c>
    </row>
    <row r="1838" spans="1:8" ht="22" customHeight="1">
      <c r="A1838" s="1" t="str">
        <f>IF(AND('Loan Inputs'!$B$12,1832&lt;=IF('Loan Inputs'!$B$12,'Loan Inputs'!$B$7,0)*'Loan Inputs'!$B$14+0,ISNUMBER(G1837),G1837&gt;0),1832,"")</f>
        <v/>
      </c>
      <c r="B1838" s="4" t="str">
        <f>IF(A1838="","",IF('Loan Inputs'!$B$14=12,DATE(YEAR('Loan Inputs'!$B$8),MONTH('Loan Inputs'!$B$8)+A1838,DAY('Loan Inputs'!$B$8)),'Loan Inputs'!$B$8+A1838*IF('Loan Inputs'!$B$14=26,14,7)))</f>
        <v/>
      </c>
      <c r="C1838" s="2" t="str">
        <f t="shared" si="86"/>
        <v/>
      </c>
      <c r="D1838" s="2" t="str">
        <f>IF(A1838="","",MIN('Loan Inputs'!$B$17,C1838+E1838)+H1838)</f>
        <v/>
      </c>
      <c r="E1838" s="2" t="str">
        <f>IF(A1838="","",C1838*'Loan Inputs'!$B$15)</f>
        <v/>
      </c>
      <c r="F1838" s="2" t="str">
        <f t="shared" si="84"/>
        <v/>
      </c>
      <c r="G1838" s="2" t="str">
        <f t="shared" si="85"/>
        <v/>
      </c>
      <c r="H1838" s="2" t="str">
        <f>IF(A1838="","",MIN(0,MAX(0,C1838+E1838-'Loan Inputs'!$B$17)))</f>
        <v/>
      </c>
    </row>
    <row r="1839" spans="1:8" ht="22" customHeight="1">
      <c r="A1839" s="1" t="str">
        <f>IF(AND('Loan Inputs'!$B$12,1833&lt;=IF('Loan Inputs'!$B$12,'Loan Inputs'!$B$7,0)*'Loan Inputs'!$B$14+0,ISNUMBER(G1838),G1838&gt;0),1833,"")</f>
        <v/>
      </c>
      <c r="B1839" s="4" t="str">
        <f>IF(A1839="","",IF('Loan Inputs'!$B$14=12,DATE(YEAR('Loan Inputs'!$B$8),MONTH('Loan Inputs'!$B$8)+A1839,DAY('Loan Inputs'!$B$8)),'Loan Inputs'!$B$8+A1839*IF('Loan Inputs'!$B$14=26,14,7)))</f>
        <v/>
      </c>
      <c r="C1839" s="2" t="str">
        <f t="shared" si="86"/>
        <v/>
      </c>
      <c r="D1839" s="2" t="str">
        <f>IF(A1839="","",MIN('Loan Inputs'!$B$17,C1839+E1839)+H1839)</f>
        <v/>
      </c>
      <c r="E1839" s="2" t="str">
        <f>IF(A1839="","",C1839*'Loan Inputs'!$B$15)</f>
        <v/>
      </c>
      <c r="F1839" s="2" t="str">
        <f t="shared" si="84"/>
        <v/>
      </c>
      <c r="G1839" s="2" t="str">
        <f t="shared" si="85"/>
        <v/>
      </c>
      <c r="H1839" s="2" t="str">
        <f>IF(A1839="","",MIN(0,MAX(0,C1839+E1839-'Loan Inputs'!$B$17)))</f>
        <v/>
      </c>
    </row>
    <row r="1840" spans="1:8" ht="22" customHeight="1">
      <c r="A1840" s="1" t="str">
        <f>IF(AND('Loan Inputs'!$B$12,1834&lt;=IF('Loan Inputs'!$B$12,'Loan Inputs'!$B$7,0)*'Loan Inputs'!$B$14+0,ISNUMBER(G1839),G1839&gt;0),1834,"")</f>
        <v/>
      </c>
      <c r="B1840" s="4" t="str">
        <f>IF(A1840="","",IF('Loan Inputs'!$B$14=12,DATE(YEAR('Loan Inputs'!$B$8),MONTH('Loan Inputs'!$B$8)+A1840,DAY('Loan Inputs'!$B$8)),'Loan Inputs'!$B$8+A1840*IF('Loan Inputs'!$B$14=26,14,7)))</f>
        <v/>
      </c>
      <c r="C1840" s="2" t="str">
        <f t="shared" si="86"/>
        <v/>
      </c>
      <c r="D1840" s="2" t="str">
        <f>IF(A1840="","",MIN('Loan Inputs'!$B$17,C1840+E1840)+H1840)</f>
        <v/>
      </c>
      <c r="E1840" s="2" t="str">
        <f>IF(A1840="","",C1840*'Loan Inputs'!$B$15)</f>
        <v/>
      </c>
      <c r="F1840" s="2" t="str">
        <f t="shared" si="84"/>
        <v/>
      </c>
      <c r="G1840" s="2" t="str">
        <f t="shared" si="85"/>
        <v/>
      </c>
      <c r="H1840" s="2" t="str">
        <f>IF(A1840="","",MIN(0,MAX(0,C1840+E1840-'Loan Inputs'!$B$17)))</f>
        <v/>
      </c>
    </row>
    <row r="1841" spans="1:8" ht="22" customHeight="1">
      <c r="A1841" s="1" t="str">
        <f>IF(AND('Loan Inputs'!$B$12,1835&lt;=IF('Loan Inputs'!$B$12,'Loan Inputs'!$B$7,0)*'Loan Inputs'!$B$14+0,ISNUMBER(G1840),G1840&gt;0),1835,"")</f>
        <v/>
      </c>
      <c r="B1841" s="4" t="str">
        <f>IF(A1841="","",IF('Loan Inputs'!$B$14=12,DATE(YEAR('Loan Inputs'!$B$8),MONTH('Loan Inputs'!$B$8)+A1841,DAY('Loan Inputs'!$B$8)),'Loan Inputs'!$B$8+A1841*IF('Loan Inputs'!$B$14=26,14,7)))</f>
        <v/>
      </c>
      <c r="C1841" s="2" t="str">
        <f t="shared" si="86"/>
        <v/>
      </c>
      <c r="D1841" s="2" t="str">
        <f>IF(A1841="","",MIN('Loan Inputs'!$B$17,C1841+E1841)+H1841)</f>
        <v/>
      </c>
      <c r="E1841" s="2" t="str">
        <f>IF(A1841="","",C1841*'Loan Inputs'!$B$15)</f>
        <v/>
      </c>
      <c r="F1841" s="2" t="str">
        <f t="shared" si="84"/>
        <v/>
      </c>
      <c r="G1841" s="2" t="str">
        <f t="shared" si="85"/>
        <v/>
      </c>
      <c r="H1841" s="2" t="str">
        <f>IF(A1841="","",MIN(0,MAX(0,C1841+E1841-'Loan Inputs'!$B$17)))</f>
        <v/>
      </c>
    </row>
    <row r="1842" spans="1:8" ht="22" customHeight="1">
      <c r="A1842" s="1" t="str">
        <f>IF(AND('Loan Inputs'!$B$12,1836&lt;=IF('Loan Inputs'!$B$12,'Loan Inputs'!$B$7,0)*'Loan Inputs'!$B$14+0,ISNUMBER(G1841),G1841&gt;0),1836,"")</f>
        <v/>
      </c>
      <c r="B1842" s="4" t="str">
        <f>IF(A1842="","",IF('Loan Inputs'!$B$14=12,DATE(YEAR('Loan Inputs'!$B$8),MONTH('Loan Inputs'!$B$8)+A1842,DAY('Loan Inputs'!$B$8)),'Loan Inputs'!$B$8+A1842*IF('Loan Inputs'!$B$14=26,14,7)))</f>
        <v/>
      </c>
      <c r="C1842" s="2" t="str">
        <f t="shared" si="86"/>
        <v/>
      </c>
      <c r="D1842" s="2" t="str">
        <f>IF(A1842="","",MIN('Loan Inputs'!$B$17,C1842+E1842)+H1842)</f>
        <v/>
      </c>
      <c r="E1842" s="2" t="str">
        <f>IF(A1842="","",C1842*'Loan Inputs'!$B$15)</f>
        <v/>
      </c>
      <c r="F1842" s="2" t="str">
        <f t="shared" si="84"/>
        <v/>
      </c>
      <c r="G1842" s="2" t="str">
        <f t="shared" si="85"/>
        <v/>
      </c>
      <c r="H1842" s="2" t="str">
        <f>IF(A1842="","",MIN(0,MAX(0,C1842+E1842-'Loan Inputs'!$B$17)))</f>
        <v/>
      </c>
    </row>
    <row r="1843" spans="1:8" ht="22" customHeight="1">
      <c r="A1843" s="1" t="str">
        <f>IF(AND('Loan Inputs'!$B$12,1837&lt;=IF('Loan Inputs'!$B$12,'Loan Inputs'!$B$7,0)*'Loan Inputs'!$B$14+0,ISNUMBER(G1842),G1842&gt;0),1837,"")</f>
        <v/>
      </c>
      <c r="B1843" s="4" t="str">
        <f>IF(A1843="","",IF('Loan Inputs'!$B$14=12,DATE(YEAR('Loan Inputs'!$B$8),MONTH('Loan Inputs'!$B$8)+A1843,DAY('Loan Inputs'!$B$8)),'Loan Inputs'!$B$8+A1843*IF('Loan Inputs'!$B$14=26,14,7)))</f>
        <v/>
      </c>
      <c r="C1843" s="2" t="str">
        <f t="shared" si="86"/>
        <v/>
      </c>
      <c r="D1843" s="2" t="str">
        <f>IF(A1843="","",MIN('Loan Inputs'!$B$17,C1843+E1843)+H1843)</f>
        <v/>
      </c>
      <c r="E1843" s="2" t="str">
        <f>IF(A1843="","",C1843*'Loan Inputs'!$B$15)</f>
        <v/>
      </c>
      <c r="F1843" s="2" t="str">
        <f t="shared" si="84"/>
        <v/>
      </c>
      <c r="G1843" s="2" t="str">
        <f t="shared" si="85"/>
        <v/>
      </c>
      <c r="H1843" s="2" t="str">
        <f>IF(A1843="","",MIN(0,MAX(0,C1843+E1843-'Loan Inputs'!$B$17)))</f>
        <v/>
      </c>
    </row>
    <row r="1844" spans="1:8" ht="22" customHeight="1">
      <c r="A1844" s="1" t="str">
        <f>IF(AND('Loan Inputs'!$B$12,1838&lt;=IF('Loan Inputs'!$B$12,'Loan Inputs'!$B$7,0)*'Loan Inputs'!$B$14+0,ISNUMBER(G1843),G1843&gt;0),1838,"")</f>
        <v/>
      </c>
      <c r="B1844" s="4" t="str">
        <f>IF(A1844="","",IF('Loan Inputs'!$B$14=12,DATE(YEAR('Loan Inputs'!$B$8),MONTH('Loan Inputs'!$B$8)+A1844,DAY('Loan Inputs'!$B$8)),'Loan Inputs'!$B$8+A1844*IF('Loan Inputs'!$B$14=26,14,7)))</f>
        <v/>
      </c>
      <c r="C1844" s="2" t="str">
        <f t="shared" si="86"/>
        <v/>
      </c>
      <c r="D1844" s="2" t="str">
        <f>IF(A1844="","",MIN('Loan Inputs'!$B$17,C1844+E1844)+H1844)</f>
        <v/>
      </c>
      <c r="E1844" s="2" t="str">
        <f>IF(A1844="","",C1844*'Loan Inputs'!$B$15)</f>
        <v/>
      </c>
      <c r="F1844" s="2" t="str">
        <f t="shared" si="84"/>
        <v/>
      </c>
      <c r="G1844" s="2" t="str">
        <f t="shared" si="85"/>
        <v/>
      </c>
      <c r="H1844" s="2" t="str">
        <f>IF(A1844="","",MIN(0,MAX(0,C1844+E1844-'Loan Inputs'!$B$17)))</f>
        <v/>
      </c>
    </row>
    <row r="1845" spans="1:8" ht="22" customHeight="1">
      <c r="A1845" s="1" t="str">
        <f>IF(AND('Loan Inputs'!$B$12,1839&lt;=IF('Loan Inputs'!$B$12,'Loan Inputs'!$B$7,0)*'Loan Inputs'!$B$14+0,ISNUMBER(G1844),G1844&gt;0),1839,"")</f>
        <v/>
      </c>
      <c r="B1845" s="4" t="str">
        <f>IF(A1845="","",IF('Loan Inputs'!$B$14=12,DATE(YEAR('Loan Inputs'!$B$8),MONTH('Loan Inputs'!$B$8)+A1845,DAY('Loan Inputs'!$B$8)),'Loan Inputs'!$B$8+A1845*IF('Loan Inputs'!$B$14=26,14,7)))</f>
        <v/>
      </c>
      <c r="C1845" s="2" t="str">
        <f t="shared" si="86"/>
        <v/>
      </c>
      <c r="D1845" s="2" t="str">
        <f>IF(A1845="","",MIN('Loan Inputs'!$B$17,C1845+E1845)+H1845)</f>
        <v/>
      </c>
      <c r="E1845" s="2" t="str">
        <f>IF(A1845="","",C1845*'Loan Inputs'!$B$15)</f>
        <v/>
      </c>
      <c r="F1845" s="2" t="str">
        <f t="shared" si="84"/>
        <v/>
      </c>
      <c r="G1845" s="2" t="str">
        <f t="shared" si="85"/>
        <v/>
      </c>
      <c r="H1845" s="2" t="str">
        <f>IF(A1845="","",MIN(0,MAX(0,C1845+E1845-'Loan Inputs'!$B$17)))</f>
        <v/>
      </c>
    </row>
    <row r="1846" spans="1:8" ht="22" customHeight="1">
      <c r="A1846" s="1" t="str">
        <f>IF(AND('Loan Inputs'!$B$12,1840&lt;=IF('Loan Inputs'!$B$12,'Loan Inputs'!$B$7,0)*'Loan Inputs'!$B$14+0,ISNUMBER(G1845),G1845&gt;0),1840,"")</f>
        <v/>
      </c>
      <c r="B1846" s="4" t="str">
        <f>IF(A1846="","",IF('Loan Inputs'!$B$14=12,DATE(YEAR('Loan Inputs'!$B$8),MONTH('Loan Inputs'!$B$8)+A1846,DAY('Loan Inputs'!$B$8)),'Loan Inputs'!$B$8+A1846*IF('Loan Inputs'!$B$14=26,14,7)))</f>
        <v/>
      </c>
      <c r="C1846" s="2" t="str">
        <f t="shared" si="86"/>
        <v/>
      </c>
      <c r="D1846" s="2" t="str">
        <f>IF(A1846="","",MIN('Loan Inputs'!$B$17,C1846+E1846)+H1846)</f>
        <v/>
      </c>
      <c r="E1846" s="2" t="str">
        <f>IF(A1846="","",C1846*'Loan Inputs'!$B$15)</f>
        <v/>
      </c>
      <c r="F1846" s="2" t="str">
        <f t="shared" si="84"/>
        <v/>
      </c>
      <c r="G1846" s="2" t="str">
        <f t="shared" si="85"/>
        <v/>
      </c>
      <c r="H1846" s="2" t="str">
        <f>IF(A1846="","",MIN(0,MAX(0,C1846+E1846-'Loan Inputs'!$B$17)))</f>
        <v/>
      </c>
    </row>
    <row r="1847" spans="1:8" ht="22" customHeight="1">
      <c r="A1847" s="1" t="str">
        <f>IF(AND('Loan Inputs'!$B$12,1841&lt;=IF('Loan Inputs'!$B$12,'Loan Inputs'!$B$7,0)*'Loan Inputs'!$B$14+0,ISNUMBER(G1846),G1846&gt;0),1841,"")</f>
        <v/>
      </c>
      <c r="B1847" s="4" t="str">
        <f>IF(A1847="","",IF('Loan Inputs'!$B$14=12,DATE(YEAR('Loan Inputs'!$B$8),MONTH('Loan Inputs'!$B$8)+A1847,DAY('Loan Inputs'!$B$8)),'Loan Inputs'!$B$8+A1847*IF('Loan Inputs'!$B$14=26,14,7)))</f>
        <v/>
      </c>
      <c r="C1847" s="2" t="str">
        <f t="shared" si="86"/>
        <v/>
      </c>
      <c r="D1847" s="2" t="str">
        <f>IF(A1847="","",MIN('Loan Inputs'!$B$17,C1847+E1847)+H1847)</f>
        <v/>
      </c>
      <c r="E1847" s="2" t="str">
        <f>IF(A1847="","",C1847*'Loan Inputs'!$B$15)</f>
        <v/>
      </c>
      <c r="F1847" s="2" t="str">
        <f t="shared" si="84"/>
        <v/>
      </c>
      <c r="G1847" s="2" t="str">
        <f t="shared" si="85"/>
        <v/>
      </c>
      <c r="H1847" s="2" t="str">
        <f>IF(A1847="","",MIN(0,MAX(0,C1847+E1847-'Loan Inputs'!$B$17)))</f>
        <v/>
      </c>
    </row>
    <row r="1848" spans="1:8" ht="22" customHeight="1">
      <c r="A1848" s="1" t="str">
        <f>IF(AND('Loan Inputs'!$B$12,1842&lt;=IF('Loan Inputs'!$B$12,'Loan Inputs'!$B$7,0)*'Loan Inputs'!$B$14+0,ISNUMBER(G1847),G1847&gt;0),1842,"")</f>
        <v/>
      </c>
      <c r="B1848" s="4" t="str">
        <f>IF(A1848="","",IF('Loan Inputs'!$B$14=12,DATE(YEAR('Loan Inputs'!$B$8),MONTH('Loan Inputs'!$B$8)+A1848,DAY('Loan Inputs'!$B$8)),'Loan Inputs'!$B$8+A1848*IF('Loan Inputs'!$B$14=26,14,7)))</f>
        <v/>
      </c>
      <c r="C1848" s="2" t="str">
        <f t="shared" si="86"/>
        <v/>
      </c>
      <c r="D1848" s="2" t="str">
        <f>IF(A1848="","",MIN('Loan Inputs'!$B$17,C1848+E1848)+H1848)</f>
        <v/>
      </c>
      <c r="E1848" s="2" t="str">
        <f>IF(A1848="","",C1848*'Loan Inputs'!$B$15)</f>
        <v/>
      </c>
      <c r="F1848" s="2" t="str">
        <f t="shared" si="84"/>
        <v/>
      </c>
      <c r="G1848" s="2" t="str">
        <f t="shared" si="85"/>
        <v/>
      </c>
      <c r="H1848" s="2" t="str">
        <f>IF(A1848="","",MIN(0,MAX(0,C1848+E1848-'Loan Inputs'!$B$17)))</f>
        <v/>
      </c>
    </row>
    <row r="1849" spans="1:8" ht="22" customHeight="1">
      <c r="A1849" s="1" t="str">
        <f>IF(AND('Loan Inputs'!$B$12,1843&lt;=IF('Loan Inputs'!$B$12,'Loan Inputs'!$B$7,0)*'Loan Inputs'!$B$14+0,ISNUMBER(G1848),G1848&gt;0),1843,"")</f>
        <v/>
      </c>
      <c r="B1849" s="4" t="str">
        <f>IF(A1849="","",IF('Loan Inputs'!$B$14=12,DATE(YEAR('Loan Inputs'!$B$8),MONTH('Loan Inputs'!$B$8)+A1849,DAY('Loan Inputs'!$B$8)),'Loan Inputs'!$B$8+A1849*IF('Loan Inputs'!$B$14=26,14,7)))</f>
        <v/>
      </c>
      <c r="C1849" s="2" t="str">
        <f t="shared" si="86"/>
        <v/>
      </c>
      <c r="D1849" s="2" t="str">
        <f>IF(A1849="","",MIN('Loan Inputs'!$B$17,C1849+E1849)+H1849)</f>
        <v/>
      </c>
      <c r="E1849" s="2" t="str">
        <f>IF(A1849="","",C1849*'Loan Inputs'!$B$15)</f>
        <v/>
      </c>
      <c r="F1849" s="2" t="str">
        <f t="shared" si="84"/>
        <v/>
      </c>
      <c r="G1849" s="2" t="str">
        <f t="shared" si="85"/>
        <v/>
      </c>
      <c r="H1849" s="2" t="str">
        <f>IF(A1849="","",MIN(0,MAX(0,C1849+E1849-'Loan Inputs'!$B$17)))</f>
        <v/>
      </c>
    </row>
    <row r="1850" spans="1:8" ht="22" customHeight="1">
      <c r="A1850" s="1" t="str">
        <f>IF(AND('Loan Inputs'!$B$12,1844&lt;=IF('Loan Inputs'!$B$12,'Loan Inputs'!$B$7,0)*'Loan Inputs'!$B$14+0,ISNUMBER(G1849),G1849&gt;0),1844,"")</f>
        <v/>
      </c>
      <c r="B1850" s="4" t="str">
        <f>IF(A1850="","",IF('Loan Inputs'!$B$14=12,DATE(YEAR('Loan Inputs'!$B$8),MONTH('Loan Inputs'!$B$8)+A1850,DAY('Loan Inputs'!$B$8)),'Loan Inputs'!$B$8+A1850*IF('Loan Inputs'!$B$14=26,14,7)))</f>
        <v/>
      </c>
      <c r="C1850" s="2" t="str">
        <f t="shared" si="86"/>
        <v/>
      </c>
      <c r="D1850" s="2" t="str">
        <f>IF(A1850="","",MIN('Loan Inputs'!$B$17,C1850+E1850)+H1850)</f>
        <v/>
      </c>
      <c r="E1850" s="2" t="str">
        <f>IF(A1850="","",C1850*'Loan Inputs'!$B$15)</f>
        <v/>
      </c>
      <c r="F1850" s="2" t="str">
        <f t="shared" si="84"/>
        <v/>
      </c>
      <c r="G1850" s="2" t="str">
        <f t="shared" si="85"/>
        <v/>
      </c>
      <c r="H1850" s="2" t="str">
        <f>IF(A1850="","",MIN(0,MAX(0,C1850+E1850-'Loan Inputs'!$B$17)))</f>
        <v/>
      </c>
    </row>
    <row r="1851" spans="1:8" ht="22" customHeight="1">
      <c r="A1851" s="1" t="str">
        <f>IF(AND('Loan Inputs'!$B$12,1845&lt;=IF('Loan Inputs'!$B$12,'Loan Inputs'!$B$7,0)*'Loan Inputs'!$B$14+0,ISNUMBER(G1850),G1850&gt;0),1845,"")</f>
        <v/>
      </c>
      <c r="B1851" s="4" t="str">
        <f>IF(A1851="","",IF('Loan Inputs'!$B$14=12,DATE(YEAR('Loan Inputs'!$B$8),MONTH('Loan Inputs'!$B$8)+A1851,DAY('Loan Inputs'!$B$8)),'Loan Inputs'!$B$8+A1851*IF('Loan Inputs'!$B$14=26,14,7)))</f>
        <v/>
      </c>
      <c r="C1851" s="2" t="str">
        <f t="shared" si="86"/>
        <v/>
      </c>
      <c r="D1851" s="2" t="str">
        <f>IF(A1851="","",MIN('Loan Inputs'!$B$17,C1851+E1851)+H1851)</f>
        <v/>
      </c>
      <c r="E1851" s="2" t="str">
        <f>IF(A1851="","",C1851*'Loan Inputs'!$B$15)</f>
        <v/>
      </c>
      <c r="F1851" s="2" t="str">
        <f t="shared" si="84"/>
        <v/>
      </c>
      <c r="G1851" s="2" t="str">
        <f t="shared" si="85"/>
        <v/>
      </c>
      <c r="H1851" s="2" t="str">
        <f>IF(A1851="","",MIN(0,MAX(0,C1851+E1851-'Loan Inputs'!$B$17)))</f>
        <v/>
      </c>
    </row>
    <row r="1852" spans="1:8" ht="22" customHeight="1">
      <c r="A1852" s="1" t="str">
        <f>IF(AND('Loan Inputs'!$B$12,1846&lt;=IF('Loan Inputs'!$B$12,'Loan Inputs'!$B$7,0)*'Loan Inputs'!$B$14+0,ISNUMBER(G1851),G1851&gt;0),1846,"")</f>
        <v/>
      </c>
      <c r="B1852" s="4" t="str">
        <f>IF(A1852="","",IF('Loan Inputs'!$B$14=12,DATE(YEAR('Loan Inputs'!$B$8),MONTH('Loan Inputs'!$B$8)+A1852,DAY('Loan Inputs'!$B$8)),'Loan Inputs'!$B$8+A1852*IF('Loan Inputs'!$B$14=26,14,7)))</f>
        <v/>
      </c>
      <c r="C1852" s="2" t="str">
        <f t="shared" si="86"/>
        <v/>
      </c>
      <c r="D1852" s="2" t="str">
        <f>IF(A1852="","",MIN('Loan Inputs'!$B$17,C1852+E1852)+H1852)</f>
        <v/>
      </c>
      <c r="E1852" s="2" t="str">
        <f>IF(A1852="","",C1852*'Loan Inputs'!$B$15)</f>
        <v/>
      </c>
      <c r="F1852" s="2" t="str">
        <f t="shared" si="84"/>
        <v/>
      </c>
      <c r="G1852" s="2" t="str">
        <f t="shared" si="85"/>
        <v/>
      </c>
      <c r="H1852" s="2" t="str">
        <f>IF(A1852="","",MIN(0,MAX(0,C1852+E1852-'Loan Inputs'!$B$17)))</f>
        <v/>
      </c>
    </row>
    <row r="1853" spans="1:8" ht="22" customHeight="1">
      <c r="A1853" s="1" t="str">
        <f>IF(AND('Loan Inputs'!$B$12,1847&lt;=IF('Loan Inputs'!$B$12,'Loan Inputs'!$B$7,0)*'Loan Inputs'!$B$14+0,ISNUMBER(G1852),G1852&gt;0),1847,"")</f>
        <v/>
      </c>
      <c r="B1853" s="4" t="str">
        <f>IF(A1853="","",IF('Loan Inputs'!$B$14=12,DATE(YEAR('Loan Inputs'!$B$8),MONTH('Loan Inputs'!$B$8)+A1853,DAY('Loan Inputs'!$B$8)),'Loan Inputs'!$B$8+A1853*IF('Loan Inputs'!$B$14=26,14,7)))</f>
        <v/>
      </c>
      <c r="C1853" s="2" t="str">
        <f t="shared" si="86"/>
        <v/>
      </c>
      <c r="D1853" s="2" t="str">
        <f>IF(A1853="","",MIN('Loan Inputs'!$B$17,C1853+E1853)+H1853)</f>
        <v/>
      </c>
      <c r="E1853" s="2" t="str">
        <f>IF(A1853="","",C1853*'Loan Inputs'!$B$15)</f>
        <v/>
      </c>
      <c r="F1853" s="2" t="str">
        <f t="shared" si="84"/>
        <v/>
      </c>
      <c r="G1853" s="2" t="str">
        <f t="shared" si="85"/>
        <v/>
      </c>
      <c r="H1853" s="2" t="str">
        <f>IF(A1853="","",MIN(0,MAX(0,C1853+E1853-'Loan Inputs'!$B$17)))</f>
        <v/>
      </c>
    </row>
    <row r="1854" spans="1:8" ht="22" customHeight="1">
      <c r="A1854" s="1" t="str">
        <f>IF(AND('Loan Inputs'!$B$12,1848&lt;=IF('Loan Inputs'!$B$12,'Loan Inputs'!$B$7,0)*'Loan Inputs'!$B$14+0,ISNUMBER(G1853),G1853&gt;0),1848,"")</f>
        <v/>
      </c>
      <c r="B1854" s="4" t="str">
        <f>IF(A1854="","",IF('Loan Inputs'!$B$14=12,DATE(YEAR('Loan Inputs'!$B$8),MONTH('Loan Inputs'!$B$8)+A1854,DAY('Loan Inputs'!$B$8)),'Loan Inputs'!$B$8+A1854*IF('Loan Inputs'!$B$14=26,14,7)))</f>
        <v/>
      </c>
      <c r="C1854" s="2" t="str">
        <f t="shared" si="86"/>
        <v/>
      </c>
      <c r="D1854" s="2" t="str">
        <f>IF(A1854="","",MIN('Loan Inputs'!$B$17,C1854+E1854)+H1854)</f>
        <v/>
      </c>
      <c r="E1854" s="2" t="str">
        <f>IF(A1854="","",C1854*'Loan Inputs'!$B$15)</f>
        <v/>
      </c>
      <c r="F1854" s="2" t="str">
        <f t="shared" si="84"/>
        <v/>
      </c>
      <c r="G1854" s="2" t="str">
        <f t="shared" si="85"/>
        <v/>
      </c>
      <c r="H1854" s="2" t="str">
        <f>IF(A1854="","",MIN(0,MAX(0,C1854+E1854-'Loan Inputs'!$B$17)))</f>
        <v/>
      </c>
    </row>
    <row r="1855" spans="1:8" ht="22" customHeight="1">
      <c r="A1855" s="1" t="str">
        <f>IF(AND('Loan Inputs'!$B$12,1849&lt;=IF('Loan Inputs'!$B$12,'Loan Inputs'!$B$7,0)*'Loan Inputs'!$B$14+0,ISNUMBER(G1854),G1854&gt;0),1849,"")</f>
        <v/>
      </c>
      <c r="B1855" s="4" t="str">
        <f>IF(A1855="","",IF('Loan Inputs'!$B$14=12,DATE(YEAR('Loan Inputs'!$B$8),MONTH('Loan Inputs'!$B$8)+A1855,DAY('Loan Inputs'!$B$8)),'Loan Inputs'!$B$8+A1855*IF('Loan Inputs'!$B$14=26,14,7)))</f>
        <v/>
      </c>
      <c r="C1855" s="2" t="str">
        <f t="shared" si="86"/>
        <v/>
      </c>
      <c r="D1855" s="2" t="str">
        <f>IF(A1855="","",MIN('Loan Inputs'!$B$17,C1855+E1855)+H1855)</f>
        <v/>
      </c>
      <c r="E1855" s="2" t="str">
        <f>IF(A1855="","",C1855*'Loan Inputs'!$B$15)</f>
        <v/>
      </c>
      <c r="F1855" s="2" t="str">
        <f t="shared" si="84"/>
        <v/>
      </c>
      <c r="G1855" s="2" t="str">
        <f t="shared" si="85"/>
        <v/>
      </c>
      <c r="H1855" s="2" t="str">
        <f>IF(A1855="","",MIN(0,MAX(0,C1855+E1855-'Loan Inputs'!$B$17)))</f>
        <v/>
      </c>
    </row>
    <row r="1856" spans="1:8" ht="22" customHeight="1">
      <c r="A1856" s="1" t="str">
        <f>IF(AND('Loan Inputs'!$B$12,1850&lt;=IF('Loan Inputs'!$B$12,'Loan Inputs'!$B$7,0)*'Loan Inputs'!$B$14+0,ISNUMBER(G1855),G1855&gt;0),1850,"")</f>
        <v/>
      </c>
      <c r="B1856" s="4" t="str">
        <f>IF(A1856="","",IF('Loan Inputs'!$B$14=12,DATE(YEAR('Loan Inputs'!$B$8),MONTH('Loan Inputs'!$B$8)+A1856,DAY('Loan Inputs'!$B$8)),'Loan Inputs'!$B$8+A1856*IF('Loan Inputs'!$B$14=26,14,7)))</f>
        <v/>
      </c>
      <c r="C1856" s="2" t="str">
        <f t="shared" si="86"/>
        <v/>
      </c>
      <c r="D1856" s="2" t="str">
        <f>IF(A1856="","",MIN('Loan Inputs'!$B$17,C1856+E1856)+H1856)</f>
        <v/>
      </c>
      <c r="E1856" s="2" t="str">
        <f>IF(A1856="","",C1856*'Loan Inputs'!$B$15)</f>
        <v/>
      </c>
      <c r="F1856" s="2" t="str">
        <f t="shared" si="84"/>
        <v/>
      </c>
      <c r="G1856" s="2" t="str">
        <f t="shared" si="85"/>
        <v/>
      </c>
      <c r="H1856" s="2" t="str">
        <f>IF(A1856="","",MIN(0,MAX(0,C1856+E1856-'Loan Inputs'!$B$17)))</f>
        <v/>
      </c>
    </row>
    <row r="1857" spans="1:8" ht="22" customHeight="1">
      <c r="A1857" s="1" t="str">
        <f>IF(AND('Loan Inputs'!$B$12,1851&lt;=IF('Loan Inputs'!$B$12,'Loan Inputs'!$B$7,0)*'Loan Inputs'!$B$14+0,ISNUMBER(G1856),G1856&gt;0),1851,"")</f>
        <v/>
      </c>
      <c r="B1857" s="4" t="str">
        <f>IF(A1857="","",IF('Loan Inputs'!$B$14=12,DATE(YEAR('Loan Inputs'!$B$8),MONTH('Loan Inputs'!$B$8)+A1857,DAY('Loan Inputs'!$B$8)),'Loan Inputs'!$B$8+A1857*IF('Loan Inputs'!$B$14=26,14,7)))</f>
        <v/>
      </c>
      <c r="C1857" s="2" t="str">
        <f t="shared" si="86"/>
        <v/>
      </c>
      <c r="D1857" s="2" t="str">
        <f>IF(A1857="","",MIN('Loan Inputs'!$B$17,C1857+E1857)+H1857)</f>
        <v/>
      </c>
      <c r="E1857" s="2" t="str">
        <f>IF(A1857="","",C1857*'Loan Inputs'!$B$15)</f>
        <v/>
      </c>
      <c r="F1857" s="2" t="str">
        <f t="shared" si="84"/>
        <v/>
      </c>
      <c r="G1857" s="2" t="str">
        <f t="shared" si="85"/>
        <v/>
      </c>
      <c r="H1857" s="2" t="str">
        <f>IF(A1857="","",MIN(0,MAX(0,C1857+E1857-'Loan Inputs'!$B$17)))</f>
        <v/>
      </c>
    </row>
    <row r="1858" spans="1:8" ht="22" customHeight="1">
      <c r="A1858" s="1" t="str">
        <f>IF(AND('Loan Inputs'!$B$12,1852&lt;=IF('Loan Inputs'!$B$12,'Loan Inputs'!$B$7,0)*'Loan Inputs'!$B$14+0,ISNUMBER(G1857),G1857&gt;0),1852,"")</f>
        <v/>
      </c>
      <c r="B1858" s="4" t="str">
        <f>IF(A1858="","",IF('Loan Inputs'!$B$14=12,DATE(YEAR('Loan Inputs'!$B$8),MONTH('Loan Inputs'!$B$8)+A1858,DAY('Loan Inputs'!$B$8)),'Loan Inputs'!$B$8+A1858*IF('Loan Inputs'!$B$14=26,14,7)))</f>
        <v/>
      </c>
      <c r="C1858" s="2" t="str">
        <f t="shared" si="86"/>
        <v/>
      </c>
      <c r="D1858" s="2" t="str">
        <f>IF(A1858="","",MIN('Loan Inputs'!$B$17,C1858+E1858)+H1858)</f>
        <v/>
      </c>
      <c r="E1858" s="2" t="str">
        <f>IF(A1858="","",C1858*'Loan Inputs'!$B$15)</f>
        <v/>
      </c>
      <c r="F1858" s="2" t="str">
        <f t="shared" si="84"/>
        <v/>
      </c>
      <c r="G1858" s="2" t="str">
        <f t="shared" si="85"/>
        <v/>
      </c>
      <c r="H1858" s="2" t="str">
        <f>IF(A1858="","",MIN(0,MAX(0,C1858+E1858-'Loan Inputs'!$B$17)))</f>
        <v/>
      </c>
    </row>
    <row r="1859" spans="1:8" ht="22" customHeight="1">
      <c r="A1859" s="1" t="str">
        <f>IF(AND('Loan Inputs'!$B$12,1853&lt;=IF('Loan Inputs'!$B$12,'Loan Inputs'!$B$7,0)*'Loan Inputs'!$B$14+0,ISNUMBER(G1858),G1858&gt;0),1853,"")</f>
        <v/>
      </c>
      <c r="B1859" s="4" t="str">
        <f>IF(A1859="","",IF('Loan Inputs'!$B$14=12,DATE(YEAR('Loan Inputs'!$B$8),MONTH('Loan Inputs'!$B$8)+A1859,DAY('Loan Inputs'!$B$8)),'Loan Inputs'!$B$8+A1859*IF('Loan Inputs'!$B$14=26,14,7)))</f>
        <v/>
      </c>
      <c r="C1859" s="2" t="str">
        <f t="shared" si="86"/>
        <v/>
      </c>
      <c r="D1859" s="2" t="str">
        <f>IF(A1859="","",MIN('Loan Inputs'!$B$17,C1859+E1859)+H1859)</f>
        <v/>
      </c>
      <c r="E1859" s="2" t="str">
        <f>IF(A1859="","",C1859*'Loan Inputs'!$B$15)</f>
        <v/>
      </c>
      <c r="F1859" s="2" t="str">
        <f t="shared" si="84"/>
        <v/>
      </c>
      <c r="G1859" s="2" t="str">
        <f t="shared" si="85"/>
        <v/>
      </c>
      <c r="H1859" s="2" t="str">
        <f>IF(A1859="","",MIN(0,MAX(0,C1859+E1859-'Loan Inputs'!$B$17)))</f>
        <v/>
      </c>
    </row>
    <row r="1860" spans="1:8" ht="22" customHeight="1">
      <c r="A1860" s="1" t="str">
        <f>IF(AND('Loan Inputs'!$B$12,1854&lt;=IF('Loan Inputs'!$B$12,'Loan Inputs'!$B$7,0)*'Loan Inputs'!$B$14+0,ISNUMBER(G1859),G1859&gt;0),1854,"")</f>
        <v/>
      </c>
      <c r="B1860" s="4" t="str">
        <f>IF(A1860="","",IF('Loan Inputs'!$B$14=12,DATE(YEAR('Loan Inputs'!$B$8),MONTH('Loan Inputs'!$B$8)+A1860,DAY('Loan Inputs'!$B$8)),'Loan Inputs'!$B$8+A1860*IF('Loan Inputs'!$B$14=26,14,7)))</f>
        <v/>
      </c>
      <c r="C1860" s="2" t="str">
        <f t="shared" si="86"/>
        <v/>
      </c>
      <c r="D1860" s="2" t="str">
        <f>IF(A1860="","",MIN('Loan Inputs'!$B$17,C1860+E1860)+H1860)</f>
        <v/>
      </c>
      <c r="E1860" s="2" t="str">
        <f>IF(A1860="","",C1860*'Loan Inputs'!$B$15)</f>
        <v/>
      </c>
      <c r="F1860" s="2" t="str">
        <f t="shared" si="84"/>
        <v/>
      </c>
      <c r="G1860" s="2" t="str">
        <f t="shared" si="85"/>
        <v/>
      </c>
      <c r="H1860" s="2" t="str">
        <f>IF(A1860="","",MIN(0,MAX(0,C1860+E1860-'Loan Inputs'!$B$17)))</f>
        <v/>
      </c>
    </row>
    <row r="1861" spans="1:8" ht="22" customHeight="1">
      <c r="A1861" s="1" t="str">
        <f>IF(AND('Loan Inputs'!$B$12,1855&lt;=IF('Loan Inputs'!$B$12,'Loan Inputs'!$B$7,0)*'Loan Inputs'!$B$14+0,ISNUMBER(G1860),G1860&gt;0),1855,"")</f>
        <v/>
      </c>
      <c r="B1861" s="4" t="str">
        <f>IF(A1861="","",IF('Loan Inputs'!$B$14=12,DATE(YEAR('Loan Inputs'!$B$8),MONTH('Loan Inputs'!$B$8)+A1861,DAY('Loan Inputs'!$B$8)),'Loan Inputs'!$B$8+A1861*IF('Loan Inputs'!$B$14=26,14,7)))</f>
        <v/>
      </c>
      <c r="C1861" s="2" t="str">
        <f t="shared" si="86"/>
        <v/>
      </c>
      <c r="D1861" s="2" t="str">
        <f>IF(A1861="","",MIN('Loan Inputs'!$B$17,C1861+E1861)+H1861)</f>
        <v/>
      </c>
      <c r="E1861" s="2" t="str">
        <f>IF(A1861="","",C1861*'Loan Inputs'!$B$15)</f>
        <v/>
      </c>
      <c r="F1861" s="2" t="str">
        <f t="shared" si="84"/>
        <v/>
      </c>
      <c r="G1861" s="2" t="str">
        <f t="shared" si="85"/>
        <v/>
      </c>
      <c r="H1861" s="2" t="str">
        <f>IF(A1861="","",MIN(0,MAX(0,C1861+E1861-'Loan Inputs'!$B$17)))</f>
        <v/>
      </c>
    </row>
    <row r="1862" spans="1:8" ht="22" customHeight="1">
      <c r="A1862" s="1" t="str">
        <f>IF(AND('Loan Inputs'!$B$12,1856&lt;=IF('Loan Inputs'!$B$12,'Loan Inputs'!$B$7,0)*'Loan Inputs'!$B$14+0,ISNUMBER(G1861),G1861&gt;0),1856,"")</f>
        <v/>
      </c>
      <c r="B1862" s="4" t="str">
        <f>IF(A1862="","",IF('Loan Inputs'!$B$14=12,DATE(YEAR('Loan Inputs'!$B$8),MONTH('Loan Inputs'!$B$8)+A1862,DAY('Loan Inputs'!$B$8)),'Loan Inputs'!$B$8+A1862*IF('Loan Inputs'!$B$14=26,14,7)))</f>
        <v/>
      </c>
      <c r="C1862" s="2" t="str">
        <f t="shared" si="86"/>
        <v/>
      </c>
      <c r="D1862" s="2" t="str">
        <f>IF(A1862="","",MIN('Loan Inputs'!$B$17,C1862+E1862)+H1862)</f>
        <v/>
      </c>
      <c r="E1862" s="2" t="str">
        <f>IF(A1862="","",C1862*'Loan Inputs'!$B$15)</f>
        <v/>
      </c>
      <c r="F1862" s="2" t="str">
        <f t="shared" si="84"/>
        <v/>
      </c>
      <c r="G1862" s="2" t="str">
        <f t="shared" si="85"/>
        <v/>
      </c>
      <c r="H1862" s="2" t="str">
        <f>IF(A1862="","",MIN(0,MAX(0,C1862+E1862-'Loan Inputs'!$B$17)))</f>
        <v/>
      </c>
    </row>
    <row r="1863" spans="1:8" ht="22" customHeight="1">
      <c r="A1863" s="1" t="str">
        <f>IF(AND('Loan Inputs'!$B$12,1857&lt;=IF('Loan Inputs'!$B$12,'Loan Inputs'!$B$7,0)*'Loan Inputs'!$B$14+0,ISNUMBER(G1862),G1862&gt;0),1857,"")</f>
        <v/>
      </c>
      <c r="B1863" s="4" t="str">
        <f>IF(A1863="","",IF('Loan Inputs'!$B$14=12,DATE(YEAR('Loan Inputs'!$B$8),MONTH('Loan Inputs'!$B$8)+A1863,DAY('Loan Inputs'!$B$8)),'Loan Inputs'!$B$8+A1863*IF('Loan Inputs'!$B$14=26,14,7)))</f>
        <v/>
      </c>
      <c r="C1863" s="2" t="str">
        <f t="shared" si="86"/>
        <v/>
      </c>
      <c r="D1863" s="2" t="str">
        <f>IF(A1863="","",MIN('Loan Inputs'!$B$17,C1863+E1863)+H1863)</f>
        <v/>
      </c>
      <c r="E1863" s="2" t="str">
        <f>IF(A1863="","",C1863*'Loan Inputs'!$B$15)</f>
        <v/>
      </c>
      <c r="F1863" s="2" t="str">
        <f t="shared" ref="F1863:F1926" si="87">IF(A1863="","",MIN(C1863,D1863-E1863))</f>
        <v/>
      </c>
      <c r="G1863" s="2" t="str">
        <f t="shared" ref="G1863:G1926" si="88">IF(A1863="","",IF(C1863-F1863&lt;0.01,0,MAX(0,C1863-F1863)))</f>
        <v/>
      </c>
      <c r="H1863" s="2" t="str">
        <f>IF(A1863="","",MIN(0,MAX(0,C1863+E1863-'Loan Inputs'!$B$17)))</f>
        <v/>
      </c>
    </row>
    <row r="1864" spans="1:8" ht="22" customHeight="1">
      <c r="A1864" s="1" t="str">
        <f>IF(AND('Loan Inputs'!$B$12,1858&lt;=IF('Loan Inputs'!$B$12,'Loan Inputs'!$B$7,0)*'Loan Inputs'!$B$14+0,ISNUMBER(G1863),G1863&gt;0),1858,"")</f>
        <v/>
      </c>
      <c r="B1864" s="4" t="str">
        <f>IF(A1864="","",IF('Loan Inputs'!$B$14=12,DATE(YEAR('Loan Inputs'!$B$8),MONTH('Loan Inputs'!$B$8)+A1864,DAY('Loan Inputs'!$B$8)),'Loan Inputs'!$B$8+A1864*IF('Loan Inputs'!$B$14=26,14,7)))</f>
        <v/>
      </c>
      <c r="C1864" s="2" t="str">
        <f t="shared" ref="C1864:C1927" si="89">IF(A1864="","",G1863)</f>
        <v/>
      </c>
      <c r="D1864" s="2" t="str">
        <f>IF(A1864="","",MIN('Loan Inputs'!$B$17,C1864+E1864)+H1864)</f>
        <v/>
      </c>
      <c r="E1864" s="2" t="str">
        <f>IF(A1864="","",C1864*'Loan Inputs'!$B$15)</f>
        <v/>
      </c>
      <c r="F1864" s="2" t="str">
        <f t="shared" si="87"/>
        <v/>
      </c>
      <c r="G1864" s="2" t="str">
        <f t="shared" si="88"/>
        <v/>
      </c>
      <c r="H1864" s="2" t="str">
        <f>IF(A1864="","",MIN(0,MAX(0,C1864+E1864-'Loan Inputs'!$B$17)))</f>
        <v/>
      </c>
    </row>
    <row r="1865" spans="1:8" ht="22" customHeight="1">
      <c r="A1865" s="1" t="str">
        <f>IF(AND('Loan Inputs'!$B$12,1859&lt;=IF('Loan Inputs'!$B$12,'Loan Inputs'!$B$7,0)*'Loan Inputs'!$B$14+0,ISNUMBER(G1864),G1864&gt;0),1859,"")</f>
        <v/>
      </c>
      <c r="B1865" s="4" t="str">
        <f>IF(A1865="","",IF('Loan Inputs'!$B$14=12,DATE(YEAR('Loan Inputs'!$B$8),MONTH('Loan Inputs'!$B$8)+A1865,DAY('Loan Inputs'!$B$8)),'Loan Inputs'!$B$8+A1865*IF('Loan Inputs'!$B$14=26,14,7)))</f>
        <v/>
      </c>
      <c r="C1865" s="2" t="str">
        <f t="shared" si="89"/>
        <v/>
      </c>
      <c r="D1865" s="2" t="str">
        <f>IF(A1865="","",MIN('Loan Inputs'!$B$17,C1865+E1865)+H1865)</f>
        <v/>
      </c>
      <c r="E1865" s="2" t="str">
        <f>IF(A1865="","",C1865*'Loan Inputs'!$B$15)</f>
        <v/>
      </c>
      <c r="F1865" s="2" t="str">
        <f t="shared" si="87"/>
        <v/>
      </c>
      <c r="G1865" s="2" t="str">
        <f t="shared" si="88"/>
        <v/>
      </c>
      <c r="H1865" s="2" t="str">
        <f>IF(A1865="","",MIN(0,MAX(0,C1865+E1865-'Loan Inputs'!$B$17)))</f>
        <v/>
      </c>
    </row>
    <row r="1866" spans="1:8" ht="22" customHeight="1">
      <c r="A1866" s="1" t="str">
        <f>IF(AND('Loan Inputs'!$B$12,1860&lt;=IF('Loan Inputs'!$B$12,'Loan Inputs'!$B$7,0)*'Loan Inputs'!$B$14+0,ISNUMBER(G1865),G1865&gt;0),1860,"")</f>
        <v/>
      </c>
      <c r="B1866" s="4" t="str">
        <f>IF(A1866="","",IF('Loan Inputs'!$B$14=12,DATE(YEAR('Loan Inputs'!$B$8),MONTH('Loan Inputs'!$B$8)+A1866,DAY('Loan Inputs'!$B$8)),'Loan Inputs'!$B$8+A1866*IF('Loan Inputs'!$B$14=26,14,7)))</f>
        <v/>
      </c>
      <c r="C1866" s="2" t="str">
        <f t="shared" si="89"/>
        <v/>
      </c>
      <c r="D1866" s="2" t="str">
        <f>IF(A1866="","",MIN('Loan Inputs'!$B$17,C1866+E1866)+H1866)</f>
        <v/>
      </c>
      <c r="E1866" s="2" t="str">
        <f>IF(A1866="","",C1866*'Loan Inputs'!$B$15)</f>
        <v/>
      </c>
      <c r="F1866" s="2" t="str">
        <f t="shared" si="87"/>
        <v/>
      </c>
      <c r="G1866" s="2" t="str">
        <f t="shared" si="88"/>
        <v/>
      </c>
      <c r="H1866" s="2" t="str">
        <f>IF(A1866="","",MIN(0,MAX(0,C1866+E1866-'Loan Inputs'!$B$17)))</f>
        <v/>
      </c>
    </row>
    <row r="1867" spans="1:8" ht="22" customHeight="1">
      <c r="A1867" s="1" t="str">
        <f>IF(AND('Loan Inputs'!$B$12,1861&lt;=IF('Loan Inputs'!$B$12,'Loan Inputs'!$B$7,0)*'Loan Inputs'!$B$14+0,ISNUMBER(G1866),G1866&gt;0),1861,"")</f>
        <v/>
      </c>
      <c r="B1867" s="4" t="str">
        <f>IF(A1867="","",IF('Loan Inputs'!$B$14=12,DATE(YEAR('Loan Inputs'!$B$8),MONTH('Loan Inputs'!$B$8)+A1867,DAY('Loan Inputs'!$B$8)),'Loan Inputs'!$B$8+A1867*IF('Loan Inputs'!$B$14=26,14,7)))</f>
        <v/>
      </c>
      <c r="C1867" s="2" t="str">
        <f t="shared" si="89"/>
        <v/>
      </c>
      <c r="D1867" s="2" t="str">
        <f>IF(A1867="","",MIN('Loan Inputs'!$B$17,C1867+E1867)+H1867)</f>
        <v/>
      </c>
      <c r="E1867" s="2" t="str">
        <f>IF(A1867="","",C1867*'Loan Inputs'!$B$15)</f>
        <v/>
      </c>
      <c r="F1867" s="2" t="str">
        <f t="shared" si="87"/>
        <v/>
      </c>
      <c r="G1867" s="2" t="str">
        <f t="shared" si="88"/>
        <v/>
      </c>
      <c r="H1867" s="2" t="str">
        <f>IF(A1867="","",MIN(0,MAX(0,C1867+E1867-'Loan Inputs'!$B$17)))</f>
        <v/>
      </c>
    </row>
    <row r="1868" spans="1:8" ht="22" customHeight="1">
      <c r="A1868" s="1" t="str">
        <f>IF(AND('Loan Inputs'!$B$12,1862&lt;=IF('Loan Inputs'!$B$12,'Loan Inputs'!$B$7,0)*'Loan Inputs'!$B$14+0,ISNUMBER(G1867),G1867&gt;0),1862,"")</f>
        <v/>
      </c>
      <c r="B1868" s="4" t="str">
        <f>IF(A1868="","",IF('Loan Inputs'!$B$14=12,DATE(YEAR('Loan Inputs'!$B$8),MONTH('Loan Inputs'!$B$8)+A1868,DAY('Loan Inputs'!$B$8)),'Loan Inputs'!$B$8+A1868*IF('Loan Inputs'!$B$14=26,14,7)))</f>
        <v/>
      </c>
      <c r="C1868" s="2" t="str">
        <f t="shared" si="89"/>
        <v/>
      </c>
      <c r="D1868" s="2" t="str">
        <f>IF(A1868="","",MIN('Loan Inputs'!$B$17,C1868+E1868)+H1868)</f>
        <v/>
      </c>
      <c r="E1868" s="2" t="str">
        <f>IF(A1868="","",C1868*'Loan Inputs'!$B$15)</f>
        <v/>
      </c>
      <c r="F1868" s="2" t="str">
        <f t="shared" si="87"/>
        <v/>
      </c>
      <c r="G1868" s="2" t="str">
        <f t="shared" si="88"/>
        <v/>
      </c>
      <c r="H1868" s="2" t="str">
        <f>IF(A1868="","",MIN(0,MAX(0,C1868+E1868-'Loan Inputs'!$B$17)))</f>
        <v/>
      </c>
    </row>
    <row r="1869" spans="1:8" ht="22" customHeight="1">
      <c r="A1869" s="1" t="str">
        <f>IF(AND('Loan Inputs'!$B$12,1863&lt;=IF('Loan Inputs'!$B$12,'Loan Inputs'!$B$7,0)*'Loan Inputs'!$B$14+0,ISNUMBER(G1868),G1868&gt;0),1863,"")</f>
        <v/>
      </c>
      <c r="B1869" s="4" t="str">
        <f>IF(A1869="","",IF('Loan Inputs'!$B$14=12,DATE(YEAR('Loan Inputs'!$B$8),MONTH('Loan Inputs'!$B$8)+A1869,DAY('Loan Inputs'!$B$8)),'Loan Inputs'!$B$8+A1869*IF('Loan Inputs'!$B$14=26,14,7)))</f>
        <v/>
      </c>
      <c r="C1869" s="2" t="str">
        <f t="shared" si="89"/>
        <v/>
      </c>
      <c r="D1869" s="2" t="str">
        <f>IF(A1869="","",MIN('Loan Inputs'!$B$17,C1869+E1869)+H1869)</f>
        <v/>
      </c>
      <c r="E1869" s="2" t="str">
        <f>IF(A1869="","",C1869*'Loan Inputs'!$B$15)</f>
        <v/>
      </c>
      <c r="F1869" s="2" t="str">
        <f t="shared" si="87"/>
        <v/>
      </c>
      <c r="G1869" s="2" t="str">
        <f t="shared" si="88"/>
        <v/>
      </c>
      <c r="H1869" s="2" t="str">
        <f>IF(A1869="","",MIN(0,MAX(0,C1869+E1869-'Loan Inputs'!$B$17)))</f>
        <v/>
      </c>
    </row>
    <row r="1870" spans="1:8" ht="22" customHeight="1">
      <c r="A1870" s="1" t="str">
        <f>IF(AND('Loan Inputs'!$B$12,1864&lt;=IF('Loan Inputs'!$B$12,'Loan Inputs'!$B$7,0)*'Loan Inputs'!$B$14+0,ISNUMBER(G1869),G1869&gt;0),1864,"")</f>
        <v/>
      </c>
      <c r="B1870" s="4" t="str">
        <f>IF(A1870="","",IF('Loan Inputs'!$B$14=12,DATE(YEAR('Loan Inputs'!$B$8),MONTH('Loan Inputs'!$B$8)+A1870,DAY('Loan Inputs'!$B$8)),'Loan Inputs'!$B$8+A1870*IF('Loan Inputs'!$B$14=26,14,7)))</f>
        <v/>
      </c>
      <c r="C1870" s="2" t="str">
        <f t="shared" si="89"/>
        <v/>
      </c>
      <c r="D1870" s="2" t="str">
        <f>IF(A1870="","",MIN('Loan Inputs'!$B$17,C1870+E1870)+H1870)</f>
        <v/>
      </c>
      <c r="E1870" s="2" t="str">
        <f>IF(A1870="","",C1870*'Loan Inputs'!$B$15)</f>
        <v/>
      </c>
      <c r="F1870" s="2" t="str">
        <f t="shared" si="87"/>
        <v/>
      </c>
      <c r="G1870" s="2" t="str">
        <f t="shared" si="88"/>
        <v/>
      </c>
      <c r="H1870" s="2" t="str">
        <f>IF(A1870="","",MIN(0,MAX(0,C1870+E1870-'Loan Inputs'!$B$17)))</f>
        <v/>
      </c>
    </row>
    <row r="1871" spans="1:8" ht="22" customHeight="1">
      <c r="A1871" s="1" t="str">
        <f>IF(AND('Loan Inputs'!$B$12,1865&lt;=IF('Loan Inputs'!$B$12,'Loan Inputs'!$B$7,0)*'Loan Inputs'!$B$14+0,ISNUMBER(G1870),G1870&gt;0),1865,"")</f>
        <v/>
      </c>
      <c r="B1871" s="4" t="str">
        <f>IF(A1871="","",IF('Loan Inputs'!$B$14=12,DATE(YEAR('Loan Inputs'!$B$8),MONTH('Loan Inputs'!$B$8)+A1871,DAY('Loan Inputs'!$B$8)),'Loan Inputs'!$B$8+A1871*IF('Loan Inputs'!$B$14=26,14,7)))</f>
        <v/>
      </c>
      <c r="C1871" s="2" t="str">
        <f t="shared" si="89"/>
        <v/>
      </c>
      <c r="D1871" s="2" t="str">
        <f>IF(A1871="","",MIN('Loan Inputs'!$B$17,C1871+E1871)+H1871)</f>
        <v/>
      </c>
      <c r="E1871" s="2" t="str">
        <f>IF(A1871="","",C1871*'Loan Inputs'!$B$15)</f>
        <v/>
      </c>
      <c r="F1871" s="2" t="str">
        <f t="shared" si="87"/>
        <v/>
      </c>
      <c r="G1871" s="2" t="str">
        <f t="shared" si="88"/>
        <v/>
      </c>
      <c r="H1871" s="2" t="str">
        <f>IF(A1871="","",MIN(0,MAX(0,C1871+E1871-'Loan Inputs'!$B$17)))</f>
        <v/>
      </c>
    </row>
    <row r="1872" spans="1:8" ht="22" customHeight="1">
      <c r="A1872" s="1" t="str">
        <f>IF(AND('Loan Inputs'!$B$12,1866&lt;=IF('Loan Inputs'!$B$12,'Loan Inputs'!$B$7,0)*'Loan Inputs'!$B$14+0,ISNUMBER(G1871),G1871&gt;0),1866,"")</f>
        <v/>
      </c>
      <c r="B1872" s="4" t="str">
        <f>IF(A1872="","",IF('Loan Inputs'!$B$14=12,DATE(YEAR('Loan Inputs'!$B$8),MONTH('Loan Inputs'!$B$8)+A1872,DAY('Loan Inputs'!$B$8)),'Loan Inputs'!$B$8+A1872*IF('Loan Inputs'!$B$14=26,14,7)))</f>
        <v/>
      </c>
      <c r="C1872" s="2" t="str">
        <f t="shared" si="89"/>
        <v/>
      </c>
      <c r="D1872" s="2" t="str">
        <f>IF(A1872="","",MIN('Loan Inputs'!$B$17,C1872+E1872)+H1872)</f>
        <v/>
      </c>
      <c r="E1872" s="2" t="str">
        <f>IF(A1872="","",C1872*'Loan Inputs'!$B$15)</f>
        <v/>
      </c>
      <c r="F1872" s="2" t="str">
        <f t="shared" si="87"/>
        <v/>
      </c>
      <c r="G1872" s="2" t="str">
        <f t="shared" si="88"/>
        <v/>
      </c>
      <c r="H1872" s="2" t="str">
        <f>IF(A1872="","",MIN(0,MAX(0,C1872+E1872-'Loan Inputs'!$B$17)))</f>
        <v/>
      </c>
    </row>
    <row r="1873" spans="1:8" ht="22" customHeight="1">
      <c r="A1873" s="1" t="str">
        <f>IF(AND('Loan Inputs'!$B$12,1867&lt;=IF('Loan Inputs'!$B$12,'Loan Inputs'!$B$7,0)*'Loan Inputs'!$B$14+0,ISNUMBER(G1872),G1872&gt;0),1867,"")</f>
        <v/>
      </c>
      <c r="B1873" s="4" t="str">
        <f>IF(A1873="","",IF('Loan Inputs'!$B$14=12,DATE(YEAR('Loan Inputs'!$B$8),MONTH('Loan Inputs'!$B$8)+A1873,DAY('Loan Inputs'!$B$8)),'Loan Inputs'!$B$8+A1873*IF('Loan Inputs'!$B$14=26,14,7)))</f>
        <v/>
      </c>
      <c r="C1873" s="2" t="str">
        <f t="shared" si="89"/>
        <v/>
      </c>
      <c r="D1873" s="2" t="str">
        <f>IF(A1873="","",MIN('Loan Inputs'!$B$17,C1873+E1873)+H1873)</f>
        <v/>
      </c>
      <c r="E1873" s="2" t="str">
        <f>IF(A1873="","",C1873*'Loan Inputs'!$B$15)</f>
        <v/>
      </c>
      <c r="F1873" s="2" t="str">
        <f t="shared" si="87"/>
        <v/>
      </c>
      <c r="G1873" s="2" t="str">
        <f t="shared" si="88"/>
        <v/>
      </c>
      <c r="H1873" s="2" t="str">
        <f>IF(A1873="","",MIN(0,MAX(0,C1873+E1873-'Loan Inputs'!$B$17)))</f>
        <v/>
      </c>
    </row>
    <row r="1874" spans="1:8" ht="22" customHeight="1">
      <c r="A1874" s="1" t="str">
        <f>IF(AND('Loan Inputs'!$B$12,1868&lt;=IF('Loan Inputs'!$B$12,'Loan Inputs'!$B$7,0)*'Loan Inputs'!$B$14+0,ISNUMBER(G1873),G1873&gt;0),1868,"")</f>
        <v/>
      </c>
      <c r="B1874" s="4" t="str">
        <f>IF(A1874="","",IF('Loan Inputs'!$B$14=12,DATE(YEAR('Loan Inputs'!$B$8),MONTH('Loan Inputs'!$B$8)+A1874,DAY('Loan Inputs'!$B$8)),'Loan Inputs'!$B$8+A1874*IF('Loan Inputs'!$B$14=26,14,7)))</f>
        <v/>
      </c>
      <c r="C1874" s="2" t="str">
        <f t="shared" si="89"/>
        <v/>
      </c>
      <c r="D1874" s="2" t="str">
        <f>IF(A1874="","",MIN('Loan Inputs'!$B$17,C1874+E1874)+H1874)</f>
        <v/>
      </c>
      <c r="E1874" s="2" t="str">
        <f>IF(A1874="","",C1874*'Loan Inputs'!$B$15)</f>
        <v/>
      </c>
      <c r="F1874" s="2" t="str">
        <f t="shared" si="87"/>
        <v/>
      </c>
      <c r="G1874" s="2" t="str">
        <f t="shared" si="88"/>
        <v/>
      </c>
      <c r="H1874" s="2" t="str">
        <f>IF(A1874="","",MIN(0,MAX(0,C1874+E1874-'Loan Inputs'!$B$17)))</f>
        <v/>
      </c>
    </row>
    <row r="1875" spans="1:8" ht="22" customHeight="1">
      <c r="A1875" s="1" t="str">
        <f>IF(AND('Loan Inputs'!$B$12,1869&lt;=IF('Loan Inputs'!$B$12,'Loan Inputs'!$B$7,0)*'Loan Inputs'!$B$14+0,ISNUMBER(G1874),G1874&gt;0),1869,"")</f>
        <v/>
      </c>
      <c r="B1875" s="4" t="str">
        <f>IF(A1875="","",IF('Loan Inputs'!$B$14=12,DATE(YEAR('Loan Inputs'!$B$8),MONTH('Loan Inputs'!$B$8)+A1875,DAY('Loan Inputs'!$B$8)),'Loan Inputs'!$B$8+A1875*IF('Loan Inputs'!$B$14=26,14,7)))</f>
        <v/>
      </c>
      <c r="C1875" s="2" t="str">
        <f t="shared" si="89"/>
        <v/>
      </c>
      <c r="D1875" s="2" t="str">
        <f>IF(A1875="","",MIN('Loan Inputs'!$B$17,C1875+E1875)+H1875)</f>
        <v/>
      </c>
      <c r="E1875" s="2" t="str">
        <f>IF(A1875="","",C1875*'Loan Inputs'!$B$15)</f>
        <v/>
      </c>
      <c r="F1875" s="2" t="str">
        <f t="shared" si="87"/>
        <v/>
      </c>
      <c r="G1875" s="2" t="str">
        <f t="shared" si="88"/>
        <v/>
      </c>
      <c r="H1875" s="2" t="str">
        <f>IF(A1875="","",MIN(0,MAX(0,C1875+E1875-'Loan Inputs'!$B$17)))</f>
        <v/>
      </c>
    </row>
    <row r="1876" spans="1:8" ht="22" customHeight="1">
      <c r="A1876" s="1" t="str">
        <f>IF(AND('Loan Inputs'!$B$12,1870&lt;=IF('Loan Inputs'!$B$12,'Loan Inputs'!$B$7,0)*'Loan Inputs'!$B$14+0,ISNUMBER(G1875),G1875&gt;0),1870,"")</f>
        <v/>
      </c>
      <c r="B1876" s="4" t="str">
        <f>IF(A1876="","",IF('Loan Inputs'!$B$14=12,DATE(YEAR('Loan Inputs'!$B$8),MONTH('Loan Inputs'!$B$8)+A1876,DAY('Loan Inputs'!$B$8)),'Loan Inputs'!$B$8+A1876*IF('Loan Inputs'!$B$14=26,14,7)))</f>
        <v/>
      </c>
      <c r="C1876" s="2" t="str">
        <f t="shared" si="89"/>
        <v/>
      </c>
      <c r="D1876" s="2" t="str">
        <f>IF(A1876="","",MIN('Loan Inputs'!$B$17,C1876+E1876)+H1876)</f>
        <v/>
      </c>
      <c r="E1876" s="2" t="str">
        <f>IF(A1876="","",C1876*'Loan Inputs'!$B$15)</f>
        <v/>
      </c>
      <c r="F1876" s="2" t="str">
        <f t="shared" si="87"/>
        <v/>
      </c>
      <c r="G1876" s="2" t="str">
        <f t="shared" si="88"/>
        <v/>
      </c>
      <c r="H1876" s="2" t="str">
        <f>IF(A1876="","",MIN(0,MAX(0,C1876+E1876-'Loan Inputs'!$B$17)))</f>
        <v/>
      </c>
    </row>
    <row r="1877" spans="1:8" ht="22" customHeight="1">
      <c r="A1877" s="1" t="str">
        <f>IF(AND('Loan Inputs'!$B$12,1871&lt;=IF('Loan Inputs'!$B$12,'Loan Inputs'!$B$7,0)*'Loan Inputs'!$B$14+0,ISNUMBER(G1876),G1876&gt;0),1871,"")</f>
        <v/>
      </c>
      <c r="B1877" s="4" t="str">
        <f>IF(A1877="","",IF('Loan Inputs'!$B$14=12,DATE(YEAR('Loan Inputs'!$B$8),MONTH('Loan Inputs'!$B$8)+A1877,DAY('Loan Inputs'!$B$8)),'Loan Inputs'!$B$8+A1877*IF('Loan Inputs'!$B$14=26,14,7)))</f>
        <v/>
      </c>
      <c r="C1877" s="2" t="str">
        <f t="shared" si="89"/>
        <v/>
      </c>
      <c r="D1877" s="2" t="str">
        <f>IF(A1877="","",MIN('Loan Inputs'!$B$17,C1877+E1877)+H1877)</f>
        <v/>
      </c>
      <c r="E1877" s="2" t="str">
        <f>IF(A1877="","",C1877*'Loan Inputs'!$B$15)</f>
        <v/>
      </c>
      <c r="F1877" s="2" t="str">
        <f t="shared" si="87"/>
        <v/>
      </c>
      <c r="G1877" s="2" t="str">
        <f t="shared" si="88"/>
        <v/>
      </c>
      <c r="H1877" s="2" t="str">
        <f>IF(A1877="","",MIN(0,MAX(0,C1877+E1877-'Loan Inputs'!$B$17)))</f>
        <v/>
      </c>
    </row>
    <row r="1878" spans="1:8" ht="22" customHeight="1">
      <c r="A1878" s="1" t="str">
        <f>IF(AND('Loan Inputs'!$B$12,1872&lt;=IF('Loan Inputs'!$B$12,'Loan Inputs'!$B$7,0)*'Loan Inputs'!$B$14+0,ISNUMBER(G1877),G1877&gt;0),1872,"")</f>
        <v/>
      </c>
      <c r="B1878" s="4" t="str">
        <f>IF(A1878="","",IF('Loan Inputs'!$B$14=12,DATE(YEAR('Loan Inputs'!$B$8),MONTH('Loan Inputs'!$B$8)+A1878,DAY('Loan Inputs'!$B$8)),'Loan Inputs'!$B$8+A1878*IF('Loan Inputs'!$B$14=26,14,7)))</f>
        <v/>
      </c>
      <c r="C1878" s="2" t="str">
        <f t="shared" si="89"/>
        <v/>
      </c>
      <c r="D1878" s="2" t="str">
        <f>IF(A1878="","",MIN('Loan Inputs'!$B$17,C1878+E1878)+H1878)</f>
        <v/>
      </c>
      <c r="E1878" s="2" t="str">
        <f>IF(A1878="","",C1878*'Loan Inputs'!$B$15)</f>
        <v/>
      </c>
      <c r="F1878" s="2" t="str">
        <f t="shared" si="87"/>
        <v/>
      </c>
      <c r="G1878" s="2" t="str">
        <f t="shared" si="88"/>
        <v/>
      </c>
      <c r="H1878" s="2" t="str">
        <f>IF(A1878="","",MIN(0,MAX(0,C1878+E1878-'Loan Inputs'!$B$17)))</f>
        <v/>
      </c>
    </row>
    <row r="1879" spans="1:8" ht="22" customHeight="1">
      <c r="A1879" s="1" t="str">
        <f>IF(AND('Loan Inputs'!$B$12,1873&lt;=IF('Loan Inputs'!$B$12,'Loan Inputs'!$B$7,0)*'Loan Inputs'!$B$14+0,ISNUMBER(G1878),G1878&gt;0),1873,"")</f>
        <v/>
      </c>
      <c r="B1879" s="4" t="str">
        <f>IF(A1879="","",IF('Loan Inputs'!$B$14=12,DATE(YEAR('Loan Inputs'!$B$8),MONTH('Loan Inputs'!$B$8)+A1879,DAY('Loan Inputs'!$B$8)),'Loan Inputs'!$B$8+A1879*IF('Loan Inputs'!$B$14=26,14,7)))</f>
        <v/>
      </c>
      <c r="C1879" s="2" t="str">
        <f t="shared" si="89"/>
        <v/>
      </c>
      <c r="D1879" s="2" t="str">
        <f>IF(A1879="","",MIN('Loan Inputs'!$B$17,C1879+E1879)+H1879)</f>
        <v/>
      </c>
      <c r="E1879" s="2" t="str">
        <f>IF(A1879="","",C1879*'Loan Inputs'!$B$15)</f>
        <v/>
      </c>
      <c r="F1879" s="2" t="str">
        <f t="shared" si="87"/>
        <v/>
      </c>
      <c r="G1879" s="2" t="str">
        <f t="shared" si="88"/>
        <v/>
      </c>
      <c r="H1879" s="2" t="str">
        <f>IF(A1879="","",MIN(0,MAX(0,C1879+E1879-'Loan Inputs'!$B$17)))</f>
        <v/>
      </c>
    </row>
    <row r="1880" spans="1:8" ht="22" customHeight="1">
      <c r="A1880" s="1" t="str">
        <f>IF(AND('Loan Inputs'!$B$12,1874&lt;=IF('Loan Inputs'!$B$12,'Loan Inputs'!$B$7,0)*'Loan Inputs'!$B$14+0,ISNUMBER(G1879),G1879&gt;0),1874,"")</f>
        <v/>
      </c>
      <c r="B1880" s="4" t="str">
        <f>IF(A1880="","",IF('Loan Inputs'!$B$14=12,DATE(YEAR('Loan Inputs'!$B$8),MONTH('Loan Inputs'!$B$8)+A1880,DAY('Loan Inputs'!$B$8)),'Loan Inputs'!$B$8+A1880*IF('Loan Inputs'!$B$14=26,14,7)))</f>
        <v/>
      </c>
      <c r="C1880" s="2" t="str">
        <f t="shared" si="89"/>
        <v/>
      </c>
      <c r="D1880" s="2" t="str">
        <f>IF(A1880="","",MIN('Loan Inputs'!$B$17,C1880+E1880)+H1880)</f>
        <v/>
      </c>
      <c r="E1880" s="2" t="str">
        <f>IF(A1880="","",C1880*'Loan Inputs'!$B$15)</f>
        <v/>
      </c>
      <c r="F1880" s="2" t="str">
        <f t="shared" si="87"/>
        <v/>
      </c>
      <c r="G1880" s="2" t="str">
        <f t="shared" si="88"/>
        <v/>
      </c>
      <c r="H1880" s="2" t="str">
        <f>IF(A1880="","",MIN(0,MAX(0,C1880+E1880-'Loan Inputs'!$B$17)))</f>
        <v/>
      </c>
    </row>
    <row r="1881" spans="1:8" ht="22" customHeight="1">
      <c r="A1881" s="1" t="str">
        <f>IF(AND('Loan Inputs'!$B$12,1875&lt;=IF('Loan Inputs'!$B$12,'Loan Inputs'!$B$7,0)*'Loan Inputs'!$B$14+0,ISNUMBER(G1880),G1880&gt;0),1875,"")</f>
        <v/>
      </c>
      <c r="B1881" s="4" t="str">
        <f>IF(A1881="","",IF('Loan Inputs'!$B$14=12,DATE(YEAR('Loan Inputs'!$B$8),MONTH('Loan Inputs'!$B$8)+A1881,DAY('Loan Inputs'!$B$8)),'Loan Inputs'!$B$8+A1881*IF('Loan Inputs'!$B$14=26,14,7)))</f>
        <v/>
      </c>
      <c r="C1881" s="2" t="str">
        <f t="shared" si="89"/>
        <v/>
      </c>
      <c r="D1881" s="2" t="str">
        <f>IF(A1881="","",MIN('Loan Inputs'!$B$17,C1881+E1881)+H1881)</f>
        <v/>
      </c>
      <c r="E1881" s="2" t="str">
        <f>IF(A1881="","",C1881*'Loan Inputs'!$B$15)</f>
        <v/>
      </c>
      <c r="F1881" s="2" t="str">
        <f t="shared" si="87"/>
        <v/>
      </c>
      <c r="G1881" s="2" t="str">
        <f t="shared" si="88"/>
        <v/>
      </c>
      <c r="H1881" s="2" t="str">
        <f>IF(A1881="","",MIN(0,MAX(0,C1881+E1881-'Loan Inputs'!$B$17)))</f>
        <v/>
      </c>
    </row>
    <row r="1882" spans="1:8" ht="22" customHeight="1">
      <c r="A1882" s="1" t="str">
        <f>IF(AND('Loan Inputs'!$B$12,1876&lt;=IF('Loan Inputs'!$B$12,'Loan Inputs'!$B$7,0)*'Loan Inputs'!$B$14+0,ISNUMBER(G1881),G1881&gt;0),1876,"")</f>
        <v/>
      </c>
      <c r="B1882" s="4" t="str">
        <f>IF(A1882="","",IF('Loan Inputs'!$B$14=12,DATE(YEAR('Loan Inputs'!$B$8),MONTH('Loan Inputs'!$B$8)+A1882,DAY('Loan Inputs'!$B$8)),'Loan Inputs'!$B$8+A1882*IF('Loan Inputs'!$B$14=26,14,7)))</f>
        <v/>
      </c>
      <c r="C1882" s="2" t="str">
        <f t="shared" si="89"/>
        <v/>
      </c>
      <c r="D1882" s="2" t="str">
        <f>IF(A1882="","",MIN('Loan Inputs'!$B$17,C1882+E1882)+H1882)</f>
        <v/>
      </c>
      <c r="E1882" s="2" t="str">
        <f>IF(A1882="","",C1882*'Loan Inputs'!$B$15)</f>
        <v/>
      </c>
      <c r="F1882" s="2" t="str">
        <f t="shared" si="87"/>
        <v/>
      </c>
      <c r="G1882" s="2" t="str">
        <f t="shared" si="88"/>
        <v/>
      </c>
      <c r="H1882" s="2" t="str">
        <f>IF(A1882="","",MIN(0,MAX(0,C1882+E1882-'Loan Inputs'!$B$17)))</f>
        <v/>
      </c>
    </row>
    <row r="1883" spans="1:8" ht="22" customHeight="1">
      <c r="A1883" s="1" t="str">
        <f>IF(AND('Loan Inputs'!$B$12,1877&lt;=IF('Loan Inputs'!$B$12,'Loan Inputs'!$B$7,0)*'Loan Inputs'!$B$14+0,ISNUMBER(G1882),G1882&gt;0),1877,"")</f>
        <v/>
      </c>
      <c r="B1883" s="4" t="str">
        <f>IF(A1883="","",IF('Loan Inputs'!$B$14=12,DATE(YEAR('Loan Inputs'!$B$8),MONTH('Loan Inputs'!$B$8)+A1883,DAY('Loan Inputs'!$B$8)),'Loan Inputs'!$B$8+A1883*IF('Loan Inputs'!$B$14=26,14,7)))</f>
        <v/>
      </c>
      <c r="C1883" s="2" t="str">
        <f t="shared" si="89"/>
        <v/>
      </c>
      <c r="D1883" s="2" t="str">
        <f>IF(A1883="","",MIN('Loan Inputs'!$B$17,C1883+E1883)+H1883)</f>
        <v/>
      </c>
      <c r="E1883" s="2" t="str">
        <f>IF(A1883="","",C1883*'Loan Inputs'!$B$15)</f>
        <v/>
      </c>
      <c r="F1883" s="2" t="str">
        <f t="shared" si="87"/>
        <v/>
      </c>
      <c r="G1883" s="2" t="str">
        <f t="shared" si="88"/>
        <v/>
      </c>
      <c r="H1883" s="2" t="str">
        <f>IF(A1883="","",MIN(0,MAX(0,C1883+E1883-'Loan Inputs'!$B$17)))</f>
        <v/>
      </c>
    </row>
    <row r="1884" spans="1:8" ht="22" customHeight="1">
      <c r="A1884" s="1" t="str">
        <f>IF(AND('Loan Inputs'!$B$12,1878&lt;=IF('Loan Inputs'!$B$12,'Loan Inputs'!$B$7,0)*'Loan Inputs'!$B$14+0,ISNUMBER(G1883),G1883&gt;0),1878,"")</f>
        <v/>
      </c>
      <c r="B1884" s="4" t="str">
        <f>IF(A1884="","",IF('Loan Inputs'!$B$14=12,DATE(YEAR('Loan Inputs'!$B$8),MONTH('Loan Inputs'!$B$8)+A1884,DAY('Loan Inputs'!$B$8)),'Loan Inputs'!$B$8+A1884*IF('Loan Inputs'!$B$14=26,14,7)))</f>
        <v/>
      </c>
      <c r="C1884" s="2" t="str">
        <f t="shared" si="89"/>
        <v/>
      </c>
      <c r="D1884" s="2" t="str">
        <f>IF(A1884="","",MIN('Loan Inputs'!$B$17,C1884+E1884)+H1884)</f>
        <v/>
      </c>
      <c r="E1884" s="2" t="str">
        <f>IF(A1884="","",C1884*'Loan Inputs'!$B$15)</f>
        <v/>
      </c>
      <c r="F1884" s="2" t="str">
        <f t="shared" si="87"/>
        <v/>
      </c>
      <c r="G1884" s="2" t="str">
        <f t="shared" si="88"/>
        <v/>
      </c>
      <c r="H1884" s="2" t="str">
        <f>IF(A1884="","",MIN(0,MAX(0,C1884+E1884-'Loan Inputs'!$B$17)))</f>
        <v/>
      </c>
    </row>
    <row r="1885" spans="1:8" ht="22" customHeight="1">
      <c r="A1885" s="1" t="str">
        <f>IF(AND('Loan Inputs'!$B$12,1879&lt;=IF('Loan Inputs'!$B$12,'Loan Inputs'!$B$7,0)*'Loan Inputs'!$B$14+0,ISNUMBER(G1884),G1884&gt;0),1879,"")</f>
        <v/>
      </c>
      <c r="B1885" s="4" t="str">
        <f>IF(A1885="","",IF('Loan Inputs'!$B$14=12,DATE(YEAR('Loan Inputs'!$B$8),MONTH('Loan Inputs'!$B$8)+A1885,DAY('Loan Inputs'!$B$8)),'Loan Inputs'!$B$8+A1885*IF('Loan Inputs'!$B$14=26,14,7)))</f>
        <v/>
      </c>
      <c r="C1885" s="2" t="str">
        <f t="shared" si="89"/>
        <v/>
      </c>
      <c r="D1885" s="2" t="str">
        <f>IF(A1885="","",MIN('Loan Inputs'!$B$17,C1885+E1885)+H1885)</f>
        <v/>
      </c>
      <c r="E1885" s="2" t="str">
        <f>IF(A1885="","",C1885*'Loan Inputs'!$B$15)</f>
        <v/>
      </c>
      <c r="F1885" s="2" t="str">
        <f t="shared" si="87"/>
        <v/>
      </c>
      <c r="G1885" s="2" t="str">
        <f t="shared" si="88"/>
        <v/>
      </c>
      <c r="H1885" s="2" t="str">
        <f>IF(A1885="","",MIN(0,MAX(0,C1885+E1885-'Loan Inputs'!$B$17)))</f>
        <v/>
      </c>
    </row>
    <row r="1886" spans="1:8" ht="22" customHeight="1">
      <c r="A1886" s="1" t="str">
        <f>IF(AND('Loan Inputs'!$B$12,1880&lt;=IF('Loan Inputs'!$B$12,'Loan Inputs'!$B$7,0)*'Loan Inputs'!$B$14+0,ISNUMBER(G1885),G1885&gt;0),1880,"")</f>
        <v/>
      </c>
      <c r="B1886" s="4" t="str">
        <f>IF(A1886="","",IF('Loan Inputs'!$B$14=12,DATE(YEAR('Loan Inputs'!$B$8),MONTH('Loan Inputs'!$B$8)+A1886,DAY('Loan Inputs'!$B$8)),'Loan Inputs'!$B$8+A1886*IF('Loan Inputs'!$B$14=26,14,7)))</f>
        <v/>
      </c>
      <c r="C1886" s="2" t="str">
        <f t="shared" si="89"/>
        <v/>
      </c>
      <c r="D1886" s="2" t="str">
        <f>IF(A1886="","",MIN('Loan Inputs'!$B$17,C1886+E1886)+H1886)</f>
        <v/>
      </c>
      <c r="E1886" s="2" t="str">
        <f>IF(A1886="","",C1886*'Loan Inputs'!$B$15)</f>
        <v/>
      </c>
      <c r="F1886" s="2" t="str">
        <f t="shared" si="87"/>
        <v/>
      </c>
      <c r="G1886" s="2" t="str">
        <f t="shared" si="88"/>
        <v/>
      </c>
      <c r="H1886" s="2" t="str">
        <f>IF(A1886="","",MIN(0,MAX(0,C1886+E1886-'Loan Inputs'!$B$17)))</f>
        <v/>
      </c>
    </row>
    <row r="1887" spans="1:8" ht="22" customHeight="1">
      <c r="A1887" s="1" t="str">
        <f>IF(AND('Loan Inputs'!$B$12,1881&lt;=IF('Loan Inputs'!$B$12,'Loan Inputs'!$B$7,0)*'Loan Inputs'!$B$14+0,ISNUMBER(G1886),G1886&gt;0),1881,"")</f>
        <v/>
      </c>
      <c r="B1887" s="4" t="str">
        <f>IF(A1887="","",IF('Loan Inputs'!$B$14=12,DATE(YEAR('Loan Inputs'!$B$8),MONTH('Loan Inputs'!$B$8)+A1887,DAY('Loan Inputs'!$B$8)),'Loan Inputs'!$B$8+A1887*IF('Loan Inputs'!$B$14=26,14,7)))</f>
        <v/>
      </c>
      <c r="C1887" s="2" t="str">
        <f t="shared" si="89"/>
        <v/>
      </c>
      <c r="D1887" s="2" t="str">
        <f>IF(A1887="","",MIN('Loan Inputs'!$B$17,C1887+E1887)+H1887)</f>
        <v/>
      </c>
      <c r="E1887" s="2" t="str">
        <f>IF(A1887="","",C1887*'Loan Inputs'!$B$15)</f>
        <v/>
      </c>
      <c r="F1887" s="2" t="str">
        <f t="shared" si="87"/>
        <v/>
      </c>
      <c r="G1887" s="2" t="str">
        <f t="shared" si="88"/>
        <v/>
      </c>
      <c r="H1887" s="2" t="str">
        <f>IF(A1887="","",MIN(0,MAX(0,C1887+E1887-'Loan Inputs'!$B$17)))</f>
        <v/>
      </c>
    </row>
    <row r="1888" spans="1:8" ht="22" customHeight="1">
      <c r="A1888" s="1" t="str">
        <f>IF(AND('Loan Inputs'!$B$12,1882&lt;=IF('Loan Inputs'!$B$12,'Loan Inputs'!$B$7,0)*'Loan Inputs'!$B$14+0,ISNUMBER(G1887),G1887&gt;0),1882,"")</f>
        <v/>
      </c>
      <c r="B1888" s="4" t="str">
        <f>IF(A1888="","",IF('Loan Inputs'!$B$14=12,DATE(YEAR('Loan Inputs'!$B$8),MONTH('Loan Inputs'!$B$8)+A1888,DAY('Loan Inputs'!$B$8)),'Loan Inputs'!$B$8+A1888*IF('Loan Inputs'!$B$14=26,14,7)))</f>
        <v/>
      </c>
      <c r="C1888" s="2" t="str">
        <f t="shared" si="89"/>
        <v/>
      </c>
      <c r="D1888" s="2" t="str">
        <f>IF(A1888="","",MIN('Loan Inputs'!$B$17,C1888+E1888)+H1888)</f>
        <v/>
      </c>
      <c r="E1888" s="2" t="str">
        <f>IF(A1888="","",C1888*'Loan Inputs'!$B$15)</f>
        <v/>
      </c>
      <c r="F1888" s="2" t="str">
        <f t="shared" si="87"/>
        <v/>
      </c>
      <c r="G1888" s="2" t="str">
        <f t="shared" si="88"/>
        <v/>
      </c>
      <c r="H1888" s="2" t="str">
        <f>IF(A1888="","",MIN(0,MAX(0,C1888+E1888-'Loan Inputs'!$B$17)))</f>
        <v/>
      </c>
    </row>
    <row r="1889" spans="1:8" ht="22" customHeight="1">
      <c r="A1889" s="1" t="str">
        <f>IF(AND('Loan Inputs'!$B$12,1883&lt;=IF('Loan Inputs'!$B$12,'Loan Inputs'!$B$7,0)*'Loan Inputs'!$B$14+0,ISNUMBER(G1888),G1888&gt;0),1883,"")</f>
        <v/>
      </c>
      <c r="B1889" s="4" t="str">
        <f>IF(A1889="","",IF('Loan Inputs'!$B$14=12,DATE(YEAR('Loan Inputs'!$B$8),MONTH('Loan Inputs'!$B$8)+A1889,DAY('Loan Inputs'!$B$8)),'Loan Inputs'!$B$8+A1889*IF('Loan Inputs'!$B$14=26,14,7)))</f>
        <v/>
      </c>
      <c r="C1889" s="2" t="str">
        <f t="shared" si="89"/>
        <v/>
      </c>
      <c r="D1889" s="2" t="str">
        <f>IF(A1889="","",MIN('Loan Inputs'!$B$17,C1889+E1889)+H1889)</f>
        <v/>
      </c>
      <c r="E1889" s="2" t="str">
        <f>IF(A1889="","",C1889*'Loan Inputs'!$B$15)</f>
        <v/>
      </c>
      <c r="F1889" s="2" t="str">
        <f t="shared" si="87"/>
        <v/>
      </c>
      <c r="G1889" s="2" t="str">
        <f t="shared" si="88"/>
        <v/>
      </c>
      <c r="H1889" s="2" t="str">
        <f>IF(A1889="","",MIN(0,MAX(0,C1889+E1889-'Loan Inputs'!$B$17)))</f>
        <v/>
      </c>
    </row>
    <row r="1890" spans="1:8" ht="22" customHeight="1">
      <c r="A1890" s="1" t="str">
        <f>IF(AND('Loan Inputs'!$B$12,1884&lt;=IF('Loan Inputs'!$B$12,'Loan Inputs'!$B$7,0)*'Loan Inputs'!$B$14+0,ISNUMBER(G1889),G1889&gt;0),1884,"")</f>
        <v/>
      </c>
      <c r="B1890" s="4" t="str">
        <f>IF(A1890="","",IF('Loan Inputs'!$B$14=12,DATE(YEAR('Loan Inputs'!$B$8),MONTH('Loan Inputs'!$B$8)+A1890,DAY('Loan Inputs'!$B$8)),'Loan Inputs'!$B$8+A1890*IF('Loan Inputs'!$B$14=26,14,7)))</f>
        <v/>
      </c>
      <c r="C1890" s="2" t="str">
        <f t="shared" si="89"/>
        <v/>
      </c>
      <c r="D1890" s="2" t="str">
        <f>IF(A1890="","",MIN('Loan Inputs'!$B$17,C1890+E1890)+H1890)</f>
        <v/>
      </c>
      <c r="E1890" s="2" t="str">
        <f>IF(A1890="","",C1890*'Loan Inputs'!$B$15)</f>
        <v/>
      </c>
      <c r="F1890" s="2" t="str">
        <f t="shared" si="87"/>
        <v/>
      </c>
      <c r="G1890" s="2" t="str">
        <f t="shared" si="88"/>
        <v/>
      </c>
      <c r="H1890" s="2" t="str">
        <f>IF(A1890="","",MIN(0,MAX(0,C1890+E1890-'Loan Inputs'!$B$17)))</f>
        <v/>
      </c>
    </row>
    <row r="1891" spans="1:8" ht="22" customHeight="1">
      <c r="A1891" s="1" t="str">
        <f>IF(AND('Loan Inputs'!$B$12,1885&lt;=IF('Loan Inputs'!$B$12,'Loan Inputs'!$B$7,0)*'Loan Inputs'!$B$14+0,ISNUMBER(G1890),G1890&gt;0),1885,"")</f>
        <v/>
      </c>
      <c r="B1891" s="4" t="str">
        <f>IF(A1891="","",IF('Loan Inputs'!$B$14=12,DATE(YEAR('Loan Inputs'!$B$8),MONTH('Loan Inputs'!$B$8)+A1891,DAY('Loan Inputs'!$B$8)),'Loan Inputs'!$B$8+A1891*IF('Loan Inputs'!$B$14=26,14,7)))</f>
        <v/>
      </c>
      <c r="C1891" s="2" t="str">
        <f t="shared" si="89"/>
        <v/>
      </c>
      <c r="D1891" s="2" t="str">
        <f>IF(A1891="","",MIN('Loan Inputs'!$B$17,C1891+E1891)+H1891)</f>
        <v/>
      </c>
      <c r="E1891" s="2" t="str">
        <f>IF(A1891="","",C1891*'Loan Inputs'!$B$15)</f>
        <v/>
      </c>
      <c r="F1891" s="2" t="str">
        <f t="shared" si="87"/>
        <v/>
      </c>
      <c r="G1891" s="2" t="str">
        <f t="shared" si="88"/>
        <v/>
      </c>
      <c r="H1891" s="2" t="str">
        <f>IF(A1891="","",MIN(0,MAX(0,C1891+E1891-'Loan Inputs'!$B$17)))</f>
        <v/>
      </c>
    </row>
    <row r="1892" spans="1:8" ht="22" customHeight="1">
      <c r="A1892" s="1" t="str">
        <f>IF(AND('Loan Inputs'!$B$12,1886&lt;=IF('Loan Inputs'!$B$12,'Loan Inputs'!$B$7,0)*'Loan Inputs'!$B$14+0,ISNUMBER(G1891),G1891&gt;0),1886,"")</f>
        <v/>
      </c>
      <c r="B1892" s="4" t="str">
        <f>IF(A1892="","",IF('Loan Inputs'!$B$14=12,DATE(YEAR('Loan Inputs'!$B$8),MONTH('Loan Inputs'!$B$8)+A1892,DAY('Loan Inputs'!$B$8)),'Loan Inputs'!$B$8+A1892*IF('Loan Inputs'!$B$14=26,14,7)))</f>
        <v/>
      </c>
      <c r="C1892" s="2" t="str">
        <f t="shared" si="89"/>
        <v/>
      </c>
      <c r="D1892" s="2" t="str">
        <f>IF(A1892="","",MIN('Loan Inputs'!$B$17,C1892+E1892)+H1892)</f>
        <v/>
      </c>
      <c r="E1892" s="2" t="str">
        <f>IF(A1892="","",C1892*'Loan Inputs'!$B$15)</f>
        <v/>
      </c>
      <c r="F1892" s="2" t="str">
        <f t="shared" si="87"/>
        <v/>
      </c>
      <c r="G1892" s="2" t="str">
        <f t="shared" si="88"/>
        <v/>
      </c>
      <c r="H1892" s="2" t="str">
        <f>IF(A1892="","",MIN(0,MAX(0,C1892+E1892-'Loan Inputs'!$B$17)))</f>
        <v/>
      </c>
    </row>
    <row r="1893" spans="1:8" ht="22" customHeight="1">
      <c r="A1893" s="1" t="str">
        <f>IF(AND('Loan Inputs'!$B$12,1887&lt;=IF('Loan Inputs'!$B$12,'Loan Inputs'!$B$7,0)*'Loan Inputs'!$B$14+0,ISNUMBER(G1892),G1892&gt;0),1887,"")</f>
        <v/>
      </c>
      <c r="B1893" s="4" t="str">
        <f>IF(A1893="","",IF('Loan Inputs'!$B$14=12,DATE(YEAR('Loan Inputs'!$B$8),MONTH('Loan Inputs'!$B$8)+A1893,DAY('Loan Inputs'!$B$8)),'Loan Inputs'!$B$8+A1893*IF('Loan Inputs'!$B$14=26,14,7)))</f>
        <v/>
      </c>
      <c r="C1893" s="2" t="str">
        <f t="shared" si="89"/>
        <v/>
      </c>
      <c r="D1893" s="2" t="str">
        <f>IF(A1893="","",MIN('Loan Inputs'!$B$17,C1893+E1893)+H1893)</f>
        <v/>
      </c>
      <c r="E1893" s="2" t="str">
        <f>IF(A1893="","",C1893*'Loan Inputs'!$B$15)</f>
        <v/>
      </c>
      <c r="F1893" s="2" t="str">
        <f t="shared" si="87"/>
        <v/>
      </c>
      <c r="G1893" s="2" t="str">
        <f t="shared" si="88"/>
        <v/>
      </c>
      <c r="H1893" s="2" t="str">
        <f>IF(A1893="","",MIN(0,MAX(0,C1893+E1893-'Loan Inputs'!$B$17)))</f>
        <v/>
      </c>
    </row>
    <row r="1894" spans="1:8" ht="22" customHeight="1">
      <c r="A1894" s="1" t="str">
        <f>IF(AND('Loan Inputs'!$B$12,1888&lt;=IF('Loan Inputs'!$B$12,'Loan Inputs'!$B$7,0)*'Loan Inputs'!$B$14+0,ISNUMBER(G1893),G1893&gt;0),1888,"")</f>
        <v/>
      </c>
      <c r="B1894" s="4" t="str">
        <f>IF(A1894="","",IF('Loan Inputs'!$B$14=12,DATE(YEAR('Loan Inputs'!$B$8),MONTH('Loan Inputs'!$B$8)+A1894,DAY('Loan Inputs'!$B$8)),'Loan Inputs'!$B$8+A1894*IF('Loan Inputs'!$B$14=26,14,7)))</f>
        <v/>
      </c>
      <c r="C1894" s="2" t="str">
        <f t="shared" si="89"/>
        <v/>
      </c>
      <c r="D1894" s="2" t="str">
        <f>IF(A1894="","",MIN('Loan Inputs'!$B$17,C1894+E1894)+H1894)</f>
        <v/>
      </c>
      <c r="E1894" s="2" t="str">
        <f>IF(A1894="","",C1894*'Loan Inputs'!$B$15)</f>
        <v/>
      </c>
      <c r="F1894" s="2" t="str">
        <f t="shared" si="87"/>
        <v/>
      </c>
      <c r="G1894" s="2" t="str">
        <f t="shared" si="88"/>
        <v/>
      </c>
      <c r="H1894" s="2" t="str">
        <f>IF(A1894="","",MIN(0,MAX(0,C1894+E1894-'Loan Inputs'!$B$17)))</f>
        <v/>
      </c>
    </row>
    <row r="1895" spans="1:8" ht="22" customHeight="1">
      <c r="A1895" s="1" t="str">
        <f>IF(AND('Loan Inputs'!$B$12,1889&lt;=IF('Loan Inputs'!$B$12,'Loan Inputs'!$B$7,0)*'Loan Inputs'!$B$14+0,ISNUMBER(G1894),G1894&gt;0),1889,"")</f>
        <v/>
      </c>
      <c r="B1895" s="4" t="str">
        <f>IF(A1895="","",IF('Loan Inputs'!$B$14=12,DATE(YEAR('Loan Inputs'!$B$8),MONTH('Loan Inputs'!$B$8)+A1895,DAY('Loan Inputs'!$B$8)),'Loan Inputs'!$B$8+A1895*IF('Loan Inputs'!$B$14=26,14,7)))</f>
        <v/>
      </c>
      <c r="C1895" s="2" t="str">
        <f t="shared" si="89"/>
        <v/>
      </c>
      <c r="D1895" s="2" t="str">
        <f>IF(A1895="","",MIN('Loan Inputs'!$B$17,C1895+E1895)+H1895)</f>
        <v/>
      </c>
      <c r="E1895" s="2" t="str">
        <f>IF(A1895="","",C1895*'Loan Inputs'!$B$15)</f>
        <v/>
      </c>
      <c r="F1895" s="2" t="str">
        <f t="shared" si="87"/>
        <v/>
      </c>
      <c r="G1895" s="2" t="str">
        <f t="shared" si="88"/>
        <v/>
      </c>
      <c r="H1895" s="2" t="str">
        <f>IF(A1895="","",MIN(0,MAX(0,C1895+E1895-'Loan Inputs'!$B$17)))</f>
        <v/>
      </c>
    </row>
    <row r="1896" spans="1:8" ht="22" customHeight="1">
      <c r="A1896" s="1" t="str">
        <f>IF(AND('Loan Inputs'!$B$12,1890&lt;=IF('Loan Inputs'!$B$12,'Loan Inputs'!$B$7,0)*'Loan Inputs'!$B$14+0,ISNUMBER(G1895),G1895&gt;0),1890,"")</f>
        <v/>
      </c>
      <c r="B1896" s="4" t="str">
        <f>IF(A1896="","",IF('Loan Inputs'!$B$14=12,DATE(YEAR('Loan Inputs'!$B$8),MONTH('Loan Inputs'!$B$8)+A1896,DAY('Loan Inputs'!$B$8)),'Loan Inputs'!$B$8+A1896*IF('Loan Inputs'!$B$14=26,14,7)))</f>
        <v/>
      </c>
      <c r="C1896" s="2" t="str">
        <f t="shared" si="89"/>
        <v/>
      </c>
      <c r="D1896" s="2" t="str">
        <f>IF(A1896="","",MIN('Loan Inputs'!$B$17,C1896+E1896)+H1896)</f>
        <v/>
      </c>
      <c r="E1896" s="2" t="str">
        <f>IF(A1896="","",C1896*'Loan Inputs'!$B$15)</f>
        <v/>
      </c>
      <c r="F1896" s="2" t="str">
        <f t="shared" si="87"/>
        <v/>
      </c>
      <c r="G1896" s="2" t="str">
        <f t="shared" si="88"/>
        <v/>
      </c>
      <c r="H1896" s="2" t="str">
        <f>IF(A1896="","",MIN(0,MAX(0,C1896+E1896-'Loan Inputs'!$B$17)))</f>
        <v/>
      </c>
    </row>
    <row r="1897" spans="1:8" ht="22" customHeight="1">
      <c r="A1897" s="1" t="str">
        <f>IF(AND('Loan Inputs'!$B$12,1891&lt;=IF('Loan Inputs'!$B$12,'Loan Inputs'!$B$7,0)*'Loan Inputs'!$B$14+0,ISNUMBER(G1896),G1896&gt;0),1891,"")</f>
        <v/>
      </c>
      <c r="B1897" s="4" t="str">
        <f>IF(A1897="","",IF('Loan Inputs'!$B$14=12,DATE(YEAR('Loan Inputs'!$B$8),MONTH('Loan Inputs'!$B$8)+A1897,DAY('Loan Inputs'!$B$8)),'Loan Inputs'!$B$8+A1897*IF('Loan Inputs'!$B$14=26,14,7)))</f>
        <v/>
      </c>
      <c r="C1897" s="2" t="str">
        <f t="shared" si="89"/>
        <v/>
      </c>
      <c r="D1897" s="2" t="str">
        <f>IF(A1897="","",MIN('Loan Inputs'!$B$17,C1897+E1897)+H1897)</f>
        <v/>
      </c>
      <c r="E1897" s="2" t="str">
        <f>IF(A1897="","",C1897*'Loan Inputs'!$B$15)</f>
        <v/>
      </c>
      <c r="F1897" s="2" t="str">
        <f t="shared" si="87"/>
        <v/>
      </c>
      <c r="G1897" s="2" t="str">
        <f t="shared" si="88"/>
        <v/>
      </c>
      <c r="H1897" s="2" t="str">
        <f>IF(A1897="","",MIN(0,MAX(0,C1897+E1897-'Loan Inputs'!$B$17)))</f>
        <v/>
      </c>
    </row>
    <row r="1898" spans="1:8" ht="22" customHeight="1">
      <c r="A1898" s="1" t="str">
        <f>IF(AND('Loan Inputs'!$B$12,1892&lt;=IF('Loan Inputs'!$B$12,'Loan Inputs'!$B$7,0)*'Loan Inputs'!$B$14+0,ISNUMBER(G1897),G1897&gt;0),1892,"")</f>
        <v/>
      </c>
      <c r="B1898" s="4" t="str">
        <f>IF(A1898="","",IF('Loan Inputs'!$B$14=12,DATE(YEAR('Loan Inputs'!$B$8),MONTH('Loan Inputs'!$B$8)+A1898,DAY('Loan Inputs'!$B$8)),'Loan Inputs'!$B$8+A1898*IF('Loan Inputs'!$B$14=26,14,7)))</f>
        <v/>
      </c>
      <c r="C1898" s="2" t="str">
        <f t="shared" si="89"/>
        <v/>
      </c>
      <c r="D1898" s="2" t="str">
        <f>IF(A1898="","",MIN('Loan Inputs'!$B$17,C1898+E1898)+H1898)</f>
        <v/>
      </c>
      <c r="E1898" s="2" t="str">
        <f>IF(A1898="","",C1898*'Loan Inputs'!$B$15)</f>
        <v/>
      </c>
      <c r="F1898" s="2" t="str">
        <f t="shared" si="87"/>
        <v/>
      </c>
      <c r="G1898" s="2" t="str">
        <f t="shared" si="88"/>
        <v/>
      </c>
      <c r="H1898" s="2" t="str">
        <f>IF(A1898="","",MIN(0,MAX(0,C1898+E1898-'Loan Inputs'!$B$17)))</f>
        <v/>
      </c>
    </row>
    <row r="1899" spans="1:8" ht="22" customHeight="1">
      <c r="A1899" s="1" t="str">
        <f>IF(AND('Loan Inputs'!$B$12,1893&lt;=IF('Loan Inputs'!$B$12,'Loan Inputs'!$B$7,0)*'Loan Inputs'!$B$14+0,ISNUMBER(G1898),G1898&gt;0),1893,"")</f>
        <v/>
      </c>
      <c r="B1899" s="4" t="str">
        <f>IF(A1899="","",IF('Loan Inputs'!$B$14=12,DATE(YEAR('Loan Inputs'!$B$8),MONTH('Loan Inputs'!$B$8)+A1899,DAY('Loan Inputs'!$B$8)),'Loan Inputs'!$B$8+A1899*IF('Loan Inputs'!$B$14=26,14,7)))</f>
        <v/>
      </c>
      <c r="C1899" s="2" t="str">
        <f t="shared" si="89"/>
        <v/>
      </c>
      <c r="D1899" s="2" t="str">
        <f>IF(A1899="","",MIN('Loan Inputs'!$B$17,C1899+E1899)+H1899)</f>
        <v/>
      </c>
      <c r="E1899" s="2" t="str">
        <f>IF(A1899="","",C1899*'Loan Inputs'!$B$15)</f>
        <v/>
      </c>
      <c r="F1899" s="2" t="str">
        <f t="shared" si="87"/>
        <v/>
      </c>
      <c r="G1899" s="2" t="str">
        <f t="shared" si="88"/>
        <v/>
      </c>
      <c r="H1899" s="2" t="str">
        <f>IF(A1899="","",MIN(0,MAX(0,C1899+E1899-'Loan Inputs'!$B$17)))</f>
        <v/>
      </c>
    </row>
    <row r="1900" spans="1:8" ht="22" customHeight="1">
      <c r="A1900" s="1" t="str">
        <f>IF(AND('Loan Inputs'!$B$12,1894&lt;=IF('Loan Inputs'!$B$12,'Loan Inputs'!$B$7,0)*'Loan Inputs'!$B$14+0,ISNUMBER(G1899),G1899&gt;0),1894,"")</f>
        <v/>
      </c>
      <c r="B1900" s="4" t="str">
        <f>IF(A1900="","",IF('Loan Inputs'!$B$14=12,DATE(YEAR('Loan Inputs'!$B$8),MONTH('Loan Inputs'!$B$8)+A1900,DAY('Loan Inputs'!$B$8)),'Loan Inputs'!$B$8+A1900*IF('Loan Inputs'!$B$14=26,14,7)))</f>
        <v/>
      </c>
      <c r="C1900" s="2" t="str">
        <f t="shared" si="89"/>
        <v/>
      </c>
      <c r="D1900" s="2" t="str">
        <f>IF(A1900="","",MIN('Loan Inputs'!$B$17,C1900+E1900)+H1900)</f>
        <v/>
      </c>
      <c r="E1900" s="2" t="str">
        <f>IF(A1900="","",C1900*'Loan Inputs'!$B$15)</f>
        <v/>
      </c>
      <c r="F1900" s="2" t="str">
        <f t="shared" si="87"/>
        <v/>
      </c>
      <c r="G1900" s="2" t="str">
        <f t="shared" si="88"/>
        <v/>
      </c>
      <c r="H1900" s="2" t="str">
        <f>IF(A1900="","",MIN(0,MAX(0,C1900+E1900-'Loan Inputs'!$B$17)))</f>
        <v/>
      </c>
    </row>
    <row r="1901" spans="1:8" ht="22" customHeight="1">
      <c r="A1901" s="1" t="str">
        <f>IF(AND('Loan Inputs'!$B$12,1895&lt;=IF('Loan Inputs'!$B$12,'Loan Inputs'!$B$7,0)*'Loan Inputs'!$B$14+0,ISNUMBER(G1900),G1900&gt;0),1895,"")</f>
        <v/>
      </c>
      <c r="B1901" s="4" t="str">
        <f>IF(A1901="","",IF('Loan Inputs'!$B$14=12,DATE(YEAR('Loan Inputs'!$B$8),MONTH('Loan Inputs'!$B$8)+A1901,DAY('Loan Inputs'!$B$8)),'Loan Inputs'!$B$8+A1901*IF('Loan Inputs'!$B$14=26,14,7)))</f>
        <v/>
      </c>
      <c r="C1901" s="2" t="str">
        <f t="shared" si="89"/>
        <v/>
      </c>
      <c r="D1901" s="2" t="str">
        <f>IF(A1901="","",MIN('Loan Inputs'!$B$17,C1901+E1901)+H1901)</f>
        <v/>
      </c>
      <c r="E1901" s="2" t="str">
        <f>IF(A1901="","",C1901*'Loan Inputs'!$B$15)</f>
        <v/>
      </c>
      <c r="F1901" s="2" t="str">
        <f t="shared" si="87"/>
        <v/>
      </c>
      <c r="G1901" s="2" t="str">
        <f t="shared" si="88"/>
        <v/>
      </c>
      <c r="H1901" s="2" t="str">
        <f>IF(A1901="","",MIN(0,MAX(0,C1901+E1901-'Loan Inputs'!$B$17)))</f>
        <v/>
      </c>
    </row>
    <row r="1902" spans="1:8" ht="22" customHeight="1">
      <c r="A1902" s="1" t="str">
        <f>IF(AND('Loan Inputs'!$B$12,1896&lt;=IF('Loan Inputs'!$B$12,'Loan Inputs'!$B$7,0)*'Loan Inputs'!$B$14+0,ISNUMBER(G1901),G1901&gt;0),1896,"")</f>
        <v/>
      </c>
      <c r="B1902" s="4" t="str">
        <f>IF(A1902="","",IF('Loan Inputs'!$B$14=12,DATE(YEAR('Loan Inputs'!$B$8),MONTH('Loan Inputs'!$B$8)+A1902,DAY('Loan Inputs'!$B$8)),'Loan Inputs'!$B$8+A1902*IF('Loan Inputs'!$B$14=26,14,7)))</f>
        <v/>
      </c>
      <c r="C1902" s="2" t="str">
        <f t="shared" si="89"/>
        <v/>
      </c>
      <c r="D1902" s="2" t="str">
        <f>IF(A1902="","",MIN('Loan Inputs'!$B$17,C1902+E1902)+H1902)</f>
        <v/>
      </c>
      <c r="E1902" s="2" t="str">
        <f>IF(A1902="","",C1902*'Loan Inputs'!$B$15)</f>
        <v/>
      </c>
      <c r="F1902" s="2" t="str">
        <f t="shared" si="87"/>
        <v/>
      </c>
      <c r="G1902" s="2" t="str">
        <f t="shared" si="88"/>
        <v/>
      </c>
      <c r="H1902" s="2" t="str">
        <f>IF(A1902="","",MIN(0,MAX(0,C1902+E1902-'Loan Inputs'!$B$17)))</f>
        <v/>
      </c>
    </row>
    <row r="1903" spans="1:8" ht="22" customHeight="1">
      <c r="A1903" s="1" t="str">
        <f>IF(AND('Loan Inputs'!$B$12,1897&lt;=IF('Loan Inputs'!$B$12,'Loan Inputs'!$B$7,0)*'Loan Inputs'!$B$14+0,ISNUMBER(G1902),G1902&gt;0),1897,"")</f>
        <v/>
      </c>
      <c r="B1903" s="4" t="str">
        <f>IF(A1903="","",IF('Loan Inputs'!$B$14=12,DATE(YEAR('Loan Inputs'!$B$8),MONTH('Loan Inputs'!$B$8)+A1903,DAY('Loan Inputs'!$B$8)),'Loan Inputs'!$B$8+A1903*IF('Loan Inputs'!$B$14=26,14,7)))</f>
        <v/>
      </c>
      <c r="C1903" s="2" t="str">
        <f t="shared" si="89"/>
        <v/>
      </c>
      <c r="D1903" s="2" t="str">
        <f>IF(A1903="","",MIN('Loan Inputs'!$B$17,C1903+E1903)+H1903)</f>
        <v/>
      </c>
      <c r="E1903" s="2" t="str">
        <f>IF(A1903="","",C1903*'Loan Inputs'!$B$15)</f>
        <v/>
      </c>
      <c r="F1903" s="2" t="str">
        <f t="shared" si="87"/>
        <v/>
      </c>
      <c r="G1903" s="2" t="str">
        <f t="shared" si="88"/>
        <v/>
      </c>
      <c r="H1903" s="2" t="str">
        <f>IF(A1903="","",MIN(0,MAX(0,C1903+E1903-'Loan Inputs'!$B$17)))</f>
        <v/>
      </c>
    </row>
    <row r="1904" spans="1:8" ht="22" customHeight="1">
      <c r="A1904" s="1" t="str">
        <f>IF(AND('Loan Inputs'!$B$12,1898&lt;=IF('Loan Inputs'!$B$12,'Loan Inputs'!$B$7,0)*'Loan Inputs'!$B$14+0,ISNUMBER(G1903),G1903&gt;0),1898,"")</f>
        <v/>
      </c>
      <c r="B1904" s="4" t="str">
        <f>IF(A1904="","",IF('Loan Inputs'!$B$14=12,DATE(YEAR('Loan Inputs'!$B$8),MONTH('Loan Inputs'!$B$8)+A1904,DAY('Loan Inputs'!$B$8)),'Loan Inputs'!$B$8+A1904*IF('Loan Inputs'!$B$14=26,14,7)))</f>
        <v/>
      </c>
      <c r="C1904" s="2" t="str">
        <f t="shared" si="89"/>
        <v/>
      </c>
      <c r="D1904" s="2" t="str">
        <f>IF(A1904="","",MIN('Loan Inputs'!$B$17,C1904+E1904)+H1904)</f>
        <v/>
      </c>
      <c r="E1904" s="2" t="str">
        <f>IF(A1904="","",C1904*'Loan Inputs'!$B$15)</f>
        <v/>
      </c>
      <c r="F1904" s="2" t="str">
        <f t="shared" si="87"/>
        <v/>
      </c>
      <c r="G1904" s="2" t="str">
        <f t="shared" si="88"/>
        <v/>
      </c>
      <c r="H1904" s="2" t="str">
        <f>IF(A1904="","",MIN(0,MAX(0,C1904+E1904-'Loan Inputs'!$B$17)))</f>
        <v/>
      </c>
    </row>
    <row r="1905" spans="1:8" ht="22" customHeight="1">
      <c r="A1905" s="1" t="str">
        <f>IF(AND('Loan Inputs'!$B$12,1899&lt;=IF('Loan Inputs'!$B$12,'Loan Inputs'!$B$7,0)*'Loan Inputs'!$B$14+0,ISNUMBER(G1904),G1904&gt;0),1899,"")</f>
        <v/>
      </c>
      <c r="B1905" s="4" t="str">
        <f>IF(A1905="","",IF('Loan Inputs'!$B$14=12,DATE(YEAR('Loan Inputs'!$B$8),MONTH('Loan Inputs'!$B$8)+A1905,DAY('Loan Inputs'!$B$8)),'Loan Inputs'!$B$8+A1905*IF('Loan Inputs'!$B$14=26,14,7)))</f>
        <v/>
      </c>
      <c r="C1905" s="2" t="str">
        <f t="shared" si="89"/>
        <v/>
      </c>
      <c r="D1905" s="2" t="str">
        <f>IF(A1905="","",MIN('Loan Inputs'!$B$17,C1905+E1905)+H1905)</f>
        <v/>
      </c>
      <c r="E1905" s="2" t="str">
        <f>IF(A1905="","",C1905*'Loan Inputs'!$B$15)</f>
        <v/>
      </c>
      <c r="F1905" s="2" t="str">
        <f t="shared" si="87"/>
        <v/>
      </c>
      <c r="G1905" s="2" t="str">
        <f t="shared" si="88"/>
        <v/>
      </c>
      <c r="H1905" s="2" t="str">
        <f>IF(A1905="","",MIN(0,MAX(0,C1905+E1905-'Loan Inputs'!$B$17)))</f>
        <v/>
      </c>
    </row>
    <row r="1906" spans="1:8" ht="22" customHeight="1">
      <c r="A1906" s="1" t="str">
        <f>IF(AND('Loan Inputs'!$B$12,1900&lt;=IF('Loan Inputs'!$B$12,'Loan Inputs'!$B$7,0)*'Loan Inputs'!$B$14+0,ISNUMBER(G1905),G1905&gt;0),1900,"")</f>
        <v/>
      </c>
      <c r="B1906" s="4" t="str">
        <f>IF(A1906="","",IF('Loan Inputs'!$B$14=12,DATE(YEAR('Loan Inputs'!$B$8),MONTH('Loan Inputs'!$B$8)+A1906,DAY('Loan Inputs'!$B$8)),'Loan Inputs'!$B$8+A1906*IF('Loan Inputs'!$B$14=26,14,7)))</f>
        <v/>
      </c>
      <c r="C1906" s="2" t="str">
        <f t="shared" si="89"/>
        <v/>
      </c>
      <c r="D1906" s="2" t="str">
        <f>IF(A1906="","",MIN('Loan Inputs'!$B$17,C1906+E1906)+H1906)</f>
        <v/>
      </c>
      <c r="E1906" s="2" t="str">
        <f>IF(A1906="","",C1906*'Loan Inputs'!$B$15)</f>
        <v/>
      </c>
      <c r="F1906" s="2" t="str">
        <f t="shared" si="87"/>
        <v/>
      </c>
      <c r="G1906" s="2" t="str">
        <f t="shared" si="88"/>
        <v/>
      </c>
      <c r="H1906" s="2" t="str">
        <f>IF(A1906="","",MIN(0,MAX(0,C1906+E1906-'Loan Inputs'!$B$17)))</f>
        <v/>
      </c>
    </row>
    <row r="1907" spans="1:8" ht="22" customHeight="1">
      <c r="A1907" s="1" t="str">
        <f>IF(AND('Loan Inputs'!$B$12,1901&lt;=IF('Loan Inputs'!$B$12,'Loan Inputs'!$B$7,0)*'Loan Inputs'!$B$14+0,ISNUMBER(G1906),G1906&gt;0),1901,"")</f>
        <v/>
      </c>
      <c r="B1907" s="4" t="str">
        <f>IF(A1907="","",IF('Loan Inputs'!$B$14=12,DATE(YEAR('Loan Inputs'!$B$8),MONTH('Loan Inputs'!$B$8)+A1907,DAY('Loan Inputs'!$B$8)),'Loan Inputs'!$B$8+A1907*IF('Loan Inputs'!$B$14=26,14,7)))</f>
        <v/>
      </c>
      <c r="C1907" s="2" t="str">
        <f t="shared" si="89"/>
        <v/>
      </c>
      <c r="D1907" s="2" t="str">
        <f>IF(A1907="","",MIN('Loan Inputs'!$B$17,C1907+E1907)+H1907)</f>
        <v/>
      </c>
      <c r="E1907" s="2" t="str">
        <f>IF(A1907="","",C1907*'Loan Inputs'!$B$15)</f>
        <v/>
      </c>
      <c r="F1907" s="2" t="str">
        <f t="shared" si="87"/>
        <v/>
      </c>
      <c r="G1907" s="2" t="str">
        <f t="shared" si="88"/>
        <v/>
      </c>
      <c r="H1907" s="2" t="str">
        <f>IF(A1907="","",MIN(0,MAX(0,C1907+E1907-'Loan Inputs'!$B$17)))</f>
        <v/>
      </c>
    </row>
    <row r="1908" spans="1:8" ht="22" customHeight="1">
      <c r="A1908" s="1" t="str">
        <f>IF(AND('Loan Inputs'!$B$12,1902&lt;=IF('Loan Inputs'!$B$12,'Loan Inputs'!$B$7,0)*'Loan Inputs'!$B$14+0,ISNUMBER(G1907),G1907&gt;0),1902,"")</f>
        <v/>
      </c>
      <c r="B1908" s="4" t="str">
        <f>IF(A1908="","",IF('Loan Inputs'!$B$14=12,DATE(YEAR('Loan Inputs'!$B$8),MONTH('Loan Inputs'!$B$8)+A1908,DAY('Loan Inputs'!$B$8)),'Loan Inputs'!$B$8+A1908*IF('Loan Inputs'!$B$14=26,14,7)))</f>
        <v/>
      </c>
      <c r="C1908" s="2" t="str">
        <f t="shared" si="89"/>
        <v/>
      </c>
      <c r="D1908" s="2" t="str">
        <f>IF(A1908="","",MIN('Loan Inputs'!$B$17,C1908+E1908)+H1908)</f>
        <v/>
      </c>
      <c r="E1908" s="2" t="str">
        <f>IF(A1908="","",C1908*'Loan Inputs'!$B$15)</f>
        <v/>
      </c>
      <c r="F1908" s="2" t="str">
        <f t="shared" si="87"/>
        <v/>
      </c>
      <c r="G1908" s="2" t="str">
        <f t="shared" si="88"/>
        <v/>
      </c>
      <c r="H1908" s="2" t="str">
        <f>IF(A1908="","",MIN(0,MAX(0,C1908+E1908-'Loan Inputs'!$B$17)))</f>
        <v/>
      </c>
    </row>
    <row r="1909" spans="1:8" ht="22" customHeight="1">
      <c r="A1909" s="1" t="str">
        <f>IF(AND('Loan Inputs'!$B$12,1903&lt;=IF('Loan Inputs'!$B$12,'Loan Inputs'!$B$7,0)*'Loan Inputs'!$B$14+0,ISNUMBER(G1908),G1908&gt;0),1903,"")</f>
        <v/>
      </c>
      <c r="B1909" s="4" t="str">
        <f>IF(A1909="","",IF('Loan Inputs'!$B$14=12,DATE(YEAR('Loan Inputs'!$B$8),MONTH('Loan Inputs'!$B$8)+A1909,DAY('Loan Inputs'!$B$8)),'Loan Inputs'!$B$8+A1909*IF('Loan Inputs'!$B$14=26,14,7)))</f>
        <v/>
      </c>
      <c r="C1909" s="2" t="str">
        <f t="shared" si="89"/>
        <v/>
      </c>
      <c r="D1909" s="2" t="str">
        <f>IF(A1909="","",MIN('Loan Inputs'!$B$17,C1909+E1909)+H1909)</f>
        <v/>
      </c>
      <c r="E1909" s="2" t="str">
        <f>IF(A1909="","",C1909*'Loan Inputs'!$B$15)</f>
        <v/>
      </c>
      <c r="F1909" s="2" t="str">
        <f t="shared" si="87"/>
        <v/>
      </c>
      <c r="G1909" s="2" t="str">
        <f t="shared" si="88"/>
        <v/>
      </c>
      <c r="H1909" s="2" t="str">
        <f>IF(A1909="","",MIN(0,MAX(0,C1909+E1909-'Loan Inputs'!$B$17)))</f>
        <v/>
      </c>
    </row>
    <row r="1910" spans="1:8" ht="22" customHeight="1">
      <c r="A1910" s="1" t="str">
        <f>IF(AND('Loan Inputs'!$B$12,1904&lt;=IF('Loan Inputs'!$B$12,'Loan Inputs'!$B$7,0)*'Loan Inputs'!$B$14+0,ISNUMBER(G1909),G1909&gt;0),1904,"")</f>
        <v/>
      </c>
      <c r="B1910" s="4" t="str">
        <f>IF(A1910="","",IF('Loan Inputs'!$B$14=12,DATE(YEAR('Loan Inputs'!$B$8),MONTH('Loan Inputs'!$B$8)+A1910,DAY('Loan Inputs'!$B$8)),'Loan Inputs'!$B$8+A1910*IF('Loan Inputs'!$B$14=26,14,7)))</f>
        <v/>
      </c>
      <c r="C1910" s="2" t="str">
        <f t="shared" si="89"/>
        <v/>
      </c>
      <c r="D1910" s="2" t="str">
        <f>IF(A1910="","",MIN('Loan Inputs'!$B$17,C1910+E1910)+H1910)</f>
        <v/>
      </c>
      <c r="E1910" s="2" t="str">
        <f>IF(A1910="","",C1910*'Loan Inputs'!$B$15)</f>
        <v/>
      </c>
      <c r="F1910" s="2" t="str">
        <f t="shared" si="87"/>
        <v/>
      </c>
      <c r="G1910" s="2" t="str">
        <f t="shared" si="88"/>
        <v/>
      </c>
      <c r="H1910" s="2" t="str">
        <f>IF(A1910="","",MIN(0,MAX(0,C1910+E1910-'Loan Inputs'!$B$17)))</f>
        <v/>
      </c>
    </row>
    <row r="1911" spans="1:8" ht="22" customHeight="1">
      <c r="A1911" s="1" t="str">
        <f>IF(AND('Loan Inputs'!$B$12,1905&lt;=IF('Loan Inputs'!$B$12,'Loan Inputs'!$B$7,0)*'Loan Inputs'!$B$14+0,ISNUMBER(G1910),G1910&gt;0),1905,"")</f>
        <v/>
      </c>
      <c r="B1911" s="4" t="str">
        <f>IF(A1911="","",IF('Loan Inputs'!$B$14=12,DATE(YEAR('Loan Inputs'!$B$8),MONTH('Loan Inputs'!$B$8)+A1911,DAY('Loan Inputs'!$B$8)),'Loan Inputs'!$B$8+A1911*IF('Loan Inputs'!$B$14=26,14,7)))</f>
        <v/>
      </c>
      <c r="C1911" s="2" t="str">
        <f t="shared" si="89"/>
        <v/>
      </c>
      <c r="D1911" s="2" t="str">
        <f>IF(A1911="","",MIN('Loan Inputs'!$B$17,C1911+E1911)+H1911)</f>
        <v/>
      </c>
      <c r="E1911" s="2" t="str">
        <f>IF(A1911="","",C1911*'Loan Inputs'!$B$15)</f>
        <v/>
      </c>
      <c r="F1911" s="2" t="str">
        <f t="shared" si="87"/>
        <v/>
      </c>
      <c r="G1911" s="2" t="str">
        <f t="shared" si="88"/>
        <v/>
      </c>
      <c r="H1911" s="2" t="str">
        <f>IF(A1911="","",MIN(0,MAX(0,C1911+E1911-'Loan Inputs'!$B$17)))</f>
        <v/>
      </c>
    </row>
    <row r="1912" spans="1:8" ht="22" customHeight="1">
      <c r="A1912" s="1" t="str">
        <f>IF(AND('Loan Inputs'!$B$12,1906&lt;=IF('Loan Inputs'!$B$12,'Loan Inputs'!$B$7,0)*'Loan Inputs'!$B$14+0,ISNUMBER(G1911),G1911&gt;0),1906,"")</f>
        <v/>
      </c>
      <c r="B1912" s="4" t="str">
        <f>IF(A1912="","",IF('Loan Inputs'!$B$14=12,DATE(YEAR('Loan Inputs'!$B$8),MONTH('Loan Inputs'!$B$8)+A1912,DAY('Loan Inputs'!$B$8)),'Loan Inputs'!$B$8+A1912*IF('Loan Inputs'!$B$14=26,14,7)))</f>
        <v/>
      </c>
      <c r="C1912" s="2" t="str">
        <f t="shared" si="89"/>
        <v/>
      </c>
      <c r="D1912" s="2" t="str">
        <f>IF(A1912="","",MIN('Loan Inputs'!$B$17,C1912+E1912)+H1912)</f>
        <v/>
      </c>
      <c r="E1912" s="2" t="str">
        <f>IF(A1912="","",C1912*'Loan Inputs'!$B$15)</f>
        <v/>
      </c>
      <c r="F1912" s="2" t="str">
        <f t="shared" si="87"/>
        <v/>
      </c>
      <c r="G1912" s="2" t="str">
        <f t="shared" si="88"/>
        <v/>
      </c>
      <c r="H1912" s="2" t="str">
        <f>IF(A1912="","",MIN(0,MAX(0,C1912+E1912-'Loan Inputs'!$B$17)))</f>
        <v/>
      </c>
    </row>
    <row r="1913" spans="1:8" ht="22" customHeight="1">
      <c r="A1913" s="1" t="str">
        <f>IF(AND('Loan Inputs'!$B$12,1907&lt;=IF('Loan Inputs'!$B$12,'Loan Inputs'!$B$7,0)*'Loan Inputs'!$B$14+0,ISNUMBER(G1912),G1912&gt;0),1907,"")</f>
        <v/>
      </c>
      <c r="B1913" s="4" t="str">
        <f>IF(A1913="","",IF('Loan Inputs'!$B$14=12,DATE(YEAR('Loan Inputs'!$B$8),MONTH('Loan Inputs'!$B$8)+A1913,DAY('Loan Inputs'!$B$8)),'Loan Inputs'!$B$8+A1913*IF('Loan Inputs'!$B$14=26,14,7)))</f>
        <v/>
      </c>
      <c r="C1913" s="2" t="str">
        <f t="shared" si="89"/>
        <v/>
      </c>
      <c r="D1913" s="2" t="str">
        <f>IF(A1913="","",MIN('Loan Inputs'!$B$17,C1913+E1913)+H1913)</f>
        <v/>
      </c>
      <c r="E1913" s="2" t="str">
        <f>IF(A1913="","",C1913*'Loan Inputs'!$B$15)</f>
        <v/>
      </c>
      <c r="F1913" s="2" t="str">
        <f t="shared" si="87"/>
        <v/>
      </c>
      <c r="G1913" s="2" t="str">
        <f t="shared" si="88"/>
        <v/>
      </c>
      <c r="H1913" s="2" t="str">
        <f>IF(A1913="","",MIN(0,MAX(0,C1913+E1913-'Loan Inputs'!$B$17)))</f>
        <v/>
      </c>
    </row>
    <row r="1914" spans="1:8" ht="22" customHeight="1">
      <c r="A1914" s="1" t="str">
        <f>IF(AND('Loan Inputs'!$B$12,1908&lt;=IF('Loan Inputs'!$B$12,'Loan Inputs'!$B$7,0)*'Loan Inputs'!$B$14+0,ISNUMBER(G1913),G1913&gt;0),1908,"")</f>
        <v/>
      </c>
      <c r="B1914" s="4" t="str">
        <f>IF(A1914="","",IF('Loan Inputs'!$B$14=12,DATE(YEAR('Loan Inputs'!$B$8),MONTH('Loan Inputs'!$B$8)+A1914,DAY('Loan Inputs'!$B$8)),'Loan Inputs'!$B$8+A1914*IF('Loan Inputs'!$B$14=26,14,7)))</f>
        <v/>
      </c>
      <c r="C1914" s="2" t="str">
        <f t="shared" si="89"/>
        <v/>
      </c>
      <c r="D1914" s="2" t="str">
        <f>IF(A1914="","",MIN('Loan Inputs'!$B$17,C1914+E1914)+H1914)</f>
        <v/>
      </c>
      <c r="E1914" s="2" t="str">
        <f>IF(A1914="","",C1914*'Loan Inputs'!$B$15)</f>
        <v/>
      </c>
      <c r="F1914" s="2" t="str">
        <f t="shared" si="87"/>
        <v/>
      </c>
      <c r="G1914" s="2" t="str">
        <f t="shared" si="88"/>
        <v/>
      </c>
      <c r="H1914" s="2" t="str">
        <f>IF(A1914="","",MIN(0,MAX(0,C1914+E1914-'Loan Inputs'!$B$17)))</f>
        <v/>
      </c>
    </row>
    <row r="1915" spans="1:8" ht="22" customHeight="1">
      <c r="A1915" s="1" t="str">
        <f>IF(AND('Loan Inputs'!$B$12,1909&lt;=IF('Loan Inputs'!$B$12,'Loan Inputs'!$B$7,0)*'Loan Inputs'!$B$14+0,ISNUMBER(G1914),G1914&gt;0),1909,"")</f>
        <v/>
      </c>
      <c r="B1915" s="4" t="str">
        <f>IF(A1915="","",IF('Loan Inputs'!$B$14=12,DATE(YEAR('Loan Inputs'!$B$8),MONTH('Loan Inputs'!$B$8)+A1915,DAY('Loan Inputs'!$B$8)),'Loan Inputs'!$B$8+A1915*IF('Loan Inputs'!$B$14=26,14,7)))</f>
        <v/>
      </c>
      <c r="C1915" s="2" t="str">
        <f t="shared" si="89"/>
        <v/>
      </c>
      <c r="D1915" s="2" t="str">
        <f>IF(A1915="","",MIN('Loan Inputs'!$B$17,C1915+E1915)+H1915)</f>
        <v/>
      </c>
      <c r="E1915" s="2" t="str">
        <f>IF(A1915="","",C1915*'Loan Inputs'!$B$15)</f>
        <v/>
      </c>
      <c r="F1915" s="2" t="str">
        <f t="shared" si="87"/>
        <v/>
      </c>
      <c r="G1915" s="2" t="str">
        <f t="shared" si="88"/>
        <v/>
      </c>
      <c r="H1915" s="2" t="str">
        <f>IF(A1915="","",MIN(0,MAX(0,C1915+E1915-'Loan Inputs'!$B$17)))</f>
        <v/>
      </c>
    </row>
    <row r="1916" spans="1:8" ht="22" customHeight="1">
      <c r="A1916" s="1" t="str">
        <f>IF(AND('Loan Inputs'!$B$12,1910&lt;=IF('Loan Inputs'!$B$12,'Loan Inputs'!$B$7,0)*'Loan Inputs'!$B$14+0,ISNUMBER(G1915),G1915&gt;0),1910,"")</f>
        <v/>
      </c>
      <c r="B1916" s="4" t="str">
        <f>IF(A1916="","",IF('Loan Inputs'!$B$14=12,DATE(YEAR('Loan Inputs'!$B$8),MONTH('Loan Inputs'!$B$8)+A1916,DAY('Loan Inputs'!$B$8)),'Loan Inputs'!$B$8+A1916*IF('Loan Inputs'!$B$14=26,14,7)))</f>
        <v/>
      </c>
      <c r="C1916" s="2" t="str">
        <f t="shared" si="89"/>
        <v/>
      </c>
      <c r="D1916" s="2" t="str">
        <f>IF(A1916="","",MIN('Loan Inputs'!$B$17,C1916+E1916)+H1916)</f>
        <v/>
      </c>
      <c r="E1916" s="2" t="str">
        <f>IF(A1916="","",C1916*'Loan Inputs'!$B$15)</f>
        <v/>
      </c>
      <c r="F1916" s="2" t="str">
        <f t="shared" si="87"/>
        <v/>
      </c>
      <c r="G1916" s="2" t="str">
        <f t="shared" si="88"/>
        <v/>
      </c>
      <c r="H1916" s="2" t="str">
        <f>IF(A1916="","",MIN(0,MAX(0,C1916+E1916-'Loan Inputs'!$B$17)))</f>
        <v/>
      </c>
    </row>
    <row r="1917" spans="1:8" ht="22" customHeight="1">
      <c r="A1917" s="1" t="str">
        <f>IF(AND('Loan Inputs'!$B$12,1911&lt;=IF('Loan Inputs'!$B$12,'Loan Inputs'!$B$7,0)*'Loan Inputs'!$B$14+0,ISNUMBER(G1916),G1916&gt;0),1911,"")</f>
        <v/>
      </c>
      <c r="B1917" s="4" t="str">
        <f>IF(A1917="","",IF('Loan Inputs'!$B$14=12,DATE(YEAR('Loan Inputs'!$B$8),MONTH('Loan Inputs'!$B$8)+A1917,DAY('Loan Inputs'!$B$8)),'Loan Inputs'!$B$8+A1917*IF('Loan Inputs'!$B$14=26,14,7)))</f>
        <v/>
      </c>
      <c r="C1917" s="2" t="str">
        <f t="shared" si="89"/>
        <v/>
      </c>
      <c r="D1917" s="2" t="str">
        <f>IF(A1917="","",MIN('Loan Inputs'!$B$17,C1917+E1917)+H1917)</f>
        <v/>
      </c>
      <c r="E1917" s="2" t="str">
        <f>IF(A1917="","",C1917*'Loan Inputs'!$B$15)</f>
        <v/>
      </c>
      <c r="F1917" s="2" t="str">
        <f t="shared" si="87"/>
        <v/>
      </c>
      <c r="G1917" s="2" t="str">
        <f t="shared" si="88"/>
        <v/>
      </c>
      <c r="H1917" s="2" t="str">
        <f>IF(A1917="","",MIN(0,MAX(0,C1917+E1917-'Loan Inputs'!$B$17)))</f>
        <v/>
      </c>
    </row>
    <row r="1918" spans="1:8" ht="22" customHeight="1">
      <c r="A1918" s="1" t="str">
        <f>IF(AND('Loan Inputs'!$B$12,1912&lt;=IF('Loan Inputs'!$B$12,'Loan Inputs'!$B$7,0)*'Loan Inputs'!$B$14+0,ISNUMBER(G1917),G1917&gt;0),1912,"")</f>
        <v/>
      </c>
      <c r="B1918" s="4" t="str">
        <f>IF(A1918="","",IF('Loan Inputs'!$B$14=12,DATE(YEAR('Loan Inputs'!$B$8),MONTH('Loan Inputs'!$B$8)+A1918,DAY('Loan Inputs'!$B$8)),'Loan Inputs'!$B$8+A1918*IF('Loan Inputs'!$B$14=26,14,7)))</f>
        <v/>
      </c>
      <c r="C1918" s="2" t="str">
        <f t="shared" si="89"/>
        <v/>
      </c>
      <c r="D1918" s="2" t="str">
        <f>IF(A1918="","",MIN('Loan Inputs'!$B$17,C1918+E1918)+H1918)</f>
        <v/>
      </c>
      <c r="E1918" s="2" t="str">
        <f>IF(A1918="","",C1918*'Loan Inputs'!$B$15)</f>
        <v/>
      </c>
      <c r="F1918" s="2" t="str">
        <f t="shared" si="87"/>
        <v/>
      </c>
      <c r="G1918" s="2" t="str">
        <f t="shared" si="88"/>
        <v/>
      </c>
      <c r="H1918" s="2" t="str">
        <f>IF(A1918="","",MIN(0,MAX(0,C1918+E1918-'Loan Inputs'!$B$17)))</f>
        <v/>
      </c>
    </row>
    <row r="1919" spans="1:8" ht="22" customHeight="1">
      <c r="A1919" s="1" t="str">
        <f>IF(AND('Loan Inputs'!$B$12,1913&lt;=IF('Loan Inputs'!$B$12,'Loan Inputs'!$B$7,0)*'Loan Inputs'!$B$14+0,ISNUMBER(G1918),G1918&gt;0),1913,"")</f>
        <v/>
      </c>
      <c r="B1919" s="4" t="str">
        <f>IF(A1919="","",IF('Loan Inputs'!$B$14=12,DATE(YEAR('Loan Inputs'!$B$8),MONTH('Loan Inputs'!$B$8)+A1919,DAY('Loan Inputs'!$B$8)),'Loan Inputs'!$B$8+A1919*IF('Loan Inputs'!$B$14=26,14,7)))</f>
        <v/>
      </c>
      <c r="C1919" s="2" t="str">
        <f t="shared" si="89"/>
        <v/>
      </c>
      <c r="D1919" s="2" t="str">
        <f>IF(A1919="","",MIN('Loan Inputs'!$B$17,C1919+E1919)+H1919)</f>
        <v/>
      </c>
      <c r="E1919" s="2" t="str">
        <f>IF(A1919="","",C1919*'Loan Inputs'!$B$15)</f>
        <v/>
      </c>
      <c r="F1919" s="2" t="str">
        <f t="shared" si="87"/>
        <v/>
      </c>
      <c r="G1919" s="2" t="str">
        <f t="shared" si="88"/>
        <v/>
      </c>
      <c r="H1919" s="2" t="str">
        <f>IF(A1919="","",MIN(0,MAX(0,C1919+E1919-'Loan Inputs'!$B$17)))</f>
        <v/>
      </c>
    </row>
    <row r="1920" spans="1:8" ht="22" customHeight="1">
      <c r="A1920" s="1" t="str">
        <f>IF(AND('Loan Inputs'!$B$12,1914&lt;=IF('Loan Inputs'!$B$12,'Loan Inputs'!$B$7,0)*'Loan Inputs'!$B$14+0,ISNUMBER(G1919),G1919&gt;0),1914,"")</f>
        <v/>
      </c>
      <c r="B1920" s="4" t="str">
        <f>IF(A1920="","",IF('Loan Inputs'!$B$14=12,DATE(YEAR('Loan Inputs'!$B$8),MONTH('Loan Inputs'!$B$8)+A1920,DAY('Loan Inputs'!$B$8)),'Loan Inputs'!$B$8+A1920*IF('Loan Inputs'!$B$14=26,14,7)))</f>
        <v/>
      </c>
      <c r="C1920" s="2" t="str">
        <f t="shared" si="89"/>
        <v/>
      </c>
      <c r="D1920" s="2" t="str">
        <f>IF(A1920="","",MIN('Loan Inputs'!$B$17,C1920+E1920)+H1920)</f>
        <v/>
      </c>
      <c r="E1920" s="2" t="str">
        <f>IF(A1920="","",C1920*'Loan Inputs'!$B$15)</f>
        <v/>
      </c>
      <c r="F1920" s="2" t="str">
        <f t="shared" si="87"/>
        <v/>
      </c>
      <c r="G1920" s="2" t="str">
        <f t="shared" si="88"/>
        <v/>
      </c>
      <c r="H1920" s="2" t="str">
        <f>IF(A1920="","",MIN(0,MAX(0,C1920+E1920-'Loan Inputs'!$B$17)))</f>
        <v/>
      </c>
    </row>
    <row r="1921" spans="1:8" ht="22" customHeight="1">
      <c r="A1921" s="1" t="str">
        <f>IF(AND('Loan Inputs'!$B$12,1915&lt;=IF('Loan Inputs'!$B$12,'Loan Inputs'!$B$7,0)*'Loan Inputs'!$B$14+0,ISNUMBER(G1920),G1920&gt;0),1915,"")</f>
        <v/>
      </c>
      <c r="B1921" s="4" t="str">
        <f>IF(A1921="","",IF('Loan Inputs'!$B$14=12,DATE(YEAR('Loan Inputs'!$B$8),MONTH('Loan Inputs'!$B$8)+A1921,DAY('Loan Inputs'!$B$8)),'Loan Inputs'!$B$8+A1921*IF('Loan Inputs'!$B$14=26,14,7)))</f>
        <v/>
      </c>
      <c r="C1921" s="2" t="str">
        <f t="shared" si="89"/>
        <v/>
      </c>
      <c r="D1921" s="2" t="str">
        <f>IF(A1921="","",MIN('Loan Inputs'!$B$17,C1921+E1921)+H1921)</f>
        <v/>
      </c>
      <c r="E1921" s="2" t="str">
        <f>IF(A1921="","",C1921*'Loan Inputs'!$B$15)</f>
        <v/>
      </c>
      <c r="F1921" s="2" t="str">
        <f t="shared" si="87"/>
        <v/>
      </c>
      <c r="G1921" s="2" t="str">
        <f t="shared" si="88"/>
        <v/>
      </c>
      <c r="H1921" s="2" t="str">
        <f>IF(A1921="","",MIN(0,MAX(0,C1921+E1921-'Loan Inputs'!$B$17)))</f>
        <v/>
      </c>
    </row>
    <row r="1922" spans="1:8" ht="22" customHeight="1">
      <c r="A1922" s="1" t="str">
        <f>IF(AND('Loan Inputs'!$B$12,1916&lt;=IF('Loan Inputs'!$B$12,'Loan Inputs'!$B$7,0)*'Loan Inputs'!$B$14+0,ISNUMBER(G1921),G1921&gt;0),1916,"")</f>
        <v/>
      </c>
      <c r="B1922" s="4" t="str">
        <f>IF(A1922="","",IF('Loan Inputs'!$B$14=12,DATE(YEAR('Loan Inputs'!$B$8),MONTH('Loan Inputs'!$B$8)+A1922,DAY('Loan Inputs'!$B$8)),'Loan Inputs'!$B$8+A1922*IF('Loan Inputs'!$B$14=26,14,7)))</f>
        <v/>
      </c>
      <c r="C1922" s="2" t="str">
        <f t="shared" si="89"/>
        <v/>
      </c>
      <c r="D1922" s="2" t="str">
        <f>IF(A1922="","",MIN('Loan Inputs'!$B$17,C1922+E1922)+H1922)</f>
        <v/>
      </c>
      <c r="E1922" s="2" t="str">
        <f>IF(A1922="","",C1922*'Loan Inputs'!$B$15)</f>
        <v/>
      </c>
      <c r="F1922" s="2" t="str">
        <f t="shared" si="87"/>
        <v/>
      </c>
      <c r="G1922" s="2" t="str">
        <f t="shared" si="88"/>
        <v/>
      </c>
      <c r="H1922" s="2" t="str">
        <f>IF(A1922="","",MIN(0,MAX(0,C1922+E1922-'Loan Inputs'!$B$17)))</f>
        <v/>
      </c>
    </row>
    <row r="1923" spans="1:8" ht="22" customHeight="1">
      <c r="A1923" s="1" t="str">
        <f>IF(AND('Loan Inputs'!$B$12,1917&lt;=IF('Loan Inputs'!$B$12,'Loan Inputs'!$B$7,0)*'Loan Inputs'!$B$14+0,ISNUMBER(G1922),G1922&gt;0),1917,"")</f>
        <v/>
      </c>
      <c r="B1923" s="4" t="str">
        <f>IF(A1923="","",IF('Loan Inputs'!$B$14=12,DATE(YEAR('Loan Inputs'!$B$8),MONTH('Loan Inputs'!$B$8)+A1923,DAY('Loan Inputs'!$B$8)),'Loan Inputs'!$B$8+A1923*IF('Loan Inputs'!$B$14=26,14,7)))</f>
        <v/>
      </c>
      <c r="C1923" s="2" t="str">
        <f t="shared" si="89"/>
        <v/>
      </c>
      <c r="D1923" s="2" t="str">
        <f>IF(A1923="","",MIN('Loan Inputs'!$B$17,C1923+E1923)+H1923)</f>
        <v/>
      </c>
      <c r="E1923" s="2" t="str">
        <f>IF(A1923="","",C1923*'Loan Inputs'!$B$15)</f>
        <v/>
      </c>
      <c r="F1923" s="2" t="str">
        <f t="shared" si="87"/>
        <v/>
      </c>
      <c r="G1923" s="2" t="str">
        <f t="shared" si="88"/>
        <v/>
      </c>
      <c r="H1923" s="2" t="str">
        <f>IF(A1923="","",MIN(0,MAX(0,C1923+E1923-'Loan Inputs'!$B$17)))</f>
        <v/>
      </c>
    </row>
    <row r="1924" spans="1:8" ht="22" customHeight="1">
      <c r="A1924" s="1" t="str">
        <f>IF(AND('Loan Inputs'!$B$12,1918&lt;=IF('Loan Inputs'!$B$12,'Loan Inputs'!$B$7,0)*'Loan Inputs'!$B$14+0,ISNUMBER(G1923),G1923&gt;0),1918,"")</f>
        <v/>
      </c>
      <c r="B1924" s="4" t="str">
        <f>IF(A1924="","",IF('Loan Inputs'!$B$14=12,DATE(YEAR('Loan Inputs'!$B$8),MONTH('Loan Inputs'!$B$8)+A1924,DAY('Loan Inputs'!$B$8)),'Loan Inputs'!$B$8+A1924*IF('Loan Inputs'!$B$14=26,14,7)))</f>
        <v/>
      </c>
      <c r="C1924" s="2" t="str">
        <f t="shared" si="89"/>
        <v/>
      </c>
      <c r="D1924" s="2" t="str">
        <f>IF(A1924="","",MIN('Loan Inputs'!$B$17,C1924+E1924)+H1924)</f>
        <v/>
      </c>
      <c r="E1924" s="2" t="str">
        <f>IF(A1924="","",C1924*'Loan Inputs'!$B$15)</f>
        <v/>
      </c>
      <c r="F1924" s="2" t="str">
        <f t="shared" si="87"/>
        <v/>
      </c>
      <c r="G1924" s="2" t="str">
        <f t="shared" si="88"/>
        <v/>
      </c>
      <c r="H1924" s="2" t="str">
        <f>IF(A1924="","",MIN(0,MAX(0,C1924+E1924-'Loan Inputs'!$B$17)))</f>
        <v/>
      </c>
    </row>
    <row r="1925" spans="1:8" ht="22" customHeight="1">
      <c r="A1925" s="1" t="str">
        <f>IF(AND('Loan Inputs'!$B$12,1919&lt;=IF('Loan Inputs'!$B$12,'Loan Inputs'!$B$7,0)*'Loan Inputs'!$B$14+0,ISNUMBER(G1924),G1924&gt;0),1919,"")</f>
        <v/>
      </c>
      <c r="B1925" s="4" t="str">
        <f>IF(A1925="","",IF('Loan Inputs'!$B$14=12,DATE(YEAR('Loan Inputs'!$B$8),MONTH('Loan Inputs'!$B$8)+A1925,DAY('Loan Inputs'!$B$8)),'Loan Inputs'!$B$8+A1925*IF('Loan Inputs'!$B$14=26,14,7)))</f>
        <v/>
      </c>
      <c r="C1925" s="2" t="str">
        <f t="shared" si="89"/>
        <v/>
      </c>
      <c r="D1925" s="2" t="str">
        <f>IF(A1925="","",MIN('Loan Inputs'!$B$17,C1925+E1925)+H1925)</f>
        <v/>
      </c>
      <c r="E1925" s="2" t="str">
        <f>IF(A1925="","",C1925*'Loan Inputs'!$B$15)</f>
        <v/>
      </c>
      <c r="F1925" s="2" t="str">
        <f t="shared" si="87"/>
        <v/>
      </c>
      <c r="G1925" s="2" t="str">
        <f t="shared" si="88"/>
        <v/>
      </c>
      <c r="H1925" s="2" t="str">
        <f>IF(A1925="","",MIN(0,MAX(0,C1925+E1925-'Loan Inputs'!$B$17)))</f>
        <v/>
      </c>
    </row>
    <row r="1926" spans="1:8" ht="22" customHeight="1">
      <c r="A1926" s="1" t="str">
        <f>IF(AND('Loan Inputs'!$B$12,1920&lt;=IF('Loan Inputs'!$B$12,'Loan Inputs'!$B$7,0)*'Loan Inputs'!$B$14+0,ISNUMBER(G1925),G1925&gt;0),1920,"")</f>
        <v/>
      </c>
      <c r="B1926" s="4" t="str">
        <f>IF(A1926="","",IF('Loan Inputs'!$B$14=12,DATE(YEAR('Loan Inputs'!$B$8),MONTH('Loan Inputs'!$B$8)+A1926,DAY('Loan Inputs'!$B$8)),'Loan Inputs'!$B$8+A1926*IF('Loan Inputs'!$B$14=26,14,7)))</f>
        <v/>
      </c>
      <c r="C1926" s="2" t="str">
        <f t="shared" si="89"/>
        <v/>
      </c>
      <c r="D1926" s="2" t="str">
        <f>IF(A1926="","",MIN('Loan Inputs'!$B$17,C1926+E1926)+H1926)</f>
        <v/>
      </c>
      <c r="E1926" s="2" t="str">
        <f>IF(A1926="","",C1926*'Loan Inputs'!$B$15)</f>
        <v/>
      </c>
      <c r="F1926" s="2" t="str">
        <f t="shared" si="87"/>
        <v/>
      </c>
      <c r="G1926" s="2" t="str">
        <f t="shared" si="88"/>
        <v/>
      </c>
      <c r="H1926" s="2" t="str">
        <f>IF(A1926="","",MIN(0,MAX(0,C1926+E1926-'Loan Inputs'!$B$17)))</f>
        <v/>
      </c>
    </row>
    <row r="1927" spans="1:8" ht="22" customHeight="1">
      <c r="A1927" s="1" t="str">
        <f>IF(AND('Loan Inputs'!$B$12,1921&lt;=IF('Loan Inputs'!$B$12,'Loan Inputs'!$B$7,0)*'Loan Inputs'!$B$14+0,ISNUMBER(G1926),G1926&gt;0),1921,"")</f>
        <v/>
      </c>
      <c r="B1927" s="4" t="str">
        <f>IF(A1927="","",IF('Loan Inputs'!$B$14=12,DATE(YEAR('Loan Inputs'!$B$8),MONTH('Loan Inputs'!$B$8)+A1927,DAY('Loan Inputs'!$B$8)),'Loan Inputs'!$B$8+A1927*IF('Loan Inputs'!$B$14=26,14,7)))</f>
        <v/>
      </c>
      <c r="C1927" s="2" t="str">
        <f t="shared" si="89"/>
        <v/>
      </c>
      <c r="D1927" s="2" t="str">
        <f>IF(A1927="","",MIN('Loan Inputs'!$B$17,C1927+E1927)+H1927)</f>
        <v/>
      </c>
      <c r="E1927" s="2" t="str">
        <f>IF(A1927="","",C1927*'Loan Inputs'!$B$15)</f>
        <v/>
      </c>
      <c r="F1927" s="2" t="str">
        <f t="shared" ref="F1927:F1990" si="90">IF(A1927="","",MIN(C1927,D1927-E1927))</f>
        <v/>
      </c>
      <c r="G1927" s="2" t="str">
        <f t="shared" ref="G1927:G1990" si="91">IF(A1927="","",IF(C1927-F1927&lt;0.01,0,MAX(0,C1927-F1927)))</f>
        <v/>
      </c>
      <c r="H1927" s="2" t="str">
        <f>IF(A1927="","",MIN(0,MAX(0,C1927+E1927-'Loan Inputs'!$B$17)))</f>
        <v/>
      </c>
    </row>
    <row r="1928" spans="1:8" ht="22" customHeight="1">
      <c r="A1928" s="1" t="str">
        <f>IF(AND('Loan Inputs'!$B$12,1922&lt;=IF('Loan Inputs'!$B$12,'Loan Inputs'!$B$7,0)*'Loan Inputs'!$B$14+0,ISNUMBER(G1927),G1927&gt;0),1922,"")</f>
        <v/>
      </c>
      <c r="B1928" s="4" t="str">
        <f>IF(A1928="","",IF('Loan Inputs'!$B$14=12,DATE(YEAR('Loan Inputs'!$B$8),MONTH('Loan Inputs'!$B$8)+A1928,DAY('Loan Inputs'!$B$8)),'Loan Inputs'!$B$8+A1928*IF('Loan Inputs'!$B$14=26,14,7)))</f>
        <v/>
      </c>
      <c r="C1928" s="2" t="str">
        <f t="shared" ref="C1928:C1991" si="92">IF(A1928="","",G1927)</f>
        <v/>
      </c>
      <c r="D1928" s="2" t="str">
        <f>IF(A1928="","",MIN('Loan Inputs'!$B$17,C1928+E1928)+H1928)</f>
        <v/>
      </c>
      <c r="E1928" s="2" t="str">
        <f>IF(A1928="","",C1928*'Loan Inputs'!$B$15)</f>
        <v/>
      </c>
      <c r="F1928" s="2" t="str">
        <f t="shared" si="90"/>
        <v/>
      </c>
      <c r="G1928" s="2" t="str">
        <f t="shared" si="91"/>
        <v/>
      </c>
      <c r="H1928" s="2" t="str">
        <f>IF(A1928="","",MIN(0,MAX(0,C1928+E1928-'Loan Inputs'!$B$17)))</f>
        <v/>
      </c>
    </row>
    <row r="1929" spans="1:8" ht="22" customHeight="1">
      <c r="A1929" s="1" t="str">
        <f>IF(AND('Loan Inputs'!$B$12,1923&lt;=IF('Loan Inputs'!$B$12,'Loan Inputs'!$B$7,0)*'Loan Inputs'!$B$14+0,ISNUMBER(G1928),G1928&gt;0),1923,"")</f>
        <v/>
      </c>
      <c r="B1929" s="4" t="str">
        <f>IF(A1929="","",IF('Loan Inputs'!$B$14=12,DATE(YEAR('Loan Inputs'!$B$8),MONTH('Loan Inputs'!$B$8)+A1929,DAY('Loan Inputs'!$B$8)),'Loan Inputs'!$B$8+A1929*IF('Loan Inputs'!$B$14=26,14,7)))</f>
        <v/>
      </c>
      <c r="C1929" s="2" t="str">
        <f t="shared" si="92"/>
        <v/>
      </c>
      <c r="D1929" s="2" t="str">
        <f>IF(A1929="","",MIN('Loan Inputs'!$B$17,C1929+E1929)+H1929)</f>
        <v/>
      </c>
      <c r="E1929" s="2" t="str">
        <f>IF(A1929="","",C1929*'Loan Inputs'!$B$15)</f>
        <v/>
      </c>
      <c r="F1929" s="2" t="str">
        <f t="shared" si="90"/>
        <v/>
      </c>
      <c r="G1929" s="2" t="str">
        <f t="shared" si="91"/>
        <v/>
      </c>
      <c r="H1929" s="2" t="str">
        <f>IF(A1929="","",MIN(0,MAX(0,C1929+E1929-'Loan Inputs'!$B$17)))</f>
        <v/>
      </c>
    </row>
    <row r="1930" spans="1:8" ht="22" customHeight="1">
      <c r="A1930" s="1" t="str">
        <f>IF(AND('Loan Inputs'!$B$12,1924&lt;=IF('Loan Inputs'!$B$12,'Loan Inputs'!$B$7,0)*'Loan Inputs'!$B$14+0,ISNUMBER(G1929),G1929&gt;0),1924,"")</f>
        <v/>
      </c>
      <c r="B1930" s="4" t="str">
        <f>IF(A1930="","",IF('Loan Inputs'!$B$14=12,DATE(YEAR('Loan Inputs'!$B$8),MONTH('Loan Inputs'!$B$8)+A1930,DAY('Loan Inputs'!$B$8)),'Loan Inputs'!$B$8+A1930*IF('Loan Inputs'!$B$14=26,14,7)))</f>
        <v/>
      </c>
      <c r="C1930" s="2" t="str">
        <f t="shared" si="92"/>
        <v/>
      </c>
      <c r="D1930" s="2" t="str">
        <f>IF(A1930="","",MIN('Loan Inputs'!$B$17,C1930+E1930)+H1930)</f>
        <v/>
      </c>
      <c r="E1930" s="2" t="str">
        <f>IF(A1930="","",C1930*'Loan Inputs'!$B$15)</f>
        <v/>
      </c>
      <c r="F1930" s="2" t="str">
        <f t="shared" si="90"/>
        <v/>
      </c>
      <c r="G1930" s="2" t="str">
        <f t="shared" si="91"/>
        <v/>
      </c>
      <c r="H1930" s="2" t="str">
        <f>IF(A1930="","",MIN(0,MAX(0,C1930+E1930-'Loan Inputs'!$B$17)))</f>
        <v/>
      </c>
    </row>
    <row r="1931" spans="1:8" ht="22" customHeight="1">
      <c r="A1931" s="1" t="str">
        <f>IF(AND('Loan Inputs'!$B$12,1925&lt;=IF('Loan Inputs'!$B$12,'Loan Inputs'!$B$7,0)*'Loan Inputs'!$B$14+0,ISNUMBER(G1930),G1930&gt;0),1925,"")</f>
        <v/>
      </c>
      <c r="B1931" s="4" t="str">
        <f>IF(A1931="","",IF('Loan Inputs'!$B$14=12,DATE(YEAR('Loan Inputs'!$B$8),MONTH('Loan Inputs'!$B$8)+A1931,DAY('Loan Inputs'!$B$8)),'Loan Inputs'!$B$8+A1931*IF('Loan Inputs'!$B$14=26,14,7)))</f>
        <v/>
      </c>
      <c r="C1931" s="2" t="str">
        <f t="shared" si="92"/>
        <v/>
      </c>
      <c r="D1931" s="2" t="str">
        <f>IF(A1931="","",MIN('Loan Inputs'!$B$17,C1931+E1931)+H1931)</f>
        <v/>
      </c>
      <c r="E1931" s="2" t="str">
        <f>IF(A1931="","",C1931*'Loan Inputs'!$B$15)</f>
        <v/>
      </c>
      <c r="F1931" s="2" t="str">
        <f t="shared" si="90"/>
        <v/>
      </c>
      <c r="G1931" s="2" t="str">
        <f t="shared" si="91"/>
        <v/>
      </c>
      <c r="H1931" s="2" t="str">
        <f>IF(A1931="","",MIN(0,MAX(0,C1931+E1931-'Loan Inputs'!$B$17)))</f>
        <v/>
      </c>
    </row>
    <row r="1932" spans="1:8" ht="22" customHeight="1">
      <c r="A1932" s="1" t="str">
        <f>IF(AND('Loan Inputs'!$B$12,1926&lt;=IF('Loan Inputs'!$B$12,'Loan Inputs'!$B$7,0)*'Loan Inputs'!$B$14+0,ISNUMBER(G1931),G1931&gt;0),1926,"")</f>
        <v/>
      </c>
      <c r="B1932" s="4" t="str">
        <f>IF(A1932="","",IF('Loan Inputs'!$B$14=12,DATE(YEAR('Loan Inputs'!$B$8),MONTH('Loan Inputs'!$B$8)+A1932,DAY('Loan Inputs'!$B$8)),'Loan Inputs'!$B$8+A1932*IF('Loan Inputs'!$B$14=26,14,7)))</f>
        <v/>
      </c>
      <c r="C1932" s="2" t="str">
        <f t="shared" si="92"/>
        <v/>
      </c>
      <c r="D1932" s="2" t="str">
        <f>IF(A1932="","",MIN('Loan Inputs'!$B$17,C1932+E1932)+H1932)</f>
        <v/>
      </c>
      <c r="E1932" s="2" t="str">
        <f>IF(A1932="","",C1932*'Loan Inputs'!$B$15)</f>
        <v/>
      </c>
      <c r="F1932" s="2" t="str">
        <f t="shared" si="90"/>
        <v/>
      </c>
      <c r="G1932" s="2" t="str">
        <f t="shared" si="91"/>
        <v/>
      </c>
      <c r="H1932" s="2" t="str">
        <f>IF(A1932="","",MIN(0,MAX(0,C1932+E1932-'Loan Inputs'!$B$17)))</f>
        <v/>
      </c>
    </row>
    <row r="1933" spans="1:8" ht="22" customHeight="1">
      <c r="A1933" s="1" t="str">
        <f>IF(AND('Loan Inputs'!$B$12,1927&lt;=IF('Loan Inputs'!$B$12,'Loan Inputs'!$B$7,0)*'Loan Inputs'!$B$14+0,ISNUMBER(G1932),G1932&gt;0),1927,"")</f>
        <v/>
      </c>
      <c r="B1933" s="4" t="str">
        <f>IF(A1933="","",IF('Loan Inputs'!$B$14=12,DATE(YEAR('Loan Inputs'!$B$8),MONTH('Loan Inputs'!$B$8)+A1933,DAY('Loan Inputs'!$B$8)),'Loan Inputs'!$B$8+A1933*IF('Loan Inputs'!$B$14=26,14,7)))</f>
        <v/>
      </c>
      <c r="C1933" s="2" t="str">
        <f t="shared" si="92"/>
        <v/>
      </c>
      <c r="D1933" s="2" t="str">
        <f>IF(A1933="","",MIN('Loan Inputs'!$B$17,C1933+E1933)+H1933)</f>
        <v/>
      </c>
      <c r="E1933" s="2" t="str">
        <f>IF(A1933="","",C1933*'Loan Inputs'!$B$15)</f>
        <v/>
      </c>
      <c r="F1933" s="2" t="str">
        <f t="shared" si="90"/>
        <v/>
      </c>
      <c r="G1933" s="2" t="str">
        <f t="shared" si="91"/>
        <v/>
      </c>
      <c r="H1933" s="2" t="str">
        <f>IF(A1933="","",MIN(0,MAX(0,C1933+E1933-'Loan Inputs'!$B$17)))</f>
        <v/>
      </c>
    </row>
    <row r="1934" spans="1:8" ht="22" customHeight="1">
      <c r="A1934" s="1" t="str">
        <f>IF(AND('Loan Inputs'!$B$12,1928&lt;=IF('Loan Inputs'!$B$12,'Loan Inputs'!$B$7,0)*'Loan Inputs'!$B$14+0,ISNUMBER(G1933),G1933&gt;0),1928,"")</f>
        <v/>
      </c>
      <c r="B1934" s="4" t="str">
        <f>IF(A1934="","",IF('Loan Inputs'!$B$14=12,DATE(YEAR('Loan Inputs'!$B$8),MONTH('Loan Inputs'!$B$8)+A1934,DAY('Loan Inputs'!$B$8)),'Loan Inputs'!$B$8+A1934*IF('Loan Inputs'!$B$14=26,14,7)))</f>
        <v/>
      </c>
      <c r="C1934" s="2" t="str">
        <f t="shared" si="92"/>
        <v/>
      </c>
      <c r="D1934" s="2" t="str">
        <f>IF(A1934="","",MIN('Loan Inputs'!$B$17,C1934+E1934)+H1934)</f>
        <v/>
      </c>
      <c r="E1934" s="2" t="str">
        <f>IF(A1934="","",C1934*'Loan Inputs'!$B$15)</f>
        <v/>
      </c>
      <c r="F1934" s="2" t="str">
        <f t="shared" si="90"/>
        <v/>
      </c>
      <c r="G1934" s="2" t="str">
        <f t="shared" si="91"/>
        <v/>
      </c>
      <c r="H1934" s="2" t="str">
        <f>IF(A1934="","",MIN(0,MAX(0,C1934+E1934-'Loan Inputs'!$B$17)))</f>
        <v/>
      </c>
    </row>
    <row r="1935" spans="1:8" ht="22" customHeight="1">
      <c r="A1935" s="1" t="str">
        <f>IF(AND('Loan Inputs'!$B$12,1929&lt;=IF('Loan Inputs'!$B$12,'Loan Inputs'!$B$7,0)*'Loan Inputs'!$B$14+0,ISNUMBER(G1934),G1934&gt;0),1929,"")</f>
        <v/>
      </c>
      <c r="B1935" s="4" t="str">
        <f>IF(A1935="","",IF('Loan Inputs'!$B$14=12,DATE(YEAR('Loan Inputs'!$B$8),MONTH('Loan Inputs'!$B$8)+A1935,DAY('Loan Inputs'!$B$8)),'Loan Inputs'!$B$8+A1935*IF('Loan Inputs'!$B$14=26,14,7)))</f>
        <v/>
      </c>
      <c r="C1935" s="2" t="str">
        <f t="shared" si="92"/>
        <v/>
      </c>
      <c r="D1935" s="2" t="str">
        <f>IF(A1935="","",MIN('Loan Inputs'!$B$17,C1935+E1935)+H1935)</f>
        <v/>
      </c>
      <c r="E1935" s="2" t="str">
        <f>IF(A1935="","",C1935*'Loan Inputs'!$B$15)</f>
        <v/>
      </c>
      <c r="F1935" s="2" t="str">
        <f t="shared" si="90"/>
        <v/>
      </c>
      <c r="G1935" s="2" t="str">
        <f t="shared" si="91"/>
        <v/>
      </c>
      <c r="H1935" s="2" t="str">
        <f>IF(A1935="","",MIN(0,MAX(0,C1935+E1935-'Loan Inputs'!$B$17)))</f>
        <v/>
      </c>
    </row>
    <row r="1936" spans="1:8" ht="22" customHeight="1">
      <c r="A1936" s="1" t="str">
        <f>IF(AND('Loan Inputs'!$B$12,1930&lt;=IF('Loan Inputs'!$B$12,'Loan Inputs'!$B$7,0)*'Loan Inputs'!$B$14+0,ISNUMBER(G1935),G1935&gt;0),1930,"")</f>
        <v/>
      </c>
      <c r="B1936" s="4" t="str">
        <f>IF(A1936="","",IF('Loan Inputs'!$B$14=12,DATE(YEAR('Loan Inputs'!$B$8),MONTH('Loan Inputs'!$B$8)+A1936,DAY('Loan Inputs'!$B$8)),'Loan Inputs'!$B$8+A1936*IF('Loan Inputs'!$B$14=26,14,7)))</f>
        <v/>
      </c>
      <c r="C1936" s="2" t="str">
        <f t="shared" si="92"/>
        <v/>
      </c>
      <c r="D1936" s="2" t="str">
        <f>IF(A1936="","",MIN('Loan Inputs'!$B$17,C1936+E1936)+H1936)</f>
        <v/>
      </c>
      <c r="E1936" s="2" t="str">
        <f>IF(A1936="","",C1936*'Loan Inputs'!$B$15)</f>
        <v/>
      </c>
      <c r="F1936" s="2" t="str">
        <f t="shared" si="90"/>
        <v/>
      </c>
      <c r="G1936" s="2" t="str">
        <f t="shared" si="91"/>
        <v/>
      </c>
      <c r="H1936" s="2" t="str">
        <f>IF(A1936="","",MIN(0,MAX(0,C1936+E1936-'Loan Inputs'!$B$17)))</f>
        <v/>
      </c>
    </row>
    <row r="1937" spans="1:8" ht="22" customHeight="1">
      <c r="A1937" s="1" t="str">
        <f>IF(AND('Loan Inputs'!$B$12,1931&lt;=IF('Loan Inputs'!$B$12,'Loan Inputs'!$B$7,0)*'Loan Inputs'!$B$14+0,ISNUMBER(G1936),G1936&gt;0),1931,"")</f>
        <v/>
      </c>
      <c r="B1937" s="4" t="str">
        <f>IF(A1937="","",IF('Loan Inputs'!$B$14=12,DATE(YEAR('Loan Inputs'!$B$8),MONTH('Loan Inputs'!$B$8)+A1937,DAY('Loan Inputs'!$B$8)),'Loan Inputs'!$B$8+A1937*IF('Loan Inputs'!$B$14=26,14,7)))</f>
        <v/>
      </c>
      <c r="C1937" s="2" t="str">
        <f t="shared" si="92"/>
        <v/>
      </c>
      <c r="D1937" s="2" t="str">
        <f>IF(A1937="","",MIN('Loan Inputs'!$B$17,C1937+E1937)+H1937)</f>
        <v/>
      </c>
      <c r="E1937" s="2" t="str">
        <f>IF(A1937="","",C1937*'Loan Inputs'!$B$15)</f>
        <v/>
      </c>
      <c r="F1937" s="2" t="str">
        <f t="shared" si="90"/>
        <v/>
      </c>
      <c r="G1937" s="2" t="str">
        <f t="shared" si="91"/>
        <v/>
      </c>
      <c r="H1937" s="2" t="str">
        <f>IF(A1937="","",MIN(0,MAX(0,C1937+E1937-'Loan Inputs'!$B$17)))</f>
        <v/>
      </c>
    </row>
    <row r="1938" spans="1:8" ht="22" customHeight="1">
      <c r="A1938" s="1" t="str">
        <f>IF(AND('Loan Inputs'!$B$12,1932&lt;=IF('Loan Inputs'!$B$12,'Loan Inputs'!$B$7,0)*'Loan Inputs'!$B$14+0,ISNUMBER(G1937),G1937&gt;0),1932,"")</f>
        <v/>
      </c>
      <c r="B1938" s="4" t="str">
        <f>IF(A1938="","",IF('Loan Inputs'!$B$14=12,DATE(YEAR('Loan Inputs'!$B$8),MONTH('Loan Inputs'!$B$8)+A1938,DAY('Loan Inputs'!$B$8)),'Loan Inputs'!$B$8+A1938*IF('Loan Inputs'!$B$14=26,14,7)))</f>
        <v/>
      </c>
      <c r="C1938" s="2" t="str">
        <f t="shared" si="92"/>
        <v/>
      </c>
      <c r="D1938" s="2" t="str">
        <f>IF(A1938="","",MIN('Loan Inputs'!$B$17,C1938+E1938)+H1938)</f>
        <v/>
      </c>
      <c r="E1938" s="2" t="str">
        <f>IF(A1938="","",C1938*'Loan Inputs'!$B$15)</f>
        <v/>
      </c>
      <c r="F1938" s="2" t="str">
        <f t="shared" si="90"/>
        <v/>
      </c>
      <c r="G1938" s="2" t="str">
        <f t="shared" si="91"/>
        <v/>
      </c>
      <c r="H1938" s="2" t="str">
        <f>IF(A1938="","",MIN(0,MAX(0,C1938+E1938-'Loan Inputs'!$B$17)))</f>
        <v/>
      </c>
    </row>
    <row r="1939" spans="1:8" ht="22" customHeight="1">
      <c r="A1939" s="1" t="str">
        <f>IF(AND('Loan Inputs'!$B$12,1933&lt;=IF('Loan Inputs'!$B$12,'Loan Inputs'!$B$7,0)*'Loan Inputs'!$B$14+0,ISNUMBER(G1938),G1938&gt;0),1933,"")</f>
        <v/>
      </c>
      <c r="B1939" s="4" t="str">
        <f>IF(A1939="","",IF('Loan Inputs'!$B$14=12,DATE(YEAR('Loan Inputs'!$B$8),MONTH('Loan Inputs'!$B$8)+A1939,DAY('Loan Inputs'!$B$8)),'Loan Inputs'!$B$8+A1939*IF('Loan Inputs'!$B$14=26,14,7)))</f>
        <v/>
      </c>
      <c r="C1939" s="2" t="str">
        <f t="shared" si="92"/>
        <v/>
      </c>
      <c r="D1939" s="2" t="str">
        <f>IF(A1939="","",MIN('Loan Inputs'!$B$17,C1939+E1939)+H1939)</f>
        <v/>
      </c>
      <c r="E1939" s="2" t="str">
        <f>IF(A1939="","",C1939*'Loan Inputs'!$B$15)</f>
        <v/>
      </c>
      <c r="F1939" s="2" t="str">
        <f t="shared" si="90"/>
        <v/>
      </c>
      <c r="G1939" s="2" t="str">
        <f t="shared" si="91"/>
        <v/>
      </c>
      <c r="H1939" s="2" t="str">
        <f>IF(A1939="","",MIN(0,MAX(0,C1939+E1939-'Loan Inputs'!$B$17)))</f>
        <v/>
      </c>
    </row>
    <row r="1940" spans="1:8" ht="22" customHeight="1">
      <c r="A1940" s="1" t="str">
        <f>IF(AND('Loan Inputs'!$B$12,1934&lt;=IF('Loan Inputs'!$B$12,'Loan Inputs'!$B$7,0)*'Loan Inputs'!$B$14+0,ISNUMBER(G1939),G1939&gt;0),1934,"")</f>
        <v/>
      </c>
      <c r="B1940" s="4" t="str">
        <f>IF(A1940="","",IF('Loan Inputs'!$B$14=12,DATE(YEAR('Loan Inputs'!$B$8),MONTH('Loan Inputs'!$B$8)+A1940,DAY('Loan Inputs'!$B$8)),'Loan Inputs'!$B$8+A1940*IF('Loan Inputs'!$B$14=26,14,7)))</f>
        <v/>
      </c>
      <c r="C1940" s="2" t="str">
        <f t="shared" si="92"/>
        <v/>
      </c>
      <c r="D1940" s="2" t="str">
        <f>IF(A1940="","",MIN('Loan Inputs'!$B$17,C1940+E1940)+H1940)</f>
        <v/>
      </c>
      <c r="E1940" s="2" t="str">
        <f>IF(A1940="","",C1940*'Loan Inputs'!$B$15)</f>
        <v/>
      </c>
      <c r="F1940" s="2" t="str">
        <f t="shared" si="90"/>
        <v/>
      </c>
      <c r="G1940" s="2" t="str">
        <f t="shared" si="91"/>
        <v/>
      </c>
      <c r="H1940" s="2" t="str">
        <f>IF(A1940="","",MIN(0,MAX(0,C1940+E1940-'Loan Inputs'!$B$17)))</f>
        <v/>
      </c>
    </row>
    <row r="1941" spans="1:8" ht="22" customHeight="1">
      <c r="A1941" s="1" t="str">
        <f>IF(AND('Loan Inputs'!$B$12,1935&lt;=IF('Loan Inputs'!$B$12,'Loan Inputs'!$B$7,0)*'Loan Inputs'!$B$14+0,ISNUMBER(G1940),G1940&gt;0),1935,"")</f>
        <v/>
      </c>
      <c r="B1941" s="4" t="str">
        <f>IF(A1941="","",IF('Loan Inputs'!$B$14=12,DATE(YEAR('Loan Inputs'!$B$8),MONTH('Loan Inputs'!$B$8)+A1941,DAY('Loan Inputs'!$B$8)),'Loan Inputs'!$B$8+A1941*IF('Loan Inputs'!$B$14=26,14,7)))</f>
        <v/>
      </c>
      <c r="C1941" s="2" t="str">
        <f t="shared" si="92"/>
        <v/>
      </c>
      <c r="D1941" s="2" t="str">
        <f>IF(A1941="","",MIN('Loan Inputs'!$B$17,C1941+E1941)+H1941)</f>
        <v/>
      </c>
      <c r="E1941" s="2" t="str">
        <f>IF(A1941="","",C1941*'Loan Inputs'!$B$15)</f>
        <v/>
      </c>
      <c r="F1941" s="2" t="str">
        <f t="shared" si="90"/>
        <v/>
      </c>
      <c r="G1941" s="2" t="str">
        <f t="shared" si="91"/>
        <v/>
      </c>
      <c r="H1941" s="2" t="str">
        <f>IF(A1941="","",MIN(0,MAX(0,C1941+E1941-'Loan Inputs'!$B$17)))</f>
        <v/>
      </c>
    </row>
    <row r="1942" spans="1:8" ht="22" customHeight="1">
      <c r="A1942" s="1" t="str">
        <f>IF(AND('Loan Inputs'!$B$12,1936&lt;=IF('Loan Inputs'!$B$12,'Loan Inputs'!$B$7,0)*'Loan Inputs'!$B$14+0,ISNUMBER(G1941),G1941&gt;0),1936,"")</f>
        <v/>
      </c>
      <c r="B1942" s="4" t="str">
        <f>IF(A1942="","",IF('Loan Inputs'!$B$14=12,DATE(YEAR('Loan Inputs'!$B$8),MONTH('Loan Inputs'!$B$8)+A1942,DAY('Loan Inputs'!$B$8)),'Loan Inputs'!$B$8+A1942*IF('Loan Inputs'!$B$14=26,14,7)))</f>
        <v/>
      </c>
      <c r="C1942" s="2" t="str">
        <f t="shared" si="92"/>
        <v/>
      </c>
      <c r="D1942" s="2" t="str">
        <f>IF(A1942="","",MIN('Loan Inputs'!$B$17,C1942+E1942)+H1942)</f>
        <v/>
      </c>
      <c r="E1942" s="2" t="str">
        <f>IF(A1942="","",C1942*'Loan Inputs'!$B$15)</f>
        <v/>
      </c>
      <c r="F1942" s="2" t="str">
        <f t="shared" si="90"/>
        <v/>
      </c>
      <c r="G1942" s="2" t="str">
        <f t="shared" si="91"/>
        <v/>
      </c>
      <c r="H1942" s="2" t="str">
        <f>IF(A1942="","",MIN(0,MAX(0,C1942+E1942-'Loan Inputs'!$B$17)))</f>
        <v/>
      </c>
    </row>
    <row r="1943" spans="1:8" ht="22" customHeight="1">
      <c r="A1943" s="1" t="str">
        <f>IF(AND('Loan Inputs'!$B$12,1937&lt;=IF('Loan Inputs'!$B$12,'Loan Inputs'!$B$7,0)*'Loan Inputs'!$B$14+0,ISNUMBER(G1942),G1942&gt;0),1937,"")</f>
        <v/>
      </c>
      <c r="B1943" s="4" t="str">
        <f>IF(A1943="","",IF('Loan Inputs'!$B$14=12,DATE(YEAR('Loan Inputs'!$B$8),MONTH('Loan Inputs'!$B$8)+A1943,DAY('Loan Inputs'!$B$8)),'Loan Inputs'!$B$8+A1943*IF('Loan Inputs'!$B$14=26,14,7)))</f>
        <v/>
      </c>
      <c r="C1943" s="2" t="str">
        <f t="shared" si="92"/>
        <v/>
      </c>
      <c r="D1943" s="2" t="str">
        <f>IF(A1943="","",MIN('Loan Inputs'!$B$17,C1943+E1943)+H1943)</f>
        <v/>
      </c>
      <c r="E1943" s="2" t="str">
        <f>IF(A1943="","",C1943*'Loan Inputs'!$B$15)</f>
        <v/>
      </c>
      <c r="F1943" s="2" t="str">
        <f t="shared" si="90"/>
        <v/>
      </c>
      <c r="G1943" s="2" t="str">
        <f t="shared" si="91"/>
        <v/>
      </c>
      <c r="H1943" s="2" t="str">
        <f>IF(A1943="","",MIN(0,MAX(0,C1943+E1943-'Loan Inputs'!$B$17)))</f>
        <v/>
      </c>
    </row>
    <row r="1944" spans="1:8" ht="22" customHeight="1">
      <c r="A1944" s="1" t="str">
        <f>IF(AND('Loan Inputs'!$B$12,1938&lt;=IF('Loan Inputs'!$B$12,'Loan Inputs'!$B$7,0)*'Loan Inputs'!$B$14+0,ISNUMBER(G1943),G1943&gt;0),1938,"")</f>
        <v/>
      </c>
      <c r="B1944" s="4" t="str">
        <f>IF(A1944="","",IF('Loan Inputs'!$B$14=12,DATE(YEAR('Loan Inputs'!$B$8),MONTH('Loan Inputs'!$B$8)+A1944,DAY('Loan Inputs'!$B$8)),'Loan Inputs'!$B$8+A1944*IF('Loan Inputs'!$B$14=26,14,7)))</f>
        <v/>
      </c>
      <c r="C1944" s="2" t="str">
        <f t="shared" si="92"/>
        <v/>
      </c>
      <c r="D1944" s="2" t="str">
        <f>IF(A1944="","",MIN('Loan Inputs'!$B$17,C1944+E1944)+H1944)</f>
        <v/>
      </c>
      <c r="E1944" s="2" t="str">
        <f>IF(A1944="","",C1944*'Loan Inputs'!$B$15)</f>
        <v/>
      </c>
      <c r="F1944" s="2" t="str">
        <f t="shared" si="90"/>
        <v/>
      </c>
      <c r="G1944" s="2" t="str">
        <f t="shared" si="91"/>
        <v/>
      </c>
      <c r="H1944" s="2" t="str">
        <f>IF(A1944="","",MIN(0,MAX(0,C1944+E1944-'Loan Inputs'!$B$17)))</f>
        <v/>
      </c>
    </row>
    <row r="1945" spans="1:8" ht="22" customHeight="1">
      <c r="A1945" s="1" t="str">
        <f>IF(AND('Loan Inputs'!$B$12,1939&lt;=IF('Loan Inputs'!$B$12,'Loan Inputs'!$B$7,0)*'Loan Inputs'!$B$14+0,ISNUMBER(G1944),G1944&gt;0),1939,"")</f>
        <v/>
      </c>
      <c r="B1945" s="4" t="str">
        <f>IF(A1945="","",IF('Loan Inputs'!$B$14=12,DATE(YEAR('Loan Inputs'!$B$8),MONTH('Loan Inputs'!$B$8)+A1945,DAY('Loan Inputs'!$B$8)),'Loan Inputs'!$B$8+A1945*IF('Loan Inputs'!$B$14=26,14,7)))</f>
        <v/>
      </c>
      <c r="C1945" s="2" t="str">
        <f t="shared" si="92"/>
        <v/>
      </c>
      <c r="D1945" s="2" t="str">
        <f>IF(A1945="","",MIN('Loan Inputs'!$B$17,C1945+E1945)+H1945)</f>
        <v/>
      </c>
      <c r="E1945" s="2" t="str">
        <f>IF(A1945="","",C1945*'Loan Inputs'!$B$15)</f>
        <v/>
      </c>
      <c r="F1945" s="2" t="str">
        <f t="shared" si="90"/>
        <v/>
      </c>
      <c r="G1945" s="2" t="str">
        <f t="shared" si="91"/>
        <v/>
      </c>
      <c r="H1945" s="2" t="str">
        <f>IF(A1945="","",MIN(0,MAX(0,C1945+E1945-'Loan Inputs'!$B$17)))</f>
        <v/>
      </c>
    </row>
    <row r="1946" spans="1:8" ht="22" customHeight="1">
      <c r="A1946" s="1" t="str">
        <f>IF(AND('Loan Inputs'!$B$12,1940&lt;=IF('Loan Inputs'!$B$12,'Loan Inputs'!$B$7,0)*'Loan Inputs'!$B$14+0,ISNUMBER(G1945),G1945&gt;0),1940,"")</f>
        <v/>
      </c>
      <c r="B1946" s="4" t="str">
        <f>IF(A1946="","",IF('Loan Inputs'!$B$14=12,DATE(YEAR('Loan Inputs'!$B$8),MONTH('Loan Inputs'!$B$8)+A1946,DAY('Loan Inputs'!$B$8)),'Loan Inputs'!$B$8+A1946*IF('Loan Inputs'!$B$14=26,14,7)))</f>
        <v/>
      </c>
      <c r="C1946" s="2" t="str">
        <f t="shared" si="92"/>
        <v/>
      </c>
      <c r="D1946" s="2" t="str">
        <f>IF(A1946="","",MIN('Loan Inputs'!$B$17,C1946+E1946)+H1946)</f>
        <v/>
      </c>
      <c r="E1946" s="2" t="str">
        <f>IF(A1946="","",C1946*'Loan Inputs'!$B$15)</f>
        <v/>
      </c>
      <c r="F1946" s="2" t="str">
        <f t="shared" si="90"/>
        <v/>
      </c>
      <c r="G1946" s="2" t="str">
        <f t="shared" si="91"/>
        <v/>
      </c>
      <c r="H1946" s="2" t="str">
        <f>IF(A1946="","",MIN(0,MAX(0,C1946+E1946-'Loan Inputs'!$B$17)))</f>
        <v/>
      </c>
    </row>
    <row r="1947" spans="1:8" ht="22" customHeight="1">
      <c r="A1947" s="1" t="str">
        <f>IF(AND('Loan Inputs'!$B$12,1941&lt;=IF('Loan Inputs'!$B$12,'Loan Inputs'!$B$7,0)*'Loan Inputs'!$B$14+0,ISNUMBER(G1946),G1946&gt;0),1941,"")</f>
        <v/>
      </c>
      <c r="B1947" s="4" t="str">
        <f>IF(A1947="","",IF('Loan Inputs'!$B$14=12,DATE(YEAR('Loan Inputs'!$B$8),MONTH('Loan Inputs'!$B$8)+A1947,DAY('Loan Inputs'!$B$8)),'Loan Inputs'!$B$8+A1947*IF('Loan Inputs'!$B$14=26,14,7)))</f>
        <v/>
      </c>
      <c r="C1947" s="2" t="str">
        <f t="shared" si="92"/>
        <v/>
      </c>
      <c r="D1947" s="2" t="str">
        <f>IF(A1947="","",MIN('Loan Inputs'!$B$17,C1947+E1947)+H1947)</f>
        <v/>
      </c>
      <c r="E1947" s="2" t="str">
        <f>IF(A1947="","",C1947*'Loan Inputs'!$B$15)</f>
        <v/>
      </c>
      <c r="F1947" s="2" t="str">
        <f t="shared" si="90"/>
        <v/>
      </c>
      <c r="G1947" s="2" t="str">
        <f t="shared" si="91"/>
        <v/>
      </c>
      <c r="H1947" s="2" t="str">
        <f>IF(A1947="","",MIN(0,MAX(0,C1947+E1947-'Loan Inputs'!$B$17)))</f>
        <v/>
      </c>
    </row>
    <row r="1948" spans="1:8" ht="22" customHeight="1">
      <c r="A1948" s="1" t="str">
        <f>IF(AND('Loan Inputs'!$B$12,1942&lt;=IF('Loan Inputs'!$B$12,'Loan Inputs'!$B$7,0)*'Loan Inputs'!$B$14+0,ISNUMBER(G1947),G1947&gt;0),1942,"")</f>
        <v/>
      </c>
      <c r="B1948" s="4" t="str">
        <f>IF(A1948="","",IF('Loan Inputs'!$B$14=12,DATE(YEAR('Loan Inputs'!$B$8),MONTH('Loan Inputs'!$B$8)+A1948,DAY('Loan Inputs'!$B$8)),'Loan Inputs'!$B$8+A1948*IF('Loan Inputs'!$B$14=26,14,7)))</f>
        <v/>
      </c>
      <c r="C1948" s="2" t="str">
        <f t="shared" si="92"/>
        <v/>
      </c>
      <c r="D1948" s="2" t="str">
        <f>IF(A1948="","",MIN('Loan Inputs'!$B$17,C1948+E1948)+H1948)</f>
        <v/>
      </c>
      <c r="E1948" s="2" t="str">
        <f>IF(A1948="","",C1948*'Loan Inputs'!$B$15)</f>
        <v/>
      </c>
      <c r="F1948" s="2" t="str">
        <f t="shared" si="90"/>
        <v/>
      </c>
      <c r="G1948" s="2" t="str">
        <f t="shared" si="91"/>
        <v/>
      </c>
      <c r="H1948" s="2" t="str">
        <f>IF(A1948="","",MIN(0,MAX(0,C1948+E1948-'Loan Inputs'!$B$17)))</f>
        <v/>
      </c>
    </row>
    <row r="1949" spans="1:8" ht="22" customHeight="1">
      <c r="A1949" s="1" t="str">
        <f>IF(AND('Loan Inputs'!$B$12,1943&lt;=IF('Loan Inputs'!$B$12,'Loan Inputs'!$B$7,0)*'Loan Inputs'!$B$14+0,ISNUMBER(G1948),G1948&gt;0),1943,"")</f>
        <v/>
      </c>
      <c r="B1949" s="4" t="str">
        <f>IF(A1949="","",IF('Loan Inputs'!$B$14=12,DATE(YEAR('Loan Inputs'!$B$8),MONTH('Loan Inputs'!$B$8)+A1949,DAY('Loan Inputs'!$B$8)),'Loan Inputs'!$B$8+A1949*IF('Loan Inputs'!$B$14=26,14,7)))</f>
        <v/>
      </c>
      <c r="C1949" s="2" t="str">
        <f t="shared" si="92"/>
        <v/>
      </c>
      <c r="D1949" s="2" t="str">
        <f>IF(A1949="","",MIN('Loan Inputs'!$B$17,C1949+E1949)+H1949)</f>
        <v/>
      </c>
      <c r="E1949" s="2" t="str">
        <f>IF(A1949="","",C1949*'Loan Inputs'!$B$15)</f>
        <v/>
      </c>
      <c r="F1949" s="2" t="str">
        <f t="shared" si="90"/>
        <v/>
      </c>
      <c r="G1949" s="2" t="str">
        <f t="shared" si="91"/>
        <v/>
      </c>
      <c r="H1949" s="2" t="str">
        <f>IF(A1949="","",MIN(0,MAX(0,C1949+E1949-'Loan Inputs'!$B$17)))</f>
        <v/>
      </c>
    </row>
    <row r="1950" spans="1:8" ht="22" customHeight="1">
      <c r="A1950" s="1" t="str">
        <f>IF(AND('Loan Inputs'!$B$12,1944&lt;=IF('Loan Inputs'!$B$12,'Loan Inputs'!$B$7,0)*'Loan Inputs'!$B$14+0,ISNUMBER(G1949),G1949&gt;0),1944,"")</f>
        <v/>
      </c>
      <c r="B1950" s="4" t="str">
        <f>IF(A1950="","",IF('Loan Inputs'!$B$14=12,DATE(YEAR('Loan Inputs'!$B$8),MONTH('Loan Inputs'!$B$8)+A1950,DAY('Loan Inputs'!$B$8)),'Loan Inputs'!$B$8+A1950*IF('Loan Inputs'!$B$14=26,14,7)))</f>
        <v/>
      </c>
      <c r="C1950" s="2" t="str">
        <f t="shared" si="92"/>
        <v/>
      </c>
      <c r="D1950" s="2" t="str">
        <f>IF(A1950="","",MIN('Loan Inputs'!$B$17,C1950+E1950)+H1950)</f>
        <v/>
      </c>
      <c r="E1950" s="2" t="str">
        <f>IF(A1950="","",C1950*'Loan Inputs'!$B$15)</f>
        <v/>
      </c>
      <c r="F1950" s="2" t="str">
        <f t="shared" si="90"/>
        <v/>
      </c>
      <c r="G1950" s="2" t="str">
        <f t="shared" si="91"/>
        <v/>
      </c>
      <c r="H1950" s="2" t="str">
        <f>IF(A1950="","",MIN(0,MAX(0,C1950+E1950-'Loan Inputs'!$B$17)))</f>
        <v/>
      </c>
    </row>
    <row r="1951" spans="1:8" ht="22" customHeight="1">
      <c r="A1951" s="1" t="str">
        <f>IF(AND('Loan Inputs'!$B$12,1945&lt;=IF('Loan Inputs'!$B$12,'Loan Inputs'!$B$7,0)*'Loan Inputs'!$B$14+0,ISNUMBER(G1950),G1950&gt;0),1945,"")</f>
        <v/>
      </c>
      <c r="B1951" s="4" t="str">
        <f>IF(A1951="","",IF('Loan Inputs'!$B$14=12,DATE(YEAR('Loan Inputs'!$B$8),MONTH('Loan Inputs'!$B$8)+A1951,DAY('Loan Inputs'!$B$8)),'Loan Inputs'!$B$8+A1951*IF('Loan Inputs'!$B$14=26,14,7)))</f>
        <v/>
      </c>
      <c r="C1951" s="2" t="str">
        <f t="shared" si="92"/>
        <v/>
      </c>
      <c r="D1951" s="2" t="str">
        <f>IF(A1951="","",MIN('Loan Inputs'!$B$17,C1951+E1951)+H1951)</f>
        <v/>
      </c>
      <c r="E1951" s="2" t="str">
        <f>IF(A1951="","",C1951*'Loan Inputs'!$B$15)</f>
        <v/>
      </c>
      <c r="F1951" s="2" t="str">
        <f t="shared" si="90"/>
        <v/>
      </c>
      <c r="G1951" s="2" t="str">
        <f t="shared" si="91"/>
        <v/>
      </c>
      <c r="H1951" s="2" t="str">
        <f>IF(A1951="","",MIN(0,MAX(0,C1951+E1951-'Loan Inputs'!$B$17)))</f>
        <v/>
      </c>
    </row>
    <row r="1952" spans="1:8" ht="22" customHeight="1">
      <c r="A1952" s="1" t="str">
        <f>IF(AND('Loan Inputs'!$B$12,1946&lt;=IF('Loan Inputs'!$B$12,'Loan Inputs'!$B$7,0)*'Loan Inputs'!$B$14+0,ISNUMBER(G1951),G1951&gt;0),1946,"")</f>
        <v/>
      </c>
      <c r="B1952" s="4" t="str">
        <f>IF(A1952="","",IF('Loan Inputs'!$B$14=12,DATE(YEAR('Loan Inputs'!$B$8),MONTH('Loan Inputs'!$B$8)+A1952,DAY('Loan Inputs'!$B$8)),'Loan Inputs'!$B$8+A1952*IF('Loan Inputs'!$B$14=26,14,7)))</f>
        <v/>
      </c>
      <c r="C1952" s="2" t="str">
        <f t="shared" si="92"/>
        <v/>
      </c>
      <c r="D1952" s="2" t="str">
        <f>IF(A1952="","",MIN('Loan Inputs'!$B$17,C1952+E1952)+H1952)</f>
        <v/>
      </c>
      <c r="E1952" s="2" t="str">
        <f>IF(A1952="","",C1952*'Loan Inputs'!$B$15)</f>
        <v/>
      </c>
      <c r="F1952" s="2" t="str">
        <f t="shared" si="90"/>
        <v/>
      </c>
      <c r="G1952" s="2" t="str">
        <f t="shared" si="91"/>
        <v/>
      </c>
      <c r="H1952" s="2" t="str">
        <f>IF(A1952="","",MIN(0,MAX(0,C1952+E1952-'Loan Inputs'!$B$17)))</f>
        <v/>
      </c>
    </row>
    <row r="1953" spans="1:8" ht="22" customHeight="1">
      <c r="A1953" s="1" t="str">
        <f>IF(AND('Loan Inputs'!$B$12,1947&lt;=IF('Loan Inputs'!$B$12,'Loan Inputs'!$B$7,0)*'Loan Inputs'!$B$14+0,ISNUMBER(G1952),G1952&gt;0),1947,"")</f>
        <v/>
      </c>
      <c r="B1953" s="4" t="str">
        <f>IF(A1953="","",IF('Loan Inputs'!$B$14=12,DATE(YEAR('Loan Inputs'!$B$8),MONTH('Loan Inputs'!$B$8)+A1953,DAY('Loan Inputs'!$B$8)),'Loan Inputs'!$B$8+A1953*IF('Loan Inputs'!$B$14=26,14,7)))</f>
        <v/>
      </c>
      <c r="C1953" s="2" t="str">
        <f t="shared" si="92"/>
        <v/>
      </c>
      <c r="D1953" s="2" t="str">
        <f>IF(A1953="","",MIN('Loan Inputs'!$B$17,C1953+E1953)+H1953)</f>
        <v/>
      </c>
      <c r="E1953" s="2" t="str">
        <f>IF(A1953="","",C1953*'Loan Inputs'!$B$15)</f>
        <v/>
      </c>
      <c r="F1953" s="2" t="str">
        <f t="shared" si="90"/>
        <v/>
      </c>
      <c r="G1953" s="2" t="str">
        <f t="shared" si="91"/>
        <v/>
      </c>
      <c r="H1953" s="2" t="str">
        <f>IF(A1953="","",MIN(0,MAX(0,C1953+E1953-'Loan Inputs'!$B$17)))</f>
        <v/>
      </c>
    </row>
    <row r="1954" spans="1:8" ht="22" customHeight="1">
      <c r="A1954" s="1" t="str">
        <f>IF(AND('Loan Inputs'!$B$12,1948&lt;=IF('Loan Inputs'!$B$12,'Loan Inputs'!$B$7,0)*'Loan Inputs'!$B$14+0,ISNUMBER(G1953),G1953&gt;0),1948,"")</f>
        <v/>
      </c>
      <c r="B1954" s="4" t="str">
        <f>IF(A1954="","",IF('Loan Inputs'!$B$14=12,DATE(YEAR('Loan Inputs'!$B$8),MONTH('Loan Inputs'!$B$8)+A1954,DAY('Loan Inputs'!$B$8)),'Loan Inputs'!$B$8+A1954*IF('Loan Inputs'!$B$14=26,14,7)))</f>
        <v/>
      </c>
      <c r="C1954" s="2" t="str">
        <f t="shared" si="92"/>
        <v/>
      </c>
      <c r="D1954" s="2" t="str">
        <f>IF(A1954="","",MIN('Loan Inputs'!$B$17,C1954+E1954)+H1954)</f>
        <v/>
      </c>
      <c r="E1954" s="2" t="str">
        <f>IF(A1954="","",C1954*'Loan Inputs'!$B$15)</f>
        <v/>
      </c>
      <c r="F1954" s="2" t="str">
        <f t="shared" si="90"/>
        <v/>
      </c>
      <c r="G1954" s="2" t="str">
        <f t="shared" si="91"/>
        <v/>
      </c>
      <c r="H1954" s="2" t="str">
        <f>IF(A1954="","",MIN(0,MAX(0,C1954+E1954-'Loan Inputs'!$B$17)))</f>
        <v/>
      </c>
    </row>
    <row r="1955" spans="1:8" ht="22" customHeight="1">
      <c r="A1955" s="1" t="str">
        <f>IF(AND('Loan Inputs'!$B$12,1949&lt;=IF('Loan Inputs'!$B$12,'Loan Inputs'!$B$7,0)*'Loan Inputs'!$B$14+0,ISNUMBER(G1954),G1954&gt;0),1949,"")</f>
        <v/>
      </c>
      <c r="B1955" s="4" t="str">
        <f>IF(A1955="","",IF('Loan Inputs'!$B$14=12,DATE(YEAR('Loan Inputs'!$B$8),MONTH('Loan Inputs'!$B$8)+A1955,DAY('Loan Inputs'!$B$8)),'Loan Inputs'!$B$8+A1955*IF('Loan Inputs'!$B$14=26,14,7)))</f>
        <v/>
      </c>
      <c r="C1955" s="2" t="str">
        <f t="shared" si="92"/>
        <v/>
      </c>
      <c r="D1955" s="2" t="str">
        <f>IF(A1955="","",MIN('Loan Inputs'!$B$17,C1955+E1955)+H1955)</f>
        <v/>
      </c>
      <c r="E1955" s="2" t="str">
        <f>IF(A1955="","",C1955*'Loan Inputs'!$B$15)</f>
        <v/>
      </c>
      <c r="F1955" s="2" t="str">
        <f t="shared" si="90"/>
        <v/>
      </c>
      <c r="G1955" s="2" t="str">
        <f t="shared" si="91"/>
        <v/>
      </c>
      <c r="H1955" s="2" t="str">
        <f>IF(A1955="","",MIN(0,MAX(0,C1955+E1955-'Loan Inputs'!$B$17)))</f>
        <v/>
      </c>
    </row>
    <row r="1956" spans="1:8" ht="22" customHeight="1">
      <c r="A1956" s="1" t="str">
        <f>IF(AND('Loan Inputs'!$B$12,1950&lt;=IF('Loan Inputs'!$B$12,'Loan Inputs'!$B$7,0)*'Loan Inputs'!$B$14+0,ISNUMBER(G1955),G1955&gt;0),1950,"")</f>
        <v/>
      </c>
      <c r="B1956" s="4" t="str">
        <f>IF(A1956="","",IF('Loan Inputs'!$B$14=12,DATE(YEAR('Loan Inputs'!$B$8),MONTH('Loan Inputs'!$B$8)+A1956,DAY('Loan Inputs'!$B$8)),'Loan Inputs'!$B$8+A1956*IF('Loan Inputs'!$B$14=26,14,7)))</f>
        <v/>
      </c>
      <c r="C1956" s="2" t="str">
        <f t="shared" si="92"/>
        <v/>
      </c>
      <c r="D1956" s="2" t="str">
        <f>IF(A1956="","",MIN('Loan Inputs'!$B$17,C1956+E1956)+H1956)</f>
        <v/>
      </c>
      <c r="E1956" s="2" t="str">
        <f>IF(A1956="","",C1956*'Loan Inputs'!$B$15)</f>
        <v/>
      </c>
      <c r="F1956" s="2" t="str">
        <f t="shared" si="90"/>
        <v/>
      </c>
      <c r="G1956" s="2" t="str">
        <f t="shared" si="91"/>
        <v/>
      </c>
      <c r="H1956" s="2" t="str">
        <f>IF(A1956="","",MIN(0,MAX(0,C1956+E1956-'Loan Inputs'!$B$17)))</f>
        <v/>
      </c>
    </row>
    <row r="1957" spans="1:8" ht="22" customHeight="1">
      <c r="A1957" s="1" t="str">
        <f>IF(AND('Loan Inputs'!$B$12,1951&lt;=IF('Loan Inputs'!$B$12,'Loan Inputs'!$B$7,0)*'Loan Inputs'!$B$14+0,ISNUMBER(G1956),G1956&gt;0),1951,"")</f>
        <v/>
      </c>
      <c r="B1957" s="4" t="str">
        <f>IF(A1957="","",IF('Loan Inputs'!$B$14=12,DATE(YEAR('Loan Inputs'!$B$8),MONTH('Loan Inputs'!$B$8)+A1957,DAY('Loan Inputs'!$B$8)),'Loan Inputs'!$B$8+A1957*IF('Loan Inputs'!$B$14=26,14,7)))</f>
        <v/>
      </c>
      <c r="C1957" s="2" t="str">
        <f t="shared" si="92"/>
        <v/>
      </c>
      <c r="D1957" s="2" t="str">
        <f>IF(A1957="","",MIN('Loan Inputs'!$B$17,C1957+E1957)+H1957)</f>
        <v/>
      </c>
      <c r="E1957" s="2" t="str">
        <f>IF(A1957="","",C1957*'Loan Inputs'!$B$15)</f>
        <v/>
      </c>
      <c r="F1957" s="2" t="str">
        <f t="shared" si="90"/>
        <v/>
      </c>
      <c r="G1957" s="2" t="str">
        <f t="shared" si="91"/>
        <v/>
      </c>
      <c r="H1957" s="2" t="str">
        <f>IF(A1957="","",MIN(0,MAX(0,C1957+E1957-'Loan Inputs'!$B$17)))</f>
        <v/>
      </c>
    </row>
    <row r="1958" spans="1:8" ht="22" customHeight="1">
      <c r="A1958" s="1" t="str">
        <f>IF(AND('Loan Inputs'!$B$12,1952&lt;=IF('Loan Inputs'!$B$12,'Loan Inputs'!$B$7,0)*'Loan Inputs'!$B$14+0,ISNUMBER(G1957),G1957&gt;0),1952,"")</f>
        <v/>
      </c>
      <c r="B1958" s="4" t="str">
        <f>IF(A1958="","",IF('Loan Inputs'!$B$14=12,DATE(YEAR('Loan Inputs'!$B$8),MONTH('Loan Inputs'!$B$8)+A1958,DAY('Loan Inputs'!$B$8)),'Loan Inputs'!$B$8+A1958*IF('Loan Inputs'!$B$14=26,14,7)))</f>
        <v/>
      </c>
      <c r="C1958" s="2" t="str">
        <f t="shared" si="92"/>
        <v/>
      </c>
      <c r="D1958" s="2" t="str">
        <f>IF(A1958="","",MIN('Loan Inputs'!$B$17,C1958+E1958)+H1958)</f>
        <v/>
      </c>
      <c r="E1958" s="2" t="str">
        <f>IF(A1958="","",C1958*'Loan Inputs'!$B$15)</f>
        <v/>
      </c>
      <c r="F1958" s="2" t="str">
        <f t="shared" si="90"/>
        <v/>
      </c>
      <c r="G1958" s="2" t="str">
        <f t="shared" si="91"/>
        <v/>
      </c>
      <c r="H1958" s="2" t="str">
        <f>IF(A1958="","",MIN(0,MAX(0,C1958+E1958-'Loan Inputs'!$B$17)))</f>
        <v/>
      </c>
    </row>
    <row r="1959" spans="1:8" ht="22" customHeight="1">
      <c r="A1959" s="1" t="str">
        <f>IF(AND('Loan Inputs'!$B$12,1953&lt;=IF('Loan Inputs'!$B$12,'Loan Inputs'!$B$7,0)*'Loan Inputs'!$B$14+0,ISNUMBER(G1958),G1958&gt;0),1953,"")</f>
        <v/>
      </c>
      <c r="B1959" s="4" t="str">
        <f>IF(A1959="","",IF('Loan Inputs'!$B$14=12,DATE(YEAR('Loan Inputs'!$B$8),MONTH('Loan Inputs'!$B$8)+A1959,DAY('Loan Inputs'!$B$8)),'Loan Inputs'!$B$8+A1959*IF('Loan Inputs'!$B$14=26,14,7)))</f>
        <v/>
      </c>
      <c r="C1959" s="2" t="str">
        <f t="shared" si="92"/>
        <v/>
      </c>
      <c r="D1959" s="2" t="str">
        <f>IF(A1959="","",MIN('Loan Inputs'!$B$17,C1959+E1959)+H1959)</f>
        <v/>
      </c>
      <c r="E1959" s="2" t="str">
        <f>IF(A1959="","",C1959*'Loan Inputs'!$B$15)</f>
        <v/>
      </c>
      <c r="F1959" s="2" t="str">
        <f t="shared" si="90"/>
        <v/>
      </c>
      <c r="G1959" s="2" t="str">
        <f t="shared" si="91"/>
        <v/>
      </c>
      <c r="H1959" s="2" t="str">
        <f>IF(A1959="","",MIN(0,MAX(0,C1959+E1959-'Loan Inputs'!$B$17)))</f>
        <v/>
      </c>
    </row>
    <row r="1960" spans="1:8" ht="22" customHeight="1">
      <c r="A1960" s="1" t="str">
        <f>IF(AND('Loan Inputs'!$B$12,1954&lt;=IF('Loan Inputs'!$B$12,'Loan Inputs'!$B$7,0)*'Loan Inputs'!$B$14+0,ISNUMBER(G1959),G1959&gt;0),1954,"")</f>
        <v/>
      </c>
      <c r="B1960" s="4" t="str">
        <f>IF(A1960="","",IF('Loan Inputs'!$B$14=12,DATE(YEAR('Loan Inputs'!$B$8),MONTH('Loan Inputs'!$B$8)+A1960,DAY('Loan Inputs'!$B$8)),'Loan Inputs'!$B$8+A1960*IF('Loan Inputs'!$B$14=26,14,7)))</f>
        <v/>
      </c>
      <c r="C1960" s="2" t="str">
        <f t="shared" si="92"/>
        <v/>
      </c>
      <c r="D1960" s="2" t="str">
        <f>IF(A1960="","",MIN('Loan Inputs'!$B$17,C1960+E1960)+H1960)</f>
        <v/>
      </c>
      <c r="E1960" s="2" t="str">
        <f>IF(A1960="","",C1960*'Loan Inputs'!$B$15)</f>
        <v/>
      </c>
      <c r="F1960" s="2" t="str">
        <f t="shared" si="90"/>
        <v/>
      </c>
      <c r="G1960" s="2" t="str">
        <f t="shared" si="91"/>
        <v/>
      </c>
      <c r="H1960" s="2" t="str">
        <f>IF(A1960="","",MIN(0,MAX(0,C1960+E1960-'Loan Inputs'!$B$17)))</f>
        <v/>
      </c>
    </row>
    <row r="1961" spans="1:8" ht="22" customHeight="1">
      <c r="A1961" s="1" t="str">
        <f>IF(AND('Loan Inputs'!$B$12,1955&lt;=IF('Loan Inputs'!$B$12,'Loan Inputs'!$B$7,0)*'Loan Inputs'!$B$14+0,ISNUMBER(G1960),G1960&gt;0),1955,"")</f>
        <v/>
      </c>
      <c r="B1961" s="4" t="str">
        <f>IF(A1961="","",IF('Loan Inputs'!$B$14=12,DATE(YEAR('Loan Inputs'!$B$8),MONTH('Loan Inputs'!$B$8)+A1961,DAY('Loan Inputs'!$B$8)),'Loan Inputs'!$B$8+A1961*IF('Loan Inputs'!$B$14=26,14,7)))</f>
        <v/>
      </c>
      <c r="C1961" s="2" t="str">
        <f t="shared" si="92"/>
        <v/>
      </c>
      <c r="D1961" s="2" t="str">
        <f>IF(A1961="","",MIN('Loan Inputs'!$B$17,C1961+E1961)+H1961)</f>
        <v/>
      </c>
      <c r="E1961" s="2" t="str">
        <f>IF(A1961="","",C1961*'Loan Inputs'!$B$15)</f>
        <v/>
      </c>
      <c r="F1961" s="2" t="str">
        <f t="shared" si="90"/>
        <v/>
      </c>
      <c r="G1961" s="2" t="str">
        <f t="shared" si="91"/>
        <v/>
      </c>
      <c r="H1961" s="2" t="str">
        <f>IF(A1961="","",MIN(0,MAX(0,C1961+E1961-'Loan Inputs'!$B$17)))</f>
        <v/>
      </c>
    </row>
    <row r="1962" spans="1:8" ht="22" customHeight="1">
      <c r="A1962" s="1" t="str">
        <f>IF(AND('Loan Inputs'!$B$12,1956&lt;=IF('Loan Inputs'!$B$12,'Loan Inputs'!$B$7,0)*'Loan Inputs'!$B$14+0,ISNUMBER(G1961),G1961&gt;0),1956,"")</f>
        <v/>
      </c>
      <c r="B1962" s="4" t="str">
        <f>IF(A1962="","",IF('Loan Inputs'!$B$14=12,DATE(YEAR('Loan Inputs'!$B$8),MONTH('Loan Inputs'!$B$8)+A1962,DAY('Loan Inputs'!$B$8)),'Loan Inputs'!$B$8+A1962*IF('Loan Inputs'!$B$14=26,14,7)))</f>
        <v/>
      </c>
      <c r="C1962" s="2" t="str">
        <f t="shared" si="92"/>
        <v/>
      </c>
      <c r="D1962" s="2" t="str">
        <f>IF(A1962="","",MIN('Loan Inputs'!$B$17,C1962+E1962)+H1962)</f>
        <v/>
      </c>
      <c r="E1962" s="2" t="str">
        <f>IF(A1962="","",C1962*'Loan Inputs'!$B$15)</f>
        <v/>
      </c>
      <c r="F1962" s="2" t="str">
        <f t="shared" si="90"/>
        <v/>
      </c>
      <c r="G1962" s="2" t="str">
        <f t="shared" si="91"/>
        <v/>
      </c>
      <c r="H1962" s="2" t="str">
        <f>IF(A1962="","",MIN(0,MAX(0,C1962+E1962-'Loan Inputs'!$B$17)))</f>
        <v/>
      </c>
    </row>
    <row r="1963" spans="1:8" ht="22" customHeight="1">
      <c r="A1963" s="1" t="str">
        <f>IF(AND('Loan Inputs'!$B$12,1957&lt;=IF('Loan Inputs'!$B$12,'Loan Inputs'!$B$7,0)*'Loan Inputs'!$B$14+0,ISNUMBER(G1962),G1962&gt;0),1957,"")</f>
        <v/>
      </c>
      <c r="B1963" s="4" t="str">
        <f>IF(A1963="","",IF('Loan Inputs'!$B$14=12,DATE(YEAR('Loan Inputs'!$B$8),MONTH('Loan Inputs'!$B$8)+A1963,DAY('Loan Inputs'!$B$8)),'Loan Inputs'!$B$8+A1963*IF('Loan Inputs'!$B$14=26,14,7)))</f>
        <v/>
      </c>
      <c r="C1963" s="2" t="str">
        <f t="shared" si="92"/>
        <v/>
      </c>
      <c r="D1963" s="2" t="str">
        <f>IF(A1963="","",MIN('Loan Inputs'!$B$17,C1963+E1963)+H1963)</f>
        <v/>
      </c>
      <c r="E1963" s="2" t="str">
        <f>IF(A1963="","",C1963*'Loan Inputs'!$B$15)</f>
        <v/>
      </c>
      <c r="F1963" s="2" t="str">
        <f t="shared" si="90"/>
        <v/>
      </c>
      <c r="G1963" s="2" t="str">
        <f t="shared" si="91"/>
        <v/>
      </c>
      <c r="H1963" s="2" t="str">
        <f>IF(A1963="","",MIN(0,MAX(0,C1963+E1963-'Loan Inputs'!$B$17)))</f>
        <v/>
      </c>
    </row>
    <row r="1964" spans="1:8" ht="22" customHeight="1">
      <c r="A1964" s="1" t="str">
        <f>IF(AND('Loan Inputs'!$B$12,1958&lt;=IF('Loan Inputs'!$B$12,'Loan Inputs'!$B$7,0)*'Loan Inputs'!$B$14+0,ISNUMBER(G1963),G1963&gt;0),1958,"")</f>
        <v/>
      </c>
      <c r="B1964" s="4" t="str">
        <f>IF(A1964="","",IF('Loan Inputs'!$B$14=12,DATE(YEAR('Loan Inputs'!$B$8),MONTH('Loan Inputs'!$B$8)+A1964,DAY('Loan Inputs'!$B$8)),'Loan Inputs'!$B$8+A1964*IF('Loan Inputs'!$B$14=26,14,7)))</f>
        <v/>
      </c>
      <c r="C1964" s="2" t="str">
        <f t="shared" si="92"/>
        <v/>
      </c>
      <c r="D1964" s="2" t="str">
        <f>IF(A1964="","",MIN('Loan Inputs'!$B$17,C1964+E1964)+H1964)</f>
        <v/>
      </c>
      <c r="E1964" s="2" t="str">
        <f>IF(A1964="","",C1964*'Loan Inputs'!$B$15)</f>
        <v/>
      </c>
      <c r="F1964" s="2" t="str">
        <f t="shared" si="90"/>
        <v/>
      </c>
      <c r="G1964" s="2" t="str">
        <f t="shared" si="91"/>
        <v/>
      </c>
      <c r="H1964" s="2" t="str">
        <f>IF(A1964="","",MIN(0,MAX(0,C1964+E1964-'Loan Inputs'!$B$17)))</f>
        <v/>
      </c>
    </row>
    <row r="1965" spans="1:8" ht="22" customHeight="1">
      <c r="A1965" s="1" t="str">
        <f>IF(AND('Loan Inputs'!$B$12,1959&lt;=IF('Loan Inputs'!$B$12,'Loan Inputs'!$B$7,0)*'Loan Inputs'!$B$14+0,ISNUMBER(G1964),G1964&gt;0),1959,"")</f>
        <v/>
      </c>
      <c r="B1965" s="4" t="str">
        <f>IF(A1965="","",IF('Loan Inputs'!$B$14=12,DATE(YEAR('Loan Inputs'!$B$8),MONTH('Loan Inputs'!$B$8)+A1965,DAY('Loan Inputs'!$B$8)),'Loan Inputs'!$B$8+A1965*IF('Loan Inputs'!$B$14=26,14,7)))</f>
        <v/>
      </c>
      <c r="C1965" s="2" t="str">
        <f t="shared" si="92"/>
        <v/>
      </c>
      <c r="D1965" s="2" t="str">
        <f>IF(A1965="","",MIN('Loan Inputs'!$B$17,C1965+E1965)+H1965)</f>
        <v/>
      </c>
      <c r="E1965" s="2" t="str">
        <f>IF(A1965="","",C1965*'Loan Inputs'!$B$15)</f>
        <v/>
      </c>
      <c r="F1965" s="2" t="str">
        <f t="shared" si="90"/>
        <v/>
      </c>
      <c r="G1965" s="2" t="str">
        <f t="shared" si="91"/>
        <v/>
      </c>
      <c r="H1965" s="2" t="str">
        <f>IF(A1965="","",MIN(0,MAX(0,C1965+E1965-'Loan Inputs'!$B$17)))</f>
        <v/>
      </c>
    </row>
    <row r="1966" spans="1:8" ht="22" customHeight="1">
      <c r="A1966" s="1" t="str">
        <f>IF(AND('Loan Inputs'!$B$12,1960&lt;=IF('Loan Inputs'!$B$12,'Loan Inputs'!$B$7,0)*'Loan Inputs'!$B$14+0,ISNUMBER(G1965),G1965&gt;0),1960,"")</f>
        <v/>
      </c>
      <c r="B1966" s="4" t="str">
        <f>IF(A1966="","",IF('Loan Inputs'!$B$14=12,DATE(YEAR('Loan Inputs'!$B$8),MONTH('Loan Inputs'!$B$8)+A1966,DAY('Loan Inputs'!$B$8)),'Loan Inputs'!$B$8+A1966*IF('Loan Inputs'!$B$14=26,14,7)))</f>
        <v/>
      </c>
      <c r="C1966" s="2" t="str">
        <f t="shared" si="92"/>
        <v/>
      </c>
      <c r="D1966" s="2" t="str">
        <f>IF(A1966="","",MIN('Loan Inputs'!$B$17,C1966+E1966)+H1966)</f>
        <v/>
      </c>
      <c r="E1966" s="2" t="str">
        <f>IF(A1966="","",C1966*'Loan Inputs'!$B$15)</f>
        <v/>
      </c>
      <c r="F1966" s="2" t="str">
        <f t="shared" si="90"/>
        <v/>
      </c>
      <c r="G1966" s="2" t="str">
        <f t="shared" si="91"/>
        <v/>
      </c>
      <c r="H1966" s="2" t="str">
        <f>IF(A1966="","",MIN(0,MAX(0,C1966+E1966-'Loan Inputs'!$B$17)))</f>
        <v/>
      </c>
    </row>
    <row r="1967" spans="1:8" ht="22" customHeight="1">
      <c r="A1967" s="1" t="str">
        <f>IF(AND('Loan Inputs'!$B$12,1961&lt;=IF('Loan Inputs'!$B$12,'Loan Inputs'!$B$7,0)*'Loan Inputs'!$B$14+0,ISNUMBER(G1966),G1966&gt;0),1961,"")</f>
        <v/>
      </c>
      <c r="B1967" s="4" t="str">
        <f>IF(A1967="","",IF('Loan Inputs'!$B$14=12,DATE(YEAR('Loan Inputs'!$B$8),MONTH('Loan Inputs'!$B$8)+A1967,DAY('Loan Inputs'!$B$8)),'Loan Inputs'!$B$8+A1967*IF('Loan Inputs'!$B$14=26,14,7)))</f>
        <v/>
      </c>
      <c r="C1967" s="2" t="str">
        <f t="shared" si="92"/>
        <v/>
      </c>
      <c r="D1967" s="2" t="str">
        <f>IF(A1967="","",MIN('Loan Inputs'!$B$17,C1967+E1967)+H1967)</f>
        <v/>
      </c>
      <c r="E1967" s="2" t="str">
        <f>IF(A1967="","",C1967*'Loan Inputs'!$B$15)</f>
        <v/>
      </c>
      <c r="F1967" s="2" t="str">
        <f t="shared" si="90"/>
        <v/>
      </c>
      <c r="G1967" s="2" t="str">
        <f t="shared" si="91"/>
        <v/>
      </c>
      <c r="H1967" s="2" t="str">
        <f>IF(A1967="","",MIN(0,MAX(0,C1967+E1967-'Loan Inputs'!$B$17)))</f>
        <v/>
      </c>
    </row>
    <row r="1968" spans="1:8" ht="22" customHeight="1">
      <c r="A1968" s="1" t="str">
        <f>IF(AND('Loan Inputs'!$B$12,1962&lt;=IF('Loan Inputs'!$B$12,'Loan Inputs'!$B$7,0)*'Loan Inputs'!$B$14+0,ISNUMBER(G1967),G1967&gt;0),1962,"")</f>
        <v/>
      </c>
      <c r="B1968" s="4" t="str">
        <f>IF(A1968="","",IF('Loan Inputs'!$B$14=12,DATE(YEAR('Loan Inputs'!$B$8),MONTH('Loan Inputs'!$B$8)+A1968,DAY('Loan Inputs'!$B$8)),'Loan Inputs'!$B$8+A1968*IF('Loan Inputs'!$B$14=26,14,7)))</f>
        <v/>
      </c>
      <c r="C1968" s="2" t="str">
        <f t="shared" si="92"/>
        <v/>
      </c>
      <c r="D1968" s="2" t="str">
        <f>IF(A1968="","",MIN('Loan Inputs'!$B$17,C1968+E1968)+H1968)</f>
        <v/>
      </c>
      <c r="E1968" s="2" t="str">
        <f>IF(A1968="","",C1968*'Loan Inputs'!$B$15)</f>
        <v/>
      </c>
      <c r="F1968" s="2" t="str">
        <f t="shared" si="90"/>
        <v/>
      </c>
      <c r="G1968" s="2" t="str">
        <f t="shared" si="91"/>
        <v/>
      </c>
      <c r="H1968" s="2" t="str">
        <f>IF(A1968="","",MIN(0,MAX(0,C1968+E1968-'Loan Inputs'!$B$17)))</f>
        <v/>
      </c>
    </row>
    <row r="1969" spans="1:8" ht="22" customHeight="1">
      <c r="A1969" s="1" t="str">
        <f>IF(AND('Loan Inputs'!$B$12,1963&lt;=IF('Loan Inputs'!$B$12,'Loan Inputs'!$B$7,0)*'Loan Inputs'!$B$14+0,ISNUMBER(G1968),G1968&gt;0),1963,"")</f>
        <v/>
      </c>
      <c r="B1969" s="4" t="str">
        <f>IF(A1969="","",IF('Loan Inputs'!$B$14=12,DATE(YEAR('Loan Inputs'!$B$8),MONTH('Loan Inputs'!$B$8)+A1969,DAY('Loan Inputs'!$B$8)),'Loan Inputs'!$B$8+A1969*IF('Loan Inputs'!$B$14=26,14,7)))</f>
        <v/>
      </c>
      <c r="C1969" s="2" t="str">
        <f t="shared" si="92"/>
        <v/>
      </c>
      <c r="D1969" s="2" t="str">
        <f>IF(A1969="","",MIN('Loan Inputs'!$B$17,C1969+E1969)+H1969)</f>
        <v/>
      </c>
      <c r="E1969" s="2" t="str">
        <f>IF(A1969="","",C1969*'Loan Inputs'!$B$15)</f>
        <v/>
      </c>
      <c r="F1969" s="2" t="str">
        <f t="shared" si="90"/>
        <v/>
      </c>
      <c r="G1969" s="2" t="str">
        <f t="shared" si="91"/>
        <v/>
      </c>
      <c r="H1969" s="2" t="str">
        <f>IF(A1969="","",MIN(0,MAX(0,C1969+E1969-'Loan Inputs'!$B$17)))</f>
        <v/>
      </c>
    </row>
    <row r="1970" spans="1:8" ht="22" customHeight="1">
      <c r="A1970" s="1" t="str">
        <f>IF(AND('Loan Inputs'!$B$12,1964&lt;=IF('Loan Inputs'!$B$12,'Loan Inputs'!$B$7,0)*'Loan Inputs'!$B$14+0,ISNUMBER(G1969),G1969&gt;0),1964,"")</f>
        <v/>
      </c>
      <c r="B1970" s="4" t="str">
        <f>IF(A1970="","",IF('Loan Inputs'!$B$14=12,DATE(YEAR('Loan Inputs'!$B$8),MONTH('Loan Inputs'!$B$8)+A1970,DAY('Loan Inputs'!$B$8)),'Loan Inputs'!$B$8+A1970*IF('Loan Inputs'!$B$14=26,14,7)))</f>
        <v/>
      </c>
      <c r="C1970" s="2" t="str">
        <f t="shared" si="92"/>
        <v/>
      </c>
      <c r="D1970" s="2" t="str">
        <f>IF(A1970="","",MIN('Loan Inputs'!$B$17,C1970+E1970)+H1970)</f>
        <v/>
      </c>
      <c r="E1970" s="2" t="str">
        <f>IF(A1970="","",C1970*'Loan Inputs'!$B$15)</f>
        <v/>
      </c>
      <c r="F1970" s="2" t="str">
        <f t="shared" si="90"/>
        <v/>
      </c>
      <c r="G1970" s="2" t="str">
        <f t="shared" si="91"/>
        <v/>
      </c>
      <c r="H1970" s="2" t="str">
        <f>IF(A1970="","",MIN(0,MAX(0,C1970+E1970-'Loan Inputs'!$B$17)))</f>
        <v/>
      </c>
    </row>
    <row r="1971" spans="1:8" ht="22" customHeight="1">
      <c r="A1971" s="1" t="str">
        <f>IF(AND('Loan Inputs'!$B$12,1965&lt;=IF('Loan Inputs'!$B$12,'Loan Inputs'!$B$7,0)*'Loan Inputs'!$B$14+0,ISNUMBER(G1970),G1970&gt;0),1965,"")</f>
        <v/>
      </c>
      <c r="B1971" s="4" t="str">
        <f>IF(A1971="","",IF('Loan Inputs'!$B$14=12,DATE(YEAR('Loan Inputs'!$B$8),MONTH('Loan Inputs'!$B$8)+A1971,DAY('Loan Inputs'!$B$8)),'Loan Inputs'!$B$8+A1971*IF('Loan Inputs'!$B$14=26,14,7)))</f>
        <v/>
      </c>
      <c r="C1971" s="2" t="str">
        <f t="shared" si="92"/>
        <v/>
      </c>
      <c r="D1971" s="2" t="str">
        <f>IF(A1971="","",MIN('Loan Inputs'!$B$17,C1971+E1971)+H1971)</f>
        <v/>
      </c>
      <c r="E1971" s="2" t="str">
        <f>IF(A1971="","",C1971*'Loan Inputs'!$B$15)</f>
        <v/>
      </c>
      <c r="F1971" s="2" t="str">
        <f t="shared" si="90"/>
        <v/>
      </c>
      <c r="G1971" s="2" t="str">
        <f t="shared" si="91"/>
        <v/>
      </c>
      <c r="H1971" s="2" t="str">
        <f>IF(A1971="","",MIN(0,MAX(0,C1971+E1971-'Loan Inputs'!$B$17)))</f>
        <v/>
      </c>
    </row>
    <row r="1972" spans="1:8" ht="22" customHeight="1">
      <c r="A1972" s="1" t="str">
        <f>IF(AND('Loan Inputs'!$B$12,1966&lt;=IF('Loan Inputs'!$B$12,'Loan Inputs'!$B$7,0)*'Loan Inputs'!$B$14+0,ISNUMBER(G1971),G1971&gt;0),1966,"")</f>
        <v/>
      </c>
      <c r="B1972" s="4" t="str">
        <f>IF(A1972="","",IF('Loan Inputs'!$B$14=12,DATE(YEAR('Loan Inputs'!$B$8),MONTH('Loan Inputs'!$B$8)+A1972,DAY('Loan Inputs'!$B$8)),'Loan Inputs'!$B$8+A1972*IF('Loan Inputs'!$B$14=26,14,7)))</f>
        <v/>
      </c>
      <c r="C1972" s="2" t="str">
        <f t="shared" si="92"/>
        <v/>
      </c>
      <c r="D1972" s="2" t="str">
        <f>IF(A1972="","",MIN('Loan Inputs'!$B$17,C1972+E1972)+H1972)</f>
        <v/>
      </c>
      <c r="E1972" s="2" t="str">
        <f>IF(A1972="","",C1972*'Loan Inputs'!$B$15)</f>
        <v/>
      </c>
      <c r="F1972" s="2" t="str">
        <f t="shared" si="90"/>
        <v/>
      </c>
      <c r="G1972" s="2" t="str">
        <f t="shared" si="91"/>
        <v/>
      </c>
      <c r="H1972" s="2" t="str">
        <f>IF(A1972="","",MIN(0,MAX(0,C1972+E1972-'Loan Inputs'!$B$17)))</f>
        <v/>
      </c>
    </row>
    <row r="1973" spans="1:8" ht="22" customHeight="1">
      <c r="A1973" s="1" t="str">
        <f>IF(AND('Loan Inputs'!$B$12,1967&lt;=IF('Loan Inputs'!$B$12,'Loan Inputs'!$B$7,0)*'Loan Inputs'!$B$14+0,ISNUMBER(G1972),G1972&gt;0),1967,"")</f>
        <v/>
      </c>
      <c r="B1973" s="4" t="str">
        <f>IF(A1973="","",IF('Loan Inputs'!$B$14=12,DATE(YEAR('Loan Inputs'!$B$8),MONTH('Loan Inputs'!$B$8)+A1973,DAY('Loan Inputs'!$B$8)),'Loan Inputs'!$B$8+A1973*IF('Loan Inputs'!$B$14=26,14,7)))</f>
        <v/>
      </c>
      <c r="C1973" s="2" t="str">
        <f t="shared" si="92"/>
        <v/>
      </c>
      <c r="D1973" s="2" t="str">
        <f>IF(A1973="","",MIN('Loan Inputs'!$B$17,C1973+E1973)+H1973)</f>
        <v/>
      </c>
      <c r="E1973" s="2" t="str">
        <f>IF(A1973="","",C1973*'Loan Inputs'!$B$15)</f>
        <v/>
      </c>
      <c r="F1973" s="2" t="str">
        <f t="shared" si="90"/>
        <v/>
      </c>
      <c r="G1973" s="2" t="str">
        <f t="shared" si="91"/>
        <v/>
      </c>
      <c r="H1973" s="2" t="str">
        <f>IF(A1973="","",MIN(0,MAX(0,C1973+E1973-'Loan Inputs'!$B$17)))</f>
        <v/>
      </c>
    </row>
    <row r="1974" spans="1:8" ht="22" customHeight="1">
      <c r="A1974" s="1" t="str">
        <f>IF(AND('Loan Inputs'!$B$12,1968&lt;=IF('Loan Inputs'!$B$12,'Loan Inputs'!$B$7,0)*'Loan Inputs'!$B$14+0,ISNUMBER(G1973),G1973&gt;0),1968,"")</f>
        <v/>
      </c>
      <c r="B1974" s="4" t="str">
        <f>IF(A1974="","",IF('Loan Inputs'!$B$14=12,DATE(YEAR('Loan Inputs'!$B$8),MONTH('Loan Inputs'!$B$8)+A1974,DAY('Loan Inputs'!$B$8)),'Loan Inputs'!$B$8+A1974*IF('Loan Inputs'!$B$14=26,14,7)))</f>
        <v/>
      </c>
      <c r="C1974" s="2" t="str">
        <f t="shared" si="92"/>
        <v/>
      </c>
      <c r="D1974" s="2" t="str">
        <f>IF(A1974="","",MIN('Loan Inputs'!$B$17,C1974+E1974)+H1974)</f>
        <v/>
      </c>
      <c r="E1974" s="2" t="str">
        <f>IF(A1974="","",C1974*'Loan Inputs'!$B$15)</f>
        <v/>
      </c>
      <c r="F1974" s="2" t="str">
        <f t="shared" si="90"/>
        <v/>
      </c>
      <c r="G1974" s="2" t="str">
        <f t="shared" si="91"/>
        <v/>
      </c>
      <c r="H1974" s="2" t="str">
        <f>IF(A1974="","",MIN(0,MAX(0,C1974+E1974-'Loan Inputs'!$B$17)))</f>
        <v/>
      </c>
    </row>
    <row r="1975" spans="1:8" ht="22" customHeight="1">
      <c r="A1975" s="1" t="str">
        <f>IF(AND('Loan Inputs'!$B$12,1969&lt;=IF('Loan Inputs'!$B$12,'Loan Inputs'!$B$7,0)*'Loan Inputs'!$B$14+0,ISNUMBER(G1974),G1974&gt;0),1969,"")</f>
        <v/>
      </c>
      <c r="B1975" s="4" t="str">
        <f>IF(A1975="","",IF('Loan Inputs'!$B$14=12,DATE(YEAR('Loan Inputs'!$B$8),MONTH('Loan Inputs'!$B$8)+A1975,DAY('Loan Inputs'!$B$8)),'Loan Inputs'!$B$8+A1975*IF('Loan Inputs'!$B$14=26,14,7)))</f>
        <v/>
      </c>
      <c r="C1975" s="2" t="str">
        <f t="shared" si="92"/>
        <v/>
      </c>
      <c r="D1975" s="2" t="str">
        <f>IF(A1975="","",MIN('Loan Inputs'!$B$17,C1975+E1975)+H1975)</f>
        <v/>
      </c>
      <c r="E1975" s="2" t="str">
        <f>IF(A1975="","",C1975*'Loan Inputs'!$B$15)</f>
        <v/>
      </c>
      <c r="F1975" s="2" t="str">
        <f t="shared" si="90"/>
        <v/>
      </c>
      <c r="G1975" s="2" t="str">
        <f t="shared" si="91"/>
        <v/>
      </c>
      <c r="H1975" s="2" t="str">
        <f>IF(A1975="","",MIN(0,MAX(0,C1975+E1975-'Loan Inputs'!$B$17)))</f>
        <v/>
      </c>
    </row>
    <row r="1976" spans="1:8" ht="22" customHeight="1">
      <c r="A1976" s="1" t="str">
        <f>IF(AND('Loan Inputs'!$B$12,1970&lt;=IF('Loan Inputs'!$B$12,'Loan Inputs'!$B$7,0)*'Loan Inputs'!$B$14+0,ISNUMBER(G1975),G1975&gt;0),1970,"")</f>
        <v/>
      </c>
      <c r="B1976" s="4" t="str">
        <f>IF(A1976="","",IF('Loan Inputs'!$B$14=12,DATE(YEAR('Loan Inputs'!$B$8),MONTH('Loan Inputs'!$B$8)+A1976,DAY('Loan Inputs'!$B$8)),'Loan Inputs'!$B$8+A1976*IF('Loan Inputs'!$B$14=26,14,7)))</f>
        <v/>
      </c>
      <c r="C1976" s="2" t="str">
        <f t="shared" si="92"/>
        <v/>
      </c>
      <c r="D1976" s="2" t="str">
        <f>IF(A1976="","",MIN('Loan Inputs'!$B$17,C1976+E1976)+H1976)</f>
        <v/>
      </c>
      <c r="E1976" s="2" t="str">
        <f>IF(A1976="","",C1976*'Loan Inputs'!$B$15)</f>
        <v/>
      </c>
      <c r="F1976" s="2" t="str">
        <f t="shared" si="90"/>
        <v/>
      </c>
      <c r="G1976" s="2" t="str">
        <f t="shared" si="91"/>
        <v/>
      </c>
      <c r="H1976" s="2" t="str">
        <f>IF(A1976="","",MIN(0,MAX(0,C1976+E1976-'Loan Inputs'!$B$17)))</f>
        <v/>
      </c>
    </row>
    <row r="1977" spans="1:8" ht="22" customHeight="1">
      <c r="A1977" s="1" t="str">
        <f>IF(AND('Loan Inputs'!$B$12,1971&lt;=IF('Loan Inputs'!$B$12,'Loan Inputs'!$B$7,0)*'Loan Inputs'!$B$14+0,ISNUMBER(G1976),G1976&gt;0),1971,"")</f>
        <v/>
      </c>
      <c r="B1977" s="4" t="str">
        <f>IF(A1977="","",IF('Loan Inputs'!$B$14=12,DATE(YEAR('Loan Inputs'!$B$8),MONTH('Loan Inputs'!$B$8)+A1977,DAY('Loan Inputs'!$B$8)),'Loan Inputs'!$B$8+A1977*IF('Loan Inputs'!$B$14=26,14,7)))</f>
        <v/>
      </c>
      <c r="C1977" s="2" t="str">
        <f t="shared" si="92"/>
        <v/>
      </c>
      <c r="D1977" s="2" t="str">
        <f>IF(A1977="","",MIN('Loan Inputs'!$B$17,C1977+E1977)+H1977)</f>
        <v/>
      </c>
      <c r="E1977" s="2" t="str">
        <f>IF(A1977="","",C1977*'Loan Inputs'!$B$15)</f>
        <v/>
      </c>
      <c r="F1977" s="2" t="str">
        <f t="shared" si="90"/>
        <v/>
      </c>
      <c r="G1977" s="2" t="str">
        <f t="shared" si="91"/>
        <v/>
      </c>
      <c r="H1977" s="2" t="str">
        <f>IF(A1977="","",MIN(0,MAX(0,C1977+E1977-'Loan Inputs'!$B$17)))</f>
        <v/>
      </c>
    </row>
    <row r="1978" spans="1:8" ht="22" customHeight="1">
      <c r="A1978" s="1" t="str">
        <f>IF(AND('Loan Inputs'!$B$12,1972&lt;=IF('Loan Inputs'!$B$12,'Loan Inputs'!$B$7,0)*'Loan Inputs'!$B$14+0,ISNUMBER(G1977),G1977&gt;0),1972,"")</f>
        <v/>
      </c>
      <c r="B1978" s="4" t="str">
        <f>IF(A1978="","",IF('Loan Inputs'!$B$14=12,DATE(YEAR('Loan Inputs'!$B$8),MONTH('Loan Inputs'!$B$8)+A1978,DAY('Loan Inputs'!$B$8)),'Loan Inputs'!$B$8+A1978*IF('Loan Inputs'!$B$14=26,14,7)))</f>
        <v/>
      </c>
      <c r="C1978" s="2" t="str">
        <f t="shared" si="92"/>
        <v/>
      </c>
      <c r="D1978" s="2" t="str">
        <f>IF(A1978="","",MIN('Loan Inputs'!$B$17,C1978+E1978)+H1978)</f>
        <v/>
      </c>
      <c r="E1978" s="2" t="str">
        <f>IF(A1978="","",C1978*'Loan Inputs'!$B$15)</f>
        <v/>
      </c>
      <c r="F1978" s="2" t="str">
        <f t="shared" si="90"/>
        <v/>
      </c>
      <c r="G1978" s="2" t="str">
        <f t="shared" si="91"/>
        <v/>
      </c>
      <c r="H1978" s="2" t="str">
        <f>IF(A1978="","",MIN(0,MAX(0,C1978+E1978-'Loan Inputs'!$B$17)))</f>
        <v/>
      </c>
    </row>
    <row r="1979" spans="1:8" ht="22" customHeight="1">
      <c r="A1979" s="1" t="str">
        <f>IF(AND('Loan Inputs'!$B$12,1973&lt;=IF('Loan Inputs'!$B$12,'Loan Inputs'!$B$7,0)*'Loan Inputs'!$B$14+0,ISNUMBER(G1978),G1978&gt;0),1973,"")</f>
        <v/>
      </c>
      <c r="B1979" s="4" t="str">
        <f>IF(A1979="","",IF('Loan Inputs'!$B$14=12,DATE(YEAR('Loan Inputs'!$B$8),MONTH('Loan Inputs'!$B$8)+A1979,DAY('Loan Inputs'!$B$8)),'Loan Inputs'!$B$8+A1979*IF('Loan Inputs'!$B$14=26,14,7)))</f>
        <v/>
      </c>
      <c r="C1979" s="2" t="str">
        <f t="shared" si="92"/>
        <v/>
      </c>
      <c r="D1979" s="2" t="str">
        <f>IF(A1979="","",MIN('Loan Inputs'!$B$17,C1979+E1979)+H1979)</f>
        <v/>
      </c>
      <c r="E1979" s="2" t="str">
        <f>IF(A1979="","",C1979*'Loan Inputs'!$B$15)</f>
        <v/>
      </c>
      <c r="F1979" s="2" t="str">
        <f t="shared" si="90"/>
        <v/>
      </c>
      <c r="G1979" s="2" t="str">
        <f t="shared" si="91"/>
        <v/>
      </c>
      <c r="H1979" s="2" t="str">
        <f>IF(A1979="","",MIN(0,MAX(0,C1979+E1979-'Loan Inputs'!$B$17)))</f>
        <v/>
      </c>
    </row>
    <row r="1980" spans="1:8" ht="22" customHeight="1">
      <c r="A1980" s="1" t="str">
        <f>IF(AND('Loan Inputs'!$B$12,1974&lt;=IF('Loan Inputs'!$B$12,'Loan Inputs'!$B$7,0)*'Loan Inputs'!$B$14+0,ISNUMBER(G1979),G1979&gt;0),1974,"")</f>
        <v/>
      </c>
      <c r="B1980" s="4" t="str">
        <f>IF(A1980="","",IF('Loan Inputs'!$B$14=12,DATE(YEAR('Loan Inputs'!$B$8),MONTH('Loan Inputs'!$B$8)+A1980,DAY('Loan Inputs'!$B$8)),'Loan Inputs'!$B$8+A1980*IF('Loan Inputs'!$B$14=26,14,7)))</f>
        <v/>
      </c>
      <c r="C1980" s="2" t="str">
        <f t="shared" si="92"/>
        <v/>
      </c>
      <c r="D1980" s="2" t="str">
        <f>IF(A1980="","",MIN('Loan Inputs'!$B$17,C1980+E1980)+H1980)</f>
        <v/>
      </c>
      <c r="E1980" s="2" t="str">
        <f>IF(A1980="","",C1980*'Loan Inputs'!$B$15)</f>
        <v/>
      </c>
      <c r="F1980" s="2" t="str">
        <f t="shared" si="90"/>
        <v/>
      </c>
      <c r="G1980" s="2" t="str">
        <f t="shared" si="91"/>
        <v/>
      </c>
      <c r="H1980" s="2" t="str">
        <f>IF(A1980="","",MIN(0,MAX(0,C1980+E1980-'Loan Inputs'!$B$17)))</f>
        <v/>
      </c>
    </row>
    <row r="1981" spans="1:8" ht="22" customHeight="1">
      <c r="A1981" s="1" t="str">
        <f>IF(AND('Loan Inputs'!$B$12,1975&lt;=IF('Loan Inputs'!$B$12,'Loan Inputs'!$B$7,0)*'Loan Inputs'!$B$14+0,ISNUMBER(G1980),G1980&gt;0),1975,"")</f>
        <v/>
      </c>
      <c r="B1981" s="4" t="str">
        <f>IF(A1981="","",IF('Loan Inputs'!$B$14=12,DATE(YEAR('Loan Inputs'!$B$8),MONTH('Loan Inputs'!$B$8)+A1981,DAY('Loan Inputs'!$B$8)),'Loan Inputs'!$B$8+A1981*IF('Loan Inputs'!$B$14=26,14,7)))</f>
        <v/>
      </c>
      <c r="C1981" s="2" t="str">
        <f t="shared" si="92"/>
        <v/>
      </c>
      <c r="D1981" s="2" t="str">
        <f>IF(A1981="","",MIN('Loan Inputs'!$B$17,C1981+E1981)+H1981)</f>
        <v/>
      </c>
      <c r="E1981" s="2" t="str">
        <f>IF(A1981="","",C1981*'Loan Inputs'!$B$15)</f>
        <v/>
      </c>
      <c r="F1981" s="2" t="str">
        <f t="shared" si="90"/>
        <v/>
      </c>
      <c r="G1981" s="2" t="str">
        <f t="shared" si="91"/>
        <v/>
      </c>
      <c r="H1981" s="2" t="str">
        <f>IF(A1981="","",MIN(0,MAX(0,C1981+E1981-'Loan Inputs'!$B$17)))</f>
        <v/>
      </c>
    </row>
    <row r="1982" spans="1:8" ht="22" customHeight="1">
      <c r="A1982" s="1" t="str">
        <f>IF(AND('Loan Inputs'!$B$12,1976&lt;=IF('Loan Inputs'!$B$12,'Loan Inputs'!$B$7,0)*'Loan Inputs'!$B$14+0,ISNUMBER(G1981),G1981&gt;0),1976,"")</f>
        <v/>
      </c>
      <c r="B1982" s="4" t="str">
        <f>IF(A1982="","",IF('Loan Inputs'!$B$14=12,DATE(YEAR('Loan Inputs'!$B$8),MONTH('Loan Inputs'!$B$8)+A1982,DAY('Loan Inputs'!$B$8)),'Loan Inputs'!$B$8+A1982*IF('Loan Inputs'!$B$14=26,14,7)))</f>
        <v/>
      </c>
      <c r="C1982" s="2" t="str">
        <f t="shared" si="92"/>
        <v/>
      </c>
      <c r="D1982" s="2" t="str">
        <f>IF(A1982="","",MIN('Loan Inputs'!$B$17,C1982+E1982)+H1982)</f>
        <v/>
      </c>
      <c r="E1982" s="2" t="str">
        <f>IF(A1982="","",C1982*'Loan Inputs'!$B$15)</f>
        <v/>
      </c>
      <c r="F1982" s="2" t="str">
        <f t="shared" si="90"/>
        <v/>
      </c>
      <c r="G1982" s="2" t="str">
        <f t="shared" si="91"/>
        <v/>
      </c>
      <c r="H1982" s="2" t="str">
        <f>IF(A1982="","",MIN(0,MAX(0,C1982+E1982-'Loan Inputs'!$B$17)))</f>
        <v/>
      </c>
    </row>
    <row r="1983" spans="1:8" ht="22" customHeight="1">
      <c r="A1983" s="1" t="str">
        <f>IF(AND('Loan Inputs'!$B$12,1977&lt;=IF('Loan Inputs'!$B$12,'Loan Inputs'!$B$7,0)*'Loan Inputs'!$B$14+0,ISNUMBER(G1982),G1982&gt;0),1977,"")</f>
        <v/>
      </c>
      <c r="B1983" s="4" t="str">
        <f>IF(A1983="","",IF('Loan Inputs'!$B$14=12,DATE(YEAR('Loan Inputs'!$B$8),MONTH('Loan Inputs'!$B$8)+A1983,DAY('Loan Inputs'!$B$8)),'Loan Inputs'!$B$8+A1983*IF('Loan Inputs'!$B$14=26,14,7)))</f>
        <v/>
      </c>
      <c r="C1983" s="2" t="str">
        <f t="shared" si="92"/>
        <v/>
      </c>
      <c r="D1983" s="2" t="str">
        <f>IF(A1983="","",MIN('Loan Inputs'!$B$17,C1983+E1983)+H1983)</f>
        <v/>
      </c>
      <c r="E1983" s="2" t="str">
        <f>IF(A1983="","",C1983*'Loan Inputs'!$B$15)</f>
        <v/>
      </c>
      <c r="F1983" s="2" t="str">
        <f t="shared" si="90"/>
        <v/>
      </c>
      <c r="G1983" s="2" t="str">
        <f t="shared" si="91"/>
        <v/>
      </c>
      <c r="H1983" s="2" t="str">
        <f>IF(A1983="","",MIN(0,MAX(0,C1983+E1983-'Loan Inputs'!$B$17)))</f>
        <v/>
      </c>
    </row>
    <row r="1984" spans="1:8" ht="22" customHeight="1">
      <c r="A1984" s="1" t="str">
        <f>IF(AND('Loan Inputs'!$B$12,1978&lt;=IF('Loan Inputs'!$B$12,'Loan Inputs'!$B$7,0)*'Loan Inputs'!$B$14+0,ISNUMBER(G1983),G1983&gt;0),1978,"")</f>
        <v/>
      </c>
      <c r="B1984" s="4" t="str">
        <f>IF(A1984="","",IF('Loan Inputs'!$B$14=12,DATE(YEAR('Loan Inputs'!$B$8),MONTH('Loan Inputs'!$B$8)+A1984,DAY('Loan Inputs'!$B$8)),'Loan Inputs'!$B$8+A1984*IF('Loan Inputs'!$B$14=26,14,7)))</f>
        <v/>
      </c>
      <c r="C1984" s="2" t="str">
        <f t="shared" si="92"/>
        <v/>
      </c>
      <c r="D1984" s="2" t="str">
        <f>IF(A1984="","",MIN('Loan Inputs'!$B$17,C1984+E1984)+H1984)</f>
        <v/>
      </c>
      <c r="E1984" s="2" t="str">
        <f>IF(A1984="","",C1984*'Loan Inputs'!$B$15)</f>
        <v/>
      </c>
      <c r="F1984" s="2" t="str">
        <f t="shared" si="90"/>
        <v/>
      </c>
      <c r="G1984" s="2" t="str">
        <f t="shared" si="91"/>
        <v/>
      </c>
      <c r="H1984" s="2" t="str">
        <f>IF(A1984="","",MIN(0,MAX(0,C1984+E1984-'Loan Inputs'!$B$17)))</f>
        <v/>
      </c>
    </row>
    <row r="1985" spans="1:8" ht="22" customHeight="1">
      <c r="A1985" s="1" t="str">
        <f>IF(AND('Loan Inputs'!$B$12,1979&lt;=IF('Loan Inputs'!$B$12,'Loan Inputs'!$B$7,0)*'Loan Inputs'!$B$14+0,ISNUMBER(G1984),G1984&gt;0),1979,"")</f>
        <v/>
      </c>
      <c r="B1985" s="4" t="str">
        <f>IF(A1985="","",IF('Loan Inputs'!$B$14=12,DATE(YEAR('Loan Inputs'!$B$8),MONTH('Loan Inputs'!$B$8)+A1985,DAY('Loan Inputs'!$B$8)),'Loan Inputs'!$B$8+A1985*IF('Loan Inputs'!$B$14=26,14,7)))</f>
        <v/>
      </c>
      <c r="C1985" s="2" t="str">
        <f t="shared" si="92"/>
        <v/>
      </c>
      <c r="D1985" s="2" t="str">
        <f>IF(A1985="","",MIN('Loan Inputs'!$B$17,C1985+E1985)+H1985)</f>
        <v/>
      </c>
      <c r="E1985" s="2" t="str">
        <f>IF(A1985="","",C1985*'Loan Inputs'!$B$15)</f>
        <v/>
      </c>
      <c r="F1985" s="2" t="str">
        <f t="shared" si="90"/>
        <v/>
      </c>
      <c r="G1985" s="2" t="str">
        <f t="shared" si="91"/>
        <v/>
      </c>
      <c r="H1985" s="2" t="str">
        <f>IF(A1985="","",MIN(0,MAX(0,C1985+E1985-'Loan Inputs'!$B$17)))</f>
        <v/>
      </c>
    </row>
    <row r="1986" spans="1:8" ht="22" customHeight="1">
      <c r="A1986" s="1" t="str">
        <f>IF(AND('Loan Inputs'!$B$12,1980&lt;=IF('Loan Inputs'!$B$12,'Loan Inputs'!$B$7,0)*'Loan Inputs'!$B$14+0,ISNUMBER(G1985),G1985&gt;0),1980,"")</f>
        <v/>
      </c>
      <c r="B1986" s="4" t="str">
        <f>IF(A1986="","",IF('Loan Inputs'!$B$14=12,DATE(YEAR('Loan Inputs'!$B$8),MONTH('Loan Inputs'!$B$8)+A1986,DAY('Loan Inputs'!$B$8)),'Loan Inputs'!$B$8+A1986*IF('Loan Inputs'!$B$14=26,14,7)))</f>
        <v/>
      </c>
      <c r="C1986" s="2" t="str">
        <f t="shared" si="92"/>
        <v/>
      </c>
      <c r="D1986" s="2" t="str">
        <f>IF(A1986="","",MIN('Loan Inputs'!$B$17,C1986+E1986)+H1986)</f>
        <v/>
      </c>
      <c r="E1986" s="2" t="str">
        <f>IF(A1986="","",C1986*'Loan Inputs'!$B$15)</f>
        <v/>
      </c>
      <c r="F1986" s="2" t="str">
        <f t="shared" si="90"/>
        <v/>
      </c>
      <c r="G1986" s="2" t="str">
        <f t="shared" si="91"/>
        <v/>
      </c>
      <c r="H1986" s="2" t="str">
        <f>IF(A1986="","",MIN(0,MAX(0,C1986+E1986-'Loan Inputs'!$B$17)))</f>
        <v/>
      </c>
    </row>
    <row r="1987" spans="1:8" ht="22" customHeight="1">
      <c r="A1987" s="1" t="str">
        <f>IF(AND('Loan Inputs'!$B$12,1981&lt;=IF('Loan Inputs'!$B$12,'Loan Inputs'!$B$7,0)*'Loan Inputs'!$B$14+0,ISNUMBER(G1986),G1986&gt;0),1981,"")</f>
        <v/>
      </c>
      <c r="B1987" s="4" t="str">
        <f>IF(A1987="","",IF('Loan Inputs'!$B$14=12,DATE(YEAR('Loan Inputs'!$B$8),MONTH('Loan Inputs'!$B$8)+A1987,DAY('Loan Inputs'!$B$8)),'Loan Inputs'!$B$8+A1987*IF('Loan Inputs'!$B$14=26,14,7)))</f>
        <v/>
      </c>
      <c r="C1987" s="2" t="str">
        <f t="shared" si="92"/>
        <v/>
      </c>
      <c r="D1987" s="2" t="str">
        <f>IF(A1987="","",MIN('Loan Inputs'!$B$17,C1987+E1987)+H1987)</f>
        <v/>
      </c>
      <c r="E1987" s="2" t="str">
        <f>IF(A1987="","",C1987*'Loan Inputs'!$B$15)</f>
        <v/>
      </c>
      <c r="F1987" s="2" t="str">
        <f t="shared" si="90"/>
        <v/>
      </c>
      <c r="G1987" s="2" t="str">
        <f t="shared" si="91"/>
        <v/>
      </c>
      <c r="H1987" s="2" t="str">
        <f>IF(A1987="","",MIN(0,MAX(0,C1987+E1987-'Loan Inputs'!$B$17)))</f>
        <v/>
      </c>
    </row>
    <row r="1988" spans="1:8" ht="22" customHeight="1">
      <c r="A1988" s="1" t="str">
        <f>IF(AND('Loan Inputs'!$B$12,1982&lt;=IF('Loan Inputs'!$B$12,'Loan Inputs'!$B$7,0)*'Loan Inputs'!$B$14+0,ISNUMBER(G1987),G1987&gt;0),1982,"")</f>
        <v/>
      </c>
      <c r="B1988" s="4" t="str">
        <f>IF(A1988="","",IF('Loan Inputs'!$B$14=12,DATE(YEAR('Loan Inputs'!$B$8),MONTH('Loan Inputs'!$B$8)+A1988,DAY('Loan Inputs'!$B$8)),'Loan Inputs'!$B$8+A1988*IF('Loan Inputs'!$B$14=26,14,7)))</f>
        <v/>
      </c>
      <c r="C1988" s="2" t="str">
        <f t="shared" si="92"/>
        <v/>
      </c>
      <c r="D1988" s="2" t="str">
        <f>IF(A1988="","",MIN('Loan Inputs'!$B$17,C1988+E1988)+H1988)</f>
        <v/>
      </c>
      <c r="E1988" s="2" t="str">
        <f>IF(A1988="","",C1988*'Loan Inputs'!$B$15)</f>
        <v/>
      </c>
      <c r="F1988" s="2" t="str">
        <f t="shared" si="90"/>
        <v/>
      </c>
      <c r="G1988" s="2" t="str">
        <f t="shared" si="91"/>
        <v/>
      </c>
      <c r="H1988" s="2" t="str">
        <f>IF(A1988="","",MIN(0,MAX(0,C1988+E1988-'Loan Inputs'!$B$17)))</f>
        <v/>
      </c>
    </row>
    <row r="1989" spans="1:8" ht="22" customHeight="1">
      <c r="A1989" s="1" t="str">
        <f>IF(AND('Loan Inputs'!$B$12,1983&lt;=IF('Loan Inputs'!$B$12,'Loan Inputs'!$B$7,0)*'Loan Inputs'!$B$14+0,ISNUMBER(G1988),G1988&gt;0),1983,"")</f>
        <v/>
      </c>
      <c r="B1989" s="4" t="str">
        <f>IF(A1989="","",IF('Loan Inputs'!$B$14=12,DATE(YEAR('Loan Inputs'!$B$8),MONTH('Loan Inputs'!$B$8)+A1989,DAY('Loan Inputs'!$B$8)),'Loan Inputs'!$B$8+A1989*IF('Loan Inputs'!$B$14=26,14,7)))</f>
        <v/>
      </c>
      <c r="C1989" s="2" t="str">
        <f t="shared" si="92"/>
        <v/>
      </c>
      <c r="D1989" s="2" t="str">
        <f>IF(A1989="","",MIN('Loan Inputs'!$B$17,C1989+E1989)+H1989)</f>
        <v/>
      </c>
      <c r="E1989" s="2" t="str">
        <f>IF(A1989="","",C1989*'Loan Inputs'!$B$15)</f>
        <v/>
      </c>
      <c r="F1989" s="2" t="str">
        <f t="shared" si="90"/>
        <v/>
      </c>
      <c r="G1989" s="2" t="str">
        <f t="shared" si="91"/>
        <v/>
      </c>
      <c r="H1989" s="2" t="str">
        <f>IF(A1989="","",MIN(0,MAX(0,C1989+E1989-'Loan Inputs'!$B$17)))</f>
        <v/>
      </c>
    </row>
    <row r="1990" spans="1:8" ht="22" customHeight="1">
      <c r="A1990" s="1" t="str">
        <f>IF(AND('Loan Inputs'!$B$12,1984&lt;=IF('Loan Inputs'!$B$12,'Loan Inputs'!$B$7,0)*'Loan Inputs'!$B$14+0,ISNUMBER(G1989),G1989&gt;0),1984,"")</f>
        <v/>
      </c>
      <c r="B1990" s="4" t="str">
        <f>IF(A1990="","",IF('Loan Inputs'!$B$14=12,DATE(YEAR('Loan Inputs'!$B$8),MONTH('Loan Inputs'!$B$8)+A1990,DAY('Loan Inputs'!$B$8)),'Loan Inputs'!$B$8+A1990*IF('Loan Inputs'!$B$14=26,14,7)))</f>
        <v/>
      </c>
      <c r="C1990" s="2" t="str">
        <f t="shared" si="92"/>
        <v/>
      </c>
      <c r="D1990" s="2" t="str">
        <f>IF(A1990="","",MIN('Loan Inputs'!$B$17,C1990+E1990)+H1990)</f>
        <v/>
      </c>
      <c r="E1990" s="2" t="str">
        <f>IF(A1990="","",C1990*'Loan Inputs'!$B$15)</f>
        <v/>
      </c>
      <c r="F1990" s="2" t="str">
        <f t="shared" si="90"/>
        <v/>
      </c>
      <c r="G1990" s="2" t="str">
        <f t="shared" si="91"/>
        <v/>
      </c>
      <c r="H1990" s="2" t="str">
        <f>IF(A1990="","",MIN(0,MAX(0,C1990+E1990-'Loan Inputs'!$B$17)))</f>
        <v/>
      </c>
    </row>
    <row r="1991" spans="1:8" ht="22" customHeight="1">
      <c r="A1991" s="1" t="str">
        <f>IF(AND('Loan Inputs'!$B$12,1985&lt;=IF('Loan Inputs'!$B$12,'Loan Inputs'!$B$7,0)*'Loan Inputs'!$B$14+0,ISNUMBER(G1990),G1990&gt;0),1985,"")</f>
        <v/>
      </c>
      <c r="B1991" s="4" t="str">
        <f>IF(A1991="","",IF('Loan Inputs'!$B$14=12,DATE(YEAR('Loan Inputs'!$B$8),MONTH('Loan Inputs'!$B$8)+A1991,DAY('Loan Inputs'!$B$8)),'Loan Inputs'!$B$8+A1991*IF('Loan Inputs'!$B$14=26,14,7)))</f>
        <v/>
      </c>
      <c r="C1991" s="2" t="str">
        <f t="shared" si="92"/>
        <v/>
      </c>
      <c r="D1991" s="2" t="str">
        <f>IF(A1991="","",MIN('Loan Inputs'!$B$17,C1991+E1991)+H1991)</f>
        <v/>
      </c>
      <c r="E1991" s="2" t="str">
        <f>IF(A1991="","",C1991*'Loan Inputs'!$B$15)</f>
        <v/>
      </c>
      <c r="F1991" s="2" t="str">
        <f t="shared" ref="F1991:F2054" si="93">IF(A1991="","",MIN(C1991,D1991-E1991))</f>
        <v/>
      </c>
      <c r="G1991" s="2" t="str">
        <f t="shared" ref="G1991:G2054" si="94">IF(A1991="","",IF(C1991-F1991&lt;0.01,0,MAX(0,C1991-F1991)))</f>
        <v/>
      </c>
      <c r="H1991" s="2" t="str">
        <f>IF(A1991="","",MIN(0,MAX(0,C1991+E1991-'Loan Inputs'!$B$17)))</f>
        <v/>
      </c>
    </row>
    <row r="1992" spans="1:8" ht="22" customHeight="1">
      <c r="A1992" s="1" t="str">
        <f>IF(AND('Loan Inputs'!$B$12,1986&lt;=IF('Loan Inputs'!$B$12,'Loan Inputs'!$B$7,0)*'Loan Inputs'!$B$14+0,ISNUMBER(G1991),G1991&gt;0),1986,"")</f>
        <v/>
      </c>
      <c r="B1992" s="4" t="str">
        <f>IF(A1992="","",IF('Loan Inputs'!$B$14=12,DATE(YEAR('Loan Inputs'!$B$8),MONTH('Loan Inputs'!$B$8)+A1992,DAY('Loan Inputs'!$B$8)),'Loan Inputs'!$B$8+A1992*IF('Loan Inputs'!$B$14=26,14,7)))</f>
        <v/>
      </c>
      <c r="C1992" s="2" t="str">
        <f t="shared" ref="C1992:C2055" si="95">IF(A1992="","",G1991)</f>
        <v/>
      </c>
      <c r="D1992" s="2" t="str">
        <f>IF(A1992="","",MIN('Loan Inputs'!$B$17,C1992+E1992)+H1992)</f>
        <v/>
      </c>
      <c r="E1992" s="2" t="str">
        <f>IF(A1992="","",C1992*'Loan Inputs'!$B$15)</f>
        <v/>
      </c>
      <c r="F1992" s="2" t="str">
        <f t="shared" si="93"/>
        <v/>
      </c>
      <c r="G1992" s="2" t="str">
        <f t="shared" si="94"/>
        <v/>
      </c>
      <c r="H1992" s="2" t="str">
        <f>IF(A1992="","",MIN(0,MAX(0,C1992+E1992-'Loan Inputs'!$B$17)))</f>
        <v/>
      </c>
    </row>
    <row r="1993" spans="1:8" ht="22" customHeight="1">
      <c r="A1993" s="1" t="str">
        <f>IF(AND('Loan Inputs'!$B$12,1987&lt;=IF('Loan Inputs'!$B$12,'Loan Inputs'!$B$7,0)*'Loan Inputs'!$B$14+0,ISNUMBER(G1992),G1992&gt;0),1987,"")</f>
        <v/>
      </c>
      <c r="B1993" s="4" t="str">
        <f>IF(A1993="","",IF('Loan Inputs'!$B$14=12,DATE(YEAR('Loan Inputs'!$B$8),MONTH('Loan Inputs'!$B$8)+A1993,DAY('Loan Inputs'!$B$8)),'Loan Inputs'!$B$8+A1993*IF('Loan Inputs'!$B$14=26,14,7)))</f>
        <v/>
      </c>
      <c r="C1993" s="2" t="str">
        <f t="shared" si="95"/>
        <v/>
      </c>
      <c r="D1993" s="2" t="str">
        <f>IF(A1993="","",MIN('Loan Inputs'!$B$17,C1993+E1993)+H1993)</f>
        <v/>
      </c>
      <c r="E1993" s="2" t="str">
        <f>IF(A1993="","",C1993*'Loan Inputs'!$B$15)</f>
        <v/>
      </c>
      <c r="F1993" s="2" t="str">
        <f t="shared" si="93"/>
        <v/>
      </c>
      <c r="G1993" s="2" t="str">
        <f t="shared" si="94"/>
        <v/>
      </c>
      <c r="H1993" s="2" t="str">
        <f>IF(A1993="","",MIN(0,MAX(0,C1993+E1993-'Loan Inputs'!$B$17)))</f>
        <v/>
      </c>
    </row>
    <row r="1994" spans="1:8" ht="22" customHeight="1">
      <c r="A1994" s="1" t="str">
        <f>IF(AND('Loan Inputs'!$B$12,1988&lt;=IF('Loan Inputs'!$B$12,'Loan Inputs'!$B$7,0)*'Loan Inputs'!$B$14+0,ISNUMBER(G1993),G1993&gt;0),1988,"")</f>
        <v/>
      </c>
      <c r="B1994" s="4" t="str">
        <f>IF(A1994="","",IF('Loan Inputs'!$B$14=12,DATE(YEAR('Loan Inputs'!$B$8),MONTH('Loan Inputs'!$B$8)+A1994,DAY('Loan Inputs'!$B$8)),'Loan Inputs'!$B$8+A1994*IF('Loan Inputs'!$B$14=26,14,7)))</f>
        <v/>
      </c>
      <c r="C1994" s="2" t="str">
        <f t="shared" si="95"/>
        <v/>
      </c>
      <c r="D1994" s="2" t="str">
        <f>IF(A1994="","",MIN('Loan Inputs'!$B$17,C1994+E1994)+H1994)</f>
        <v/>
      </c>
      <c r="E1994" s="2" t="str">
        <f>IF(A1994="","",C1994*'Loan Inputs'!$B$15)</f>
        <v/>
      </c>
      <c r="F1994" s="2" t="str">
        <f t="shared" si="93"/>
        <v/>
      </c>
      <c r="G1994" s="2" t="str">
        <f t="shared" si="94"/>
        <v/>
      </c>
      <c r="H1994" s="2" t="str">
        <f>IF(A1994="","",MIN(0,MAX(0,C1994+E1994-'Loan Inputs'!$B$17)))</f>
        <v/>
      </c>
    </row>
    <row r="1995" spans="1:8" ht="22" customHeight="1">
      <c r="A1995" s="1" t="str">
        <f>IF(AND('Loan Inputs'!$B$12,1989&lt;=IF('Loan Inputs'!$B$12,'Loan Inputs'!$B$7,0)*'Loan Inputs'!$B$14+0,ISNUMBER(G1994),G1994&gt;0),1989,"")</f>
        <v/>
      </c>
      <c r="B1995" s="4" t="str">
        <f>IF(A1995="","",IF('Loan Inputs'!$B$14=12,DATE(YEAR('Loan Inputs'!$B$8),MONTH('Loan Inputs'!$B$8)+A1995,DAY('Loan Inputs'!$B$8)),'Loan Inputs'!$B$8+A1995*IF('Loan Inputs'!$B$14=26,14,7)))</f>
        <v/>
      </c>
      <c r="C1995" s="2" t="str">
        <f t="shared" si="95"/>
        <v/>
      </c>
      <c r="D1995" s="2" t="str">
        <f>IF(A1995="","",MIN('Loan Inputs'!$B$17,C1995+E1995)+H1995)</f>
        <v/>
      </c>
      <c r="E1995" s="2" t="str">
        <f>IF(A1995="","",C1995*'Loan Inputs'!$B$15)</f>
        <v/>
      </c>
      <c r="F1995" s="2" t="str">
        <f t="shared" si="93"/>
        <v/>
      </c>
      <c r="G1995" s="2" t="str">
        <f t="shared" si="94"/>
        <v/>
      </c>
      <c r="H1995" s="2" t="str">
        <f>IF(A1995="","",MIN(0,MAX(0,C1995+E1995-'Loan Inputs'!$B$17)))</f>
        <v/>
      </c>
    </row>
    <row r="1996" spans="1:8" ht="22" customHeight="1">
      <c r="A1996" s="1" t="str">
        <f>IF(AND('Loan Inputs'!$B$12,1990&lt;=IF('Loan Inputs'!$B$12,'Loan Inputs'!$B$7,0)*'Loan Inputs'!$B$14+0,ISNUMBER(G1995),G1995&gt;0),1990,"")</f>
        <v/>
      </c>
      <c r="B1996" s="4" t="str">
        <f>IF(A1996="","",IF('Loan Inputs'!$B$14=12,DATE(YEAR('Loan Inputs'!$B$8),MONTH('Loan Inputs'!$B$8)+A1996,DAY('Loan Inputs'!$B$8)),'Loan Inputs'!$B$8+A1996*IF('Loan Inputs'!$B$14=26,14,7)))</f>
        <v/>
      </c>
      <c r="C1996" s="2" t="str">
        <f t="shared" si="95"/>
        <v/>
      </c>
      <c r="D1996" s="2" t="str">
        <f>IF(A1996="","",MIN('Loan Inputs'!$B$17,C1996+E1996)+H1996)</f>
        <v/>
      </c>
      <c r="E1996" s="2" t="str">
        <f>IF(A1996="","",C1996*'Loan Inputs'!$B$15)</f>
        <v/>
      </c>
      <c r="F1996" s="2" t="str">
        <f t="shared" si="93"/>
        <v/>
      </c>
      <c r="G1996" s="2" t="str">
        <f t="shared" si="94"/>
        <v/>
      </c>
      <c r="H1996" s="2" t="str">
        <f>IF(A1996="","",MIN(0,MAX(0,C1996+E1996-'Loan Inputs'!$B$17)))</f>
        <v/>
      </c>
    </row>
    <row r="1997" spans="1:8" ht="22" customHeight="1">
      <c r="A1997" s="1" t="str">
        <f>IF(AND('Loan Inputs'!$B$12,1991&lt;=IF('Loan Inputs'!$B$12,'Loan Inputs'!$B$7,0)*'Loan Inputs'!$B$14+0,ISNUMBER(G1996),G1996&gt;0),1991,"")</f>
        <v/>
      </c>
      <c r="B1997" s="4" t="str">
        <f>IF(A1997="","",IF('Loan Inputs'!$B$14=12,DATE(YEAR('Loan Inputs'!$B$8),MONTH('Loan Inputs'!$B$8)+A1997,DAY('Loan Inputs'!$B$8)),'Loan Inputs'!$B$8+A1997*IF('Loan Inputs'!$B$14=26,14,7)))</f>
        <v/>
      </c>
      <c r="C1997" s="2" t="str">
        <f t="shared" si="95"/>
        <v/>
      </c>
      <c r="D1997" s="2" t="str">
        <f>IF(A1997="","",MIN('Loan Inputs'!$B$17,C1997+E1997)+H1997)</f>
        <v/>
      </c>
      <c r="E1997" s="2" t="str">
        <f>IF(A1997="","",C1997*'Loan Inputs'!$B$15)</f>
        <v/>
      </c>
      <c r="F1997" s="2" t="str">
        <f t="shared" si="93"/>
        <v/>
      </c>
      <c r="G1997" s="2" t="str">
        <f t="shared" si="94"/>
        <v/>
      </c>
      <c r="H1997" s="2" t="str">
        <f>IF(A1997="","",MIN(0,MAX(0,C1997+E1997-'Loan Inputs'!$B$17)))</f>
        <v/>
      </c>
    </row>
    <row r="1998" spans="1:8" ht="22" customHeight="1">
      <c r="A1998" s="1" t="str">
        <f>IF(AND('Loan Inputs'!$B$12,1992&lt;=IF('Loan Inputs'!$B$12,'Loan Inputs'!$B$7,0)*'Loan Inputs'!$B$14+0,ISNUMBER(G1997),G1997&gt;0),1992,"")</f>
        <v/>
      </c>
      <c r="B1998" s="4" t="str">
        <f>IF(A1998="","",IF('Loan Inputs'!$B$14=12,DATE(YEAR('Loan Inputs'!$B$8),MONTH('Loan Inputs'!$B$8)+A1998,DAY('Loan Inputs'!$B$8)),'Loan Inputs'!$B$8+A1998*IF('Loan Inputs'!$B$14=26,14,7)))</f>
        <v/>
      </c>
      <c r="C1998" s="2" t="str">
        <f t="shared" si="95"/>
        <v/>
      </c>
      <c r="D1998" s="2" t="str">
        <f>IF(A1998="","",MIN('Loan Inputs'!$B$17,C1998+E1998)+H1998)</f>
        <v/>
      </c>
      <c r="E1998" s="2" t="str">
        <f>IF(A1998="","",C1998*'Loan Inputs'!$B$15)</f>
        <v/>
      </c>
      <c r="F1998" s="2" t="str">
        <f t="shared" si="93"/>
        <v/>
      </c>
      <c r="G1998" s="2" t="str">
        <f t="shared" si="94"/>
        <v/>
      </c>
      <c r="H1998" s="2" t="str">
        <f>IF(A1998="","",MIN(0,MAX(0,C1998+E1998-'Loan Inputs'!$B$17)))</f>
        <v/>
      </c>
    </row>
    <row r="1999" spans="1:8" ht="22" customHeight="1">
      <c r="A1999" s="1" t="str">
        <f>IF(AND('Loan Inputs'!$B$12,1993&lt;=IF('Loan Inputs'!$B$12,'Loan Inputs'!$B$7,0)*'Loan Inputs'!$B$14+0,ISNUMBER(G1998),G1998&gt;0),1993,"")</f>
        <v/>
      </c>
      <c r="B1999" s="4" t="str">
        <f>IF(A1999="","",IF('Loan Inputs'!$B$14=12,DATE(YEAR('Loan Inputs'!$B$8),MONTH('Loan Inputs'!$B$8)+A1999,DAY('Loan Inputs'!$B$8)),'Loan Inputs'!$B$8+A1999*IF('Loan Inputs'!$B$14=26,14,7)))</f>
        <v/>
      </c>
      <c r="C1999" s="2" t="str">
        <f t="shared" si="95"/>
        <v/>
      </c>
      <c r="D1999" s="2" t="str">
        <f>IF(A1999="","",MIN('Loan Inputs'!$B$17,C1999+E1999)+H1999)</f>
        <v/>
      </c>
      <c r="E1999" s="2" t="str">
        <f>IF(A1999="","",C1999*'Loan Inputs'!$B$15)</f>
        <v/>
      </c>
      <c r="F1999" s="2" t="str">
        <f t="shared" si="93"/>
        <v/>
      </c>
      <c r="G1999" s="2" t="str">
        <f t="shared" si="94"/>
        <v/>
      </c>
      <c r="H1999" s="2" t="str">
        <f>IF(A1999="","",MIN(0,MAX(0,C1999+E1999-'Loan Inputs'!$B$17)))</f>
        <v/>
      </c>
    </row>
    <row r="2000" spans="1:8" ht="22" customHeight="1">
      <c r="A2000" s="1" t="str">
        <f>IF(AND('Loan Inputs'!$B$12,1994&lt;=IF('Loan Inputs'!$B$12,'Loan Inputs'!$B$7,0)*'Loan Inputs'!$B$14+0,ISNUMBER(G1999),G1999&gt;0),1994,"")</f>
        <v/>
      </c>
      <c r="B2000" s="4" t="str">
        <f>IF(A2000="","",IF('Loan Inputs'!$B$14=12,DATE(YEAR('Loan Inputs'!$B$8),MONTH('Loan Inputs'!$B$8)+A2000,DAY('Loan Inputs'!$B$8)),'Loan Inputs'!$B$8+A2000*IF('Loan Inputs'!$B$14=26,14,7)))</f>
        <v/>
      </c>
      <c r="C2000" s="2" t="str">
        <f t="shared" si="95"/>
        <v/>
      </c>
      <c r="D2000" s="2" t="str">
        <f>IF(A2000="","",MIN('Loan Inputs'!$B$17,C2000+E2000)+H2000)</f>
        <v/>
      </c>
      <c r="E2000" s="2" t="str">
        <f>IF(A2000="","",C2000*'Loan Inputs'!$B$15)</f>
        <v/>
      </c>
      <c r="F2000" s="2" t="str">
        <f t="shared" si="93"/>
        <v/>
      </c>
      <c r="G2000" s="2" t="str">
        <f t="shared" si="94"/>
        <v/>
      </c>
      <c r="H2000" s="2" t="str">
        <f>IF(A2000="","",MIN(0,MAX(0,C2000+E2000-'Loan Inputs'!$B$17)))</f>
        <v/>
      </c>
    </row>
    <row r="2001" spans="1:8" ht="22" customHeight="1">
      <c r="A2001" s="1" t="str">
        <f>IF(AND('Loan Inputs'!$B$12,1995&lt;=IF('Loan Inputs'!$B$12,'Loan Inputs'!$B$7,0)*'Loan Inputs'!$B$14+0,ISNUMBER(G2000),G2000&gt;0),1995,"")</f>
        <v/>
      </c>
      <c r="B2001" s="4" t="str">
        <f>IF(A2001="","",IF('Loan Inputs'!$B$14=12,DATE(YEAR('Loan Inputs'!$B$8),MONTH('Loan Inputs'!$B$8)+A2001,DAY('Loan Inputs'!$B$8)),'Loan Inputs'!$B$8+A2001*IF('Loan Inputs'!$B$14=26,14,7)))</f>
        <v/>
      </c>
      <c r="C2001" s="2" t="str">
        <f t="shared" si="95"/>
        <v/>
      </c>
      <c r="D2001" s="2" t="str">
        <f>IF(A2001="","",MIN('Loan Inputs'!$B$17,C2001+E2001)+H2001)</f>
        <v/>
      </c>
      <c r="E2001" s="2" t="str">
        <f>IF(A2001="","",C2001*'Loan Inputs'!$B$15)</f>
        <v/>
      </c>
      <c r="F2001" s="2" t="str">
        <f t="shared" si="93"/>
        <v/>
      </c>
      <c r="G2001" s="2" t="str">
        <f t="shared" si="94"/>
        <v/>
      </c>
      <c r="H2001" s="2" t="str">
        <f>IF(A2001="","",MIN(0,MAX(0,C2001+E2001-'Loan Inputs'!$B$17)))</f>
        <v/>
      </c>
    </row>
    <row r="2002" spans="1:8" ht="22" customHeight="1">
      <c r="A2002" s="1" t="str">
        <f>IF(AND('Loan Inputs'!$B$12,1996&lt;=IF('Loan Inputs'!$B$12,'Loan Inputs'!$B$7,0)*'Loan Inputs'!$B$14+0,ISNUMBER(G2001),G2001&gt;0),1996,"")</f>
        <v/>
      </c>
      <c r="B2002" s="4" t="str">
        <f>IF(A2002="","",IF('Loan Inputs'!$B$14=12,DATE(YEAR('Loan Inputs'!$B$8),MONTH('Loan Inputs'!$B$8)+A2002,DAY('Loan Inputs'!$B$8)),'Loan Inputs'!$B$8+A2002*IF('Loan Inputs'!$B$14=26,14,7)))</f>
        <v/>
      </c>
      <c r="C2002" s="2" t="str">
        <f t="shared" si="95"/>
        <v/>
      </c>
      <c r="D2002" s="2" t="str">
        <f>IF(A2002="","",MIN('Loan Inputs'!$B$17,C2002+E2002)+H2002)</f>
        <v/>
      </c>
      <c r="E2002" s="2" t="str">
        <f>IF(A2002="","",C2002*'Loan Inputs'!$B$15)</f>
        <v/>
      </c>
      <c r="F2002" s="2" t="str">
        <f t="shared" si="93"/>
        <v/>
      </c>
      <c r="G2002" s="2" t="str">
        <f t="shared" si="94"/>
        <v/>
      </c>
      <c r="H2002" s="2" t="str">
        <f>IF(A2002="","",MIN(0,MAX(0,C2002+E2002-'Loan Inputs'!$B$17)))</f>
        <v/>
      </c>
    </row>
    <row r="2003" spans="1:8" ht="22" customHeight="1">
      <c r="A2003" s="1" t="str">
        <f>IF(AND('Loan Inputs'!$B$12,1997&lt;=IF('Loan Inputs'!$B$12,'Loan Inputs'!$B$7,0)*'Loan Inputs'!$B$14+0,ISNUMBER(G2002),G2002&gt;0),1997,"")</f>
        <v/>
      </c>
      <c r="B2003" s="4" t="str">
        <f>IF(A2003="","",IF('Loan Inputs'!$B$14=12,DATE(YEAR('Loan Inputs'!$B$8),MONTH('Loan Inputs'!$B$8)+A2003,DAY('Loan Inputs'!$B$8)),'Loan Inputs'!$B$8+A2003*IF('Loan Inputs'!$B$14=26,14,7)))</f>
        <v/>
      </c>
      <c r="C2003" s="2" t="str">
        <f t="shared" si="95"/>
        <v/>
      </c>
      <c r="D2003" s="2" t="str">
        <f>IF(A2003="","",MIN('Loan Inputs'!$B$17,C2003+E2003)+H2003)</f>
        <v/>
      </c>
      <c r="E2003" s="2" t="str">
        <f>IF(A2003="","",C2003*'Loan Inputs'!$B$15)</f>
        <v/>
      </c>
      <c r="F2003" s="2" t="str">
        <f t="shared" si="93"/>
        <v/>
      </c>
      <c r="G2003" s="2" t="str">
        <f t="shared" si="94"/>
        <v/>
      </c>
      <c r="H2003" s="2" t="str">
        <f>IF(A2003="","",MIN(0,MAX(0,C2003+E2003-'Loan Inputs'!$B$17)))</f>
        <v/>
      </c>
    </row>
    <row r="2004" spans="1:8" ht="22" customHeight="1">
      <c r="A2004" s="1" t="str">
        <f>IF(AND('Loan Inputs'!$B$12,1998&lt;=IF('Loan Inputs'!$B$12,'Loan Inputs'!$B$7,0)*'Loan Inputs'!$B$14+0,ISNUMBER(G2003),G2003&gt;0),1998,"")</f>
        <v/>
      </c>
      <c r="B2004" s="4" t="str">
        <f>IF(A2004="","",IF('Loan Inputs'!$B$14=12,DATE(YEAR('Loan Inputs'!$B$8),MONTH('Loan Inputs'!$B$8)+A2004,DAY('Loan Inputs'!$B$8)),'Loan Inputs'!$B$8+A2004*IF('Loan Inputs'!$B$14=26,14,7)))</f>
        <v/>
      </c>
      <c r="C2004" s="2" t="str">
        <f t="shared" si="95"/>
        <v/>
      </c>
      <c r="D2004" s="2" t="str">
        <f>IF(A2004="","",MIN('Loan Inputs'!$B$17,C2004+E2004)+H2004)</f>
        <v/>
      </c>
      <c r="E2004" s="2" t="str">
        <f>IF(A2004="","",C2004*'Loan Inputs'!$B$15)</f>
        <v/>
      </c>
      <c r="F2004" s="2" t="str">
        <f t="shared" si="93"/>
        <v/>
      </c>
      <c r="G2004" s="2" t="str">
        <f t="shared" si="94"/>
        <v/>
      </c>
      <c r="H2004" s="2" t="str">
        <f>IF(A2004="","",MIN(0,MAX(0,C2004+E2004-'Loan Inputs'!$B$17)))</f>
        <v/>
      </c>
    </row>
    <row r="2005" spans="1:8" ht="22" customHeight="1">
      <c r="A2005" s="1" t="str">
        <f>IF(AND('Loan Inputs'!$B$12,1999&lt;=IF('Loan Inputs'!$B$12,'Loan Inputs'!$B$7,0)*'Loan Inputs'!$B$14+0,ISNUMBER(G2004),G2004&gt;0),1999,"")</f>
        <v/>
      </c>
      <c r="B2005" s="4" t="str">
        <f>IF(A2005="","",IF('Loan Inputs'!$B$14=12,DATE(YEAR('Loan Inputs'!$B$8),MONTH('Loan Inputs'!$B$8)+A2005,DAY('Loan Inputs'!$B$8)),'Loan Inputs'!$B$8+A2005*IF('Loan Inputs'!$B$14=26,14,7)))</f>
        <v/>
      </c>
      <c r="C2005" s="2" t="str">
        <f t="shared" si="95"/>
        <v/>
      </c>
      <c r="D2005" s="2" t="str">
        <f>IF(A2005="","",MIN('Loan Inputs'!$B$17,C2005+E2005)+H2005)</f>
        <v/>
      </c>
      <c r="E2005" s="2" t="str">
        <f>IF(A2005="","",C2005*'Loan Inputs'!$B$15)</f>
        <v/>
      </c>
      <c r="F2005" s="2" t="str">
        <f t="shared" si="93"/>
        <v/>
      </c>
      <c r="G2005" s="2" t="str">
        <f t="shared" si="94"/>
        <v/>
      </c>
      <c r="H2005" s="2" t="str">
        <f>IF(A2005="","",MIN(0,MAX(0,C2005+E2005-'Loan Inputs'!$B$17)))</f>
        <v/>
      </c>
    </row>
    <row r="2006" spans="1:8" ht="22" customHeight="1">
      <c r="A2006" s="1" t="str">
        <f>IF(AND('Loan Inputs'!$B$12,2000&lt;=IF('Loan Inputs'!$B$12,'Loan Inputs'!$B$7,0)*'Loan Inputs'!$B$14+0,ISNUMBER(G2005),G2005&gt;0),2000,"")</f>
        <v/>
      </c>
      <c r="B2006" s="4" t="str">
        <f>IF(A2006="","",IF('Loan Inputs'!$B$14=12,DATE(YEAR('Loan Inputs'!$B$8),MONTH('Loan Inputs'!$B$8)+A2006,DAY('Loan Inputs'!$B$8)),'Loan Inputs'!$B$8+A2006*IF('Loan Inputs'!$B$14=26,14,7)))</f>
        <v/>
      </c>
      <c r="C2006" s="2" t="str">
        <f t="shared" si="95"/>
        <v/>
      </c>
      <c r="D2006" s="2" t="str">
        <f>IF(A2006="","",MIN('Loan Inputs'!$B$17,C2006+E2006)+H2006)</f>
        <v/>
      </c>
      <c r="E2006" s="2" t="str">
        <f>IF(A2006="","",C2006*'Loan Inputs'!$B$15)</f>
        <v/>
      </c>
      <c r="F2006" s="2" t="str">
        <f t="shared" si="93"/>
        <v/>
      </c>
      <c r="G2006" s="2" t="str">
        <f t="shared" si="94"/>
        <v/>
      </c>
      <c r="H2006" s="2" t="str">
        <f>IF(A2006="","",MIN(0,MAX(0,C2006+E2006-'Loan Inputs'!$B$17)))</f>
        <v/>
      </c>
    </row>
    <row r="2007" spans="1:8" ht="22" customHeight="1">
      <c r="A2007" s="1" t="str">
        <f>IF(AND('Loan Inputs'!$B$12,2001&lt;=IF('Loan Inputs'!$B$12,'Loan Inputs'!$B$7,0)*'Loan Inputs'!$B$14+0,ISNUMBER(G2006),G2006&gt;0),2001,"")</f>
        <v/>
      </c>
      <c r="B2007" s="4" t="str">
        <f>IF(A2007="","",IF('Loan Inputs'!$B$14=12,DATE(YEAR('Loan Inputs'!$B$8),MONTH('Loan Inputs'!$B$8)+A2007,DAY('Loan Inputs'!$B$8)),'Loan Inputs'!$B$8+A2007*IF('Loan Inputs'!$B$14=26,14,7)))</f>
        <v/>
      </c>
      <c r="C2007" s="2" t="str">
        <f t="shared" si="95"/>
        <v/>
      </c>
      <c r="D2007" s="2" t="str">
        <f>IF(A2007="","",MIN('Loan Inputs'!$B$17,C2007+E2007)+H2007)</f>
        <v/>
      </c>
      <c r="E2007" s="2" t="str">
        <f>IF(A2007="","",C2007*'Loan Inputs'!$B$15)</f>
        <v/>
      </c>
      <c r="F2007" s="2" t="str">
        <f t="shared" si="93"/>
        <v/>
      </c>
      <c r="G2007" s="2" t="str">
        <f t="shared" si="94"/>
        <v/>
      </c>
      <c r="H2007" s="2" t="str">
        <f>IF(A2007="","",MIN(0,MAX(0,C2007+E2007-'Loan Inputs'!$B$17)))</f>
        <v/>
      </c>
    </row>
    <row r="2008" spans="1:8" ht="22" customHeight="1">
      <c r="A2008" s="1" t="str">
        <f>IF(AND('Loan Inputs'!$B$12,2002&lt;=IF('Loan Inputs'!$B$12,'Loan Inputs'!$B$7,0)*'Loan Inputs'!$B$14+0,ISNUMBER(G2007),G2007&gt;0),2002,"")</f>
        <v/>
      </c>
      <c r="B2008" s="4" t="str">
        <f>IF(A2008="","",IF('Loan Inputs'!$B$14=12,DATE(YEAR('Loan Inputs'!$B$8),MONTH('Loan Inputs'!$B$8)+A2008,DAY('Loan Inputs'!$B$8)),'Loan Inputs'!$B$8+A2008*IF('Loan Inputs'!$B$14=26,14,7)))</f>
        <v/>
      </c>
      <c r="C2008" s="2" t="str">
        <f t="shared" si="95"/>
        <v/>
      </c>
      <c r="D2008" s="2" t="str">
        <f>IF(A2008="","",MIN('Loan Inputs'!$B$17,C2008+E2008)+H2008)</f>
        <v/>
      </c>
      <c r="E2008" s="2" t="str">
        <f>IF(A2008="","",C2008*'Loan Inputs'!$B$15)</f>
        <v/>
      </c>
      <c r="F2008" s="2" t="str">
        <f t="shared" si="93"/>
        <v/>
      </c>
      <c r="G2008" s="2" t="str">
        <f t="shared" si="94"/>
        <v/>
      </c>
      <c r="H2008" s="2" t="str">
        <f>IF(A2008="","",MIN(0,MAX(0,C2008+E2008-'Loan Inputs'!$B$17)))</f>
        <v/>
      </c>
    </row>
    <row r="2009" spans="1:8" ht="22" customHeight="1">
      <c r="A2009" s="1" t="str">
        <f>IF(AND('Loan Inputs'!$B$12,2003&lt;=IF('Loan Inputs'!$B$12,'Loan Inputs'!$B$7,0)*'Loan Inputs'!$B$14+0,ISNUMBER(G2008),G2008&gt;0),2003,"")</f>
        <v/>
      </c>
      <c r="B2009" s="4" t="str">
        <f>IF(A2009="","",IF('Loan Inputs'!$B$14=12,DATE(YEAR('Loan Inputs'!$B$8),MONTH('Loan Inputs'!$B$8)+A2009,DAY('Loan Inputs'!$B$8)),'Loan Inputs'!$B$8+A2009*IF('Loan Inputs'!$B$14=26,14,7)))</f>
        <v/>
      </c>
      <c r="C2009" s="2" t="str">
        <f t="shared" si="95"/>
        <v/>
      </c>
      <c r="D2009" s="2" t="str">
        <f>IF(A2009="","",MIN('Loan Inputs'!$B$17,C2009+E2009)+H2009)</f>
        <v/>
      </c>
      <c r="E2009" s="2" t="str">
        <f>IF(A2009="","",C2009*'Loan Inputs'!$B$15)</f>
        <v/>
      </c>
      <c r="F2009" s="2" t="str">
        <f t="shared" si="93"/>
        <v/>
      </c>
      <c r="G2009" s="2" t="str">
        <f t="shared" si="94"/>
        <v/>
      </c>
      <c r="H2009" s="2" t="str">
        <f>IF(A2009="","",MIN(0,MAX(0,C2009+E2009-'Loan Inputs'!$B$17)))</f>
        <v/>
      </c>
    </row>
    <row r="2010" spans="1:8" ht="22" customHeight="1">
      <c r="A2010" s="1" t="str">
        <f>IF(AND('Loan Inputs'!$B$12,2004&lt;=IF('Loan Inputs'!$B$12,'Loan Inputs'!$B$7,0)*'Loan Inputs'!$B$14+0,ISNUMBER(G2009),G2009&gt;0),2004,"")</f>
        <v/>
      </c>
      <c r="B2010" s="4" t="str">
        <f>IF(A2010="","",IF('Loan Inputs'!$B$14=12,DATE(YEAR('Loan Inputs'!$B$8),MONTH('Loan Inputs'!$B$8)+A2010,DAY('Loan Inputs'!$B$8)),'Loan Inputs'!$B$8+A2010*IF('Loan Inputs'!$B$14=26,14,7)))</f>
        <v/>
      </c>
      <c r="C2010" s="2" t="str">
        <f t="shared" si="95"/>
        <v/>
      </c>
      <c r="D2010" s="2" t="str">
        <f>IF(A2010="","",MIN('Loan Inputs'!$B$17,C2010+E2010)+H2010)</f>
        <v/>
      </c>
      <c r="E2010" s="2" t="str">
        <f>IF(A2010="","",C2010*'Loan Inputs'!$B$15)</f>
        <v/>
      </c>
      <c r="F2010" s="2" t="str">
        <f t="shared" si="93"/>
        <v/>
      </c>
      <c r="G2010" s="2" t="str">
        <f t="shared" si="94"/>
        <v/>
      </c>
      <c r="H2010" s="2" t="str">
        <f>IF(A2010="","",MIN(0,MAX(0,C2010+E2010-'Loan Inputs'!$B$17)))</f>
        <v/>
      </c>
    </row>
    <row r="2011" spans="1:8" ht="22" customHeight="1">
      <c r="A2011" s="1" t="str">
        <f>IF(AND('Loan Inputs'!$B$12,2005&lt;=IF('Loan Inputs'!$B$12,'Loan Inputs'!$B$7,0)*'Loan Inputs'!$B$14+0,ISNUMBER(G2010),G2010&gt;0),2005,"")</f>
        <v/>
      </c>
      <c r="B2011" s="4" t="str">
        <f>IF(A2011="","",IF('Loan Inputs'!$B$14=12,DATE(YEAR('Loan Inputs'!$B$8),MONTH('Loan Inputs'!$B$8)+A2011,DAY('Loan Inputs'!$B$8)),'Loan Inputs'!$B$8+A2011*IF('Loan Inputs'!$B$14=26,14,7)))</f>
        <v/>
      </c>
      <c r="C2011" s="2" t="str">
        <f t="shared" si="95"/>
        <v/>
      </c>
      <c r="D2011" s="2" t="str">
        <f>IF(A2011="","",MIN('Loan Inputs'!$B$17,C2011+E2011)+H2011)</f>
        <v/>
      </c>
      <c r="E2011" s="2" t="str">
        <f>IF(A2011="","",C2011*'Loan Inputs'!$B$15)</f>
        <v/>
      </c>
      <c r="F2011" s="2" t="str">
        <f t="shared" si="93"/>
        <v/>
      </c>
      <c r="G2011" s="2" t="str">
        <f t="shared" si="94"/>
        <v/>
      </c>
      <c r="H2011" s="2" t="str">
        <f>IF(A2011="","",MIN(0,MAX(0,C2011+E2011-'Loan Inputs'!$B$17)))</f>
        <v/>
      </c>
    </row>
    <row r="2012" spans="1:8" ht="22" customHeight="1">
      <c r="A2012" s="1" t="str">
        <f>IF(AND('Loan Inputs'!$B$12,2006&lt;=IF('Loan Inputs'!$B$12,'Loan Inputs'!$B$7,0)*'Loan Inputs'!$B$14+0,ISNUMBER(G2011),G2011&gt;0),2006,"")</f>
        <v/>
      </c>
      <c r="B2012" s="4" t="str">
        <f>IF(A2012="","",IF('Loan Inputs'!$B$14=12,DATE(YEAR('Loan Inputs'!$B$8),MONTH('Loan Inputs'!$B$8)+A2012,DAY('Loan Inputs'!$B$8)),'Loan Inputs'!$B$8+A2012*IF('Loan Inputs'!$B$14=26,14,7)))</f>
        <v/>
      </c>
      <c r="C2012" s="2" t="str">
        <f t="shared" si="95"/>
        <v/>
      </c>
      <c r="D2012" s="2" t="str">
        <f>IF(A2012="","",MIN('Loan Inputs'!$B$17,C2012+E2012)+H2012)</f>
        <v/>
      </c>
      <c r="E2012" s="2" t="str">
        <f>IF(A2012="","",C2012*'Loan Inputs'!$B$15)</f>
        <v/>
      </c>
      <c r="F2012" s="2" t="str">
        <f t="shared" si="93"/>
        <v/>
      </c>
      <c r="G2012" s="2" t="str">
        <f t="shared" si="94"/>
        <v/>
      </c>
      <c r="H2012" s="2" t="str">
        <f>IF(A2012="","",MIN(0,MAX(0,C2012+E2012-'Loan Inputs'!$B$17)))</f>
        <v/>
      </c>
    </row>
    <row r="2013" spans="1:8" ht="22" customHeight="1">
      <c r="A2013" s="1" t="str">
        <f>IF(AND('Loan Inputs'!$B$12,2007&lt;=IF('Loan Inputs'!$B$12,'Loan Inputs'!$B$7,0)*'Loan Inputs'!$B$14+0,ISNUMBER(G2012),G2012&gt;0),2007,"")</f>
        <v/>
      </c>
      <c r="B2013" s="4" t="str">
        <f>IF(A2013="","",IF('Loan Inputs'!$B$14=12,DATE(YEAR('Loan Inputs'!$B$8),MONTH('Loan Inputs'!$B$8)+A2013,DAY('Loan Inputs'!$B$8)),'Loan Inputs'!$B$8+A2013*IF('Loan Inputs'!$B$14=26,14,7)))</f>
        <v/>
      </c>
      <c r="C2013" s="2" t="str">
        <f t="shared" si="95"/>
        <v/>
      </c>
      <c r="D2013" s="2" t="str">
        <f>IF(A2013="","",MIN('Loan Inputs'!$B$17,C2013+E2013)+H2013)</f>
        <v/>
      </c>
      <c r="E2013" s="2" t="str">
        <f>IF(A2013="","",C2013*'Loan Inputs'!$B$15)</f>
        <v/>
      </c>
      <c r="F2013" s="2" t="str">
        <f t="shared" si="93"/>
        <v/>
      </c>
      <c r="G2013" s="2" t="str">
        <f t="shared" si="94"/>
        <v/>
      </c>
      <c r="H2013" s="2" t="str">
        <f>IF(A2013="","",MIN(0,MAX(0,C2013+E2013-'Loan Inputs'!$B$17)))</f>
        <v/>
      </c>
    </row>
    <row r="2014" spans="1:8" ht="22" customHeight="1">
      <c r="A2014" s="1" t="str">
        <f>IF(AND('Loan Inputs'!$B$12,2008&lt;=IF('Loan Inputs'!$B$12,'Loan Inputs'!$B$7,0)*'Loan Inputs'!$B$14+0,ISNUMBER(G2013),G2013&gt;0),2008,"")</f>
        <v/>
      </c>
      <c r="B2014" s="4" t="str">
        <f>IF(A2014="","",IF('Loan Inputs'!$B$14=12,DATE(YEAR('Loan Inputs'!$B$8),MONTH('Loan Inputs'!$B$8)+A2014,DAY('Loan Inputs'!$B$8)),'Loan Inputs'!$B$8+A2014*IF('Loan Inputs'!$B$14=26,14,7)))</f>
        <v/>
      </c>
      <c r="C2014" s="2" t="str">
        <f t="shared" si="95"/>
        <v/>
      </c>
      <c r="D2014" s="2" t="str">
        <f>IF(A2014="","",MIN('Loan Inputs'!$B$17,C2014+E2014)+H2014)</f>
        <v/>
      </c>
      <c r="E2014" s="2" t="str">
        <f>IF(A2014="","",C2014*'Loan Inputs'!$B$15)</f>
        <v/>
      </c>
      <c r="F2014" s="2" t="str">
        <f t="shared" si="93"/>
        <v/>
      </c>
      <c r="G2014" s="2" t="str">
        <f t="shared" si="94"/>
        <v/>
      </c>
      <c r="H2014" s="2" t="str">
        <f>IF(A2014="","",MIN(0,MAX(0,C2014+E2014-'Loan Inputs'!$B$17)))</f>
        <v/>
      </c>
    </row>
    <row r="2015" spans="1:8" ht="22" customHeight="1">
      <c r="A2015" s="1" t="str">
        <f>IF(AND('Loan Inputs'!$B$12,2009&lt;=IF('Loan Inputs'!$B$12,'Loan Inputs'!$B$7,0)*'Loan Inputs'!$B$14+0,ISNUMBER(G2014),G2014&gt;0),2009,"")</f>
        <v/>
      </c>
      <c r="B2015" s="4" t="str">
        <f>IF(A2015="","",IF('Loan Inputs'!$B$14=12,DATE(YEAR('Loan Inputs'!$B$8),MONTH('Loan Inputs'!$B$8)+A2015,DAY('Loan Inputs'!$B$8)),'Loan Inputs'!$B$8+A2015*IF('Loan Inputs'!$B$14=26,14,7)))</f>
        <v/>
      </c>
      <c r="C2015" s="2" t="str">
        <f t="shared" si="95"/>
        <v/>
      </c>
      <c r="D2015" s="2" t="str">
        <f>IF(A2015="","",MIN('Loan Inputs'!$B$17,C2015+E2015)+H2015)</f>
        <v/>
      </c>
      <c r="E2015" s="2" t="str">
        <f>IF(A2015="","",C2015*'Loan Inputs'!$B$15)</f>
        <v/>
      </c>
      <c r="F2015" s="2" t="str">
        <f t="shared" si="93"/>
        <v/>
      </c>
      <c r="G2015" s="2" t="str">
        <f t="shared" si="94"/>
        <v/>
      </c>
      <c r="H2015" s="2" t="str">
        <f>IF(A2015="","",MIN(0,MAX(0,C2015+E2015-'Loan Inputs'!$B$17)))</f>
        <v/>
      </c>
    </row>
    <row r="2016" spans="1:8" ht="22" customHeight="1">
      <c r="A2016" s="1" t="str">
        <f>IF(AND('Loan Inputs'!$B$12,2010&lt;=IF('Loan Inputs'!$B$12,'Loan Inputs'!$B$7,0)*'Loan Inputs'!$B$14+0,ISNUMBER(G2015),G2015&gt;0),2010,"")</f>
        <v/>
      </c>
      <c r="B2016" s="4" t="str">
        <f>IF(A2016="","",IF('Loan Inputs'!$B$14=12,DATE(YEAR('Loan Inputs'!$B$8),MONTH('Loan Inputs'!$B$8)+A2016,DAY('Loan Inputs'!$B$8)),'Loan Inputs'!$B$8+A2016*IF('Loan Inputs'!$B$14=26,14,7)))</f>
        <v/>
      </c>
      <c r="C2016" s="2" t="str">
        <f t="shared" si="95"/>
        <v/>
      </c>
      <c r="D2016" s="2" t="str">
        <f>IF(A2016="","",MIN('Loan Inputs'!$B$17,C2016+E2016)+H2016)</f>
        <v/>
      </c>
      <c r="E2016" s="2" t="str">
        <f>IF(A2016="","",C2016*'Loan Inputs'!$B$15)</f>
        <v/>
      </c>
      <c r="F2016" s="2" t="str">
        <f t="shared" si="93"/>
        <v/>
      </c>
      <c r="G2016" s="2" t="str">
        <f t="shared" si="94"/>
        <v/>
      </c>
      <c r="H2016" s="2" t="str">
        <f>IF(A2016="","",MIN(0,MAX(0,C2016+E2016-'Loan Inputs'!$B$17)))</f>
        <v/>
      </c>
    </row>
    <row r="2017" spans="1:8" ht="22" customHeight="1">
      <c r="A2017" s="1" t="str">
        <f>IF(AND('Loan Inputs'!$B$12,2011&lt;=IF('Loan Inputs'!$B$12,'Loan Inputs'!$B$7,0)*'Loan Inputs'!$B$14+0,ISNUMBER(G2016),G2016&gt;0),2011,"")</f>
        <v/>
      </c>
      <c r="B2017" s="4" t="str">
        <f>IF(A2017="","",IF('Loan Inputs'!$B$14=12,DATE(YEAR('Loan Inputs'!$B$8),MONTH('Loan Inputs'!$B$8)+A2017,DAY('Loan Inputs'!$B$8)),'Loan Inputs'!$B$8+A2017*IF('Loan Inputs'!$B$14=26,14,7)))</f>
        <v/>
      </c>
      <c r="C2017" s="2" t="str">
        <f t="shared" si="95"/>
        <v/>
      </c>
      <c r="D2017" s="2" t="str">
        <f>IF(A2017="","",MIN('Loan Inputs'!$B$17,C2017+E2017)+H2017)</f>
        <v/>
      </c>
      <c r="E2017" s="2" t="str">
        <f>IF(A2017="","",C2017*'Loan Inputs'!$B$15)</f>
        <v/>
      </c>
      <c r="F2017" s="2" t="str">
        <f t="shared" si="93"/>
        <v/>
      </c>
      <c r="G2017" s="2" t="str">
        <f t="shared" si="94"/>
        <v/>
      </c>
      <c r="H2017" s="2" t="str">
        <f>IF(A2017="","",MIN(0,MAX(0,C2017+E2017-'Loan Inputs'!$B$17)))</f>
        <v/>
      </c>
    </row>
    <row r="2018" spans="1:8" ht="22" customHeight="1">
      <c r="A2018" s="1" t="str">
        <f>IF(AND('Loan Inputs'!$B$12,2012&lt;=IF('Loan Inputs'!$B$12,'Loan Inputs'!$B$7,0)*'Loan Inputs'!$B$14+0,ISNUMBER(G2017),G2017&gt;0),2012,"")</f>
        <v/>
      </c>
      <c r="B2018" s="4" t="str">
        <f>IF(A2018="","",IF('Loan Inputs'!$B$14=12,DATE(YEAR('Loan Inputs'!$B$8),MONTH('Loan Inputs'!$B$8)+A2018,DAY('Loan Inputs'!$B$8)),'Loan Inputs'!$B$8+A2018*IF('Loan Inputs'!$B$14=26,14,7)))</f>
        <v/>
      </c>
      <c r="C2018" s="2" t="str">
        <f t="shared" si="95"/>
        <v/>
      </c>
      <c r="D2018" s="2" t="str">
        <f>IF(A2018="","",MIN('Loan Inputs'!$B$17,C2018+E2018)+H2018)</f>
        <v/>
      </c>
      <c r="E2018" s="2" t="str">
        <f>IF(A2018="","",C2018*'Loan Inputs'!$B$15)</f>
        <v/>
      </c>
      <c r="F2018" s="2" t="str">
        <f t="shared" si="93"/>
        <v/>
      </c>
      <c r="G2018" s="2" t="str">
        <f t="shared" si="94"/>
        <v/>
      </c>
      <c r="H2018" s="2" t="str">
        <f>IF(A2018="","",MIN(0,MAX(0,C2018+E2018-'Loan Inputs'!$B$17)))</f>
        <v/>
      </c>
    </row>
    <row r="2019" spans="1:8" ht="22" customHeight="1">
      <c r="A2019" s="1" t="str">
        <f>IF(AND('Loan Inputs'!$B$12,2013&lt;=IF('Loan Inputs'!$B$12,'Loan Inputs'!$B$7,0)*'Loan Inputs'!$B$14+0,ISNUMBER(G2018),G2018&gt;0),2013,"")</f>
        <v/>
      </c>
      <c r="B2019" s="4" t="str">
        <f>IF(A2019="","",IF('Loan Inputs'!$B$14=12,DATE(YEAR('Loan Inputs'!$B$8),MONTH('Loan Inputs'!$B$8)+A2019,DAY('Loan Inputs'!$B$8)),'Loan Inputs'!$B$8+A2019*IF('Loan Inputs'!$B$14=26,14,7)))</f>
        <v/>
      </c>
      <c r="C2019" s="2" t="str">
        <f t="shared" si="95"/>
        <v/>
      </c>
      <c r="D2019" s="2" t="str">
        <f>IF(A2019="","",MIN('Loan Inputs'!$B$17,C2019+E2019)+H2019)</f>
        <v/>
      </c>
      <c r="E2019" s="2" t="str">
        <f>IF(A2019="","",C2019*'Loan Inputs'!$B$15)</f>
        <v/>
      </c>
      <c r="F2019" s="2" t="str">
        <f t="shared" si="93"/>
        <v/>
      </c>
      <c r="G2019" s="2" t="str">
        <f t="shared" si="94"/>
        <v/>
      </c>
      <c r="H2019" s="2" t="str">
        <f>IF(A2019="","",MIN(0,MAX(0,C2019+E2019-'Loan Inputs'!$B$17)))</f>
        <v/>
      </c>
    </row>
    <row r="2020" spans="1:8" ht="22" customHeight="1">
      <c r="A2020" s="1" t="str">
        <f>IF(AND('Loan Inputs'!$B$12,2014&lt;=IF('Loan Inputs'!$B$12,'Loan Inputs'!$B$7,0)*'Loan Inputs'!$B$14+0,ISNUMBER(G2019),G2019&gt;0),2014,"")</f>
        <v/>
      </c>
      <c r="B2020" s="4" t="str">
        <f>IF(A2020="","",IF('Loan Inputs'!$B$14=12,DATE(YEAR('Loan Inputs'!$B$8),MONTH('Loan Inputs'!$B$8)+A2020,DAY('Loan Inputs'!$B$8)),'Loan Inputs'!$B$8+A2020*IF('Loan Inputs'!$B$14=26,14,7)))</f>
        <v/>
      </c>
      <c r="C2020" s="2" t="str">
        <f t="shared" si="95"/>
        <v/>
      </c>
      <c r="D2020" s="2" t="str">
        <f>IF(A2020="","",MIN('Loan Inputs'!$B$17,C2020+E2020)+H2020)</f>
        <v/>
      </c>
      <c r="E2020" s="2" t="str">
        <f>IF(A2020="","",C2020*'Loan Inputs'!$B$15)</f>
        <v/>
      </c>
      <c r="F2020" s="2" t="str">
        <f t="shared" si="93"/>
        <v/>
      </c>
      <c r="G2020" s="2" t="str">
        <f t="shared" si="94"/>
        <v/>
      </c>
      <c r="H2020" s="2" t="str">
        <f>IF(A2020="","",MIN(0,MAX(0,C2020+E2020-'Loan Inputs'!$B$17)))</f>
        <v/>
      </c>
    </row>
    <row r="2021" spans="1:8" ht="22" customHeight="1">
      <c r="A2021" s="1" t="str">
        <f>IF(AND('Loan Inputs'!$B$12,2015&lt;=IF('Loan Inputs'!$B$12,'Loan Inputs'!$B$7,0)*'Loan Inputs'!$B$14+0,ISNUMBER(G2020),G2020&gt;0),2015,"")</f>
        <v/>
      </c>
      <c r="B2021" s="4" t="str">
        <f>IF(A2021="","",IF('Loan Inputs'!$B$14=12,DATE(YEAR('Loan Inputs'!$B$8),MONTH('Loan Inputs'!$B$8)+A2021,DAY('Loan Inputs'!$B$8)),'Loan Inputs'!$B$8+A2021*IF('Loan Inputs'!$B$14=26,14,7)))</f>
        <v/>
      </c>
      <c r="C2021" s="2" t="str">
        <f t="shared" si="95"/>
        <v/>
      </c>
      <c r="D2021" s="2" t="str">
        <f>IF(A2021="","",MIN('Loan Inputs'!$B$17,C2021+E2021)+H2021)</f>
        <v/>
      </c>
      <c r="E2021" s="2" t="str">
        <f>IF(A2021="","",C2021*'Loan Inputs'!$B$15)</f>
        <v/>
      </c>
      <c r="F2021" s="2" t="str">
        <f t="shared" si="93"/>
        <v/>
      </c>
      <c r="G2021" s="2" t="str">
        <f t="shared" si="94"/>
        <v/>
      </c>
      <c r="H2021" s="2" t="str">
        <f>IF(A2021="","",MIN(0,MAX(0,C2021+E2021-'Loan Inputs'!$B$17)))</f>
        <v/>
      </c>
    </row>
    <row r="2022" spans="1:8" ht="22" customHeight="1">
      <c r="A2022" s="1" t="str">
        <f>IF(AND('Loan Inputs'!$B$12,2016&lt;=IF('Loan Inputs'!$B$12,'Loan Inputs'!$B$7,0)*'Loan Inputs'!$B$14+0,ISNUMBER(G2021),G2021&gt;0),2016,"")</f>
        <v/>
      </c>
      <c r="B2022" s="4" t="str">
        <f>IF(A2022="","",IF('Loan Inputs'!$B$14=12,DATE(YEAR('Loan Inputs'!$B$8),MONTH('Loan Inputs'!$B$8)+A2022,DAY('Loan Inputs'!$B$8)),'Loan Inputs'!$B$8+A2022*IF('Loan Inputs'!$B$14=26,14,7)))</f>
        <v/>
      </c>
      <c r="C2022" s="2" t="str">
        <f t="shared" si="95"/>
        <v/>
      </c>
      <c r="D2022" s="2" t="str">
        <f>IF(A2022="","",MIN('Loan Inputs'!$B$17,C2022+E2022)+H2022)</f>
        <v/>
      </c>
      <c r="E2022" s="2" t="str">
        <f>IF(A2022="","",C2022*'Loan Inputs'!$B$15)</f>
        <v/>
      </c>
      <c r="F2022" s="2" t="str">
        <f t="shared" si="93"/>
        <v/>
      </c>
      <c r="G2022" s="2" t="str">
        <f t="shared" si="94"/>
        <v/>
      </c>
      <c r="H2022" s="2" t="str">
        <f>IF(A2022="","",MIN(0,MAX(0,C2022+E2022-'Loan Inputs'!$B$17)))</f>
        <v/>
      </c>
    </row>
    <row r="2023" spans="1:8" ht="22" customHeight="1">
      <c r="A2023" s="1" t="str">
        <f>IF(AND('Loan Inputs'!$B$12,2017&lt;=IF('Loan Inputs'!$B$12,'Loan Inputs'!$B$7,0)*'Loan Inputs'!$B$14+0,ISNUMBER(G2022),G2022&gt;0),2017,"")</f>
        <v/>
      </c>
      <c r="B2023" s="4" t="str">
        <f>IF(A2023="","",IF('Loan Inputs'!$B$14=12,DATE(YEAR('Loan Inputs'!$B$8),MONTH('Loan Inputs'!$B$8)+A2023,DAY('Loan Inputs'!$B$8)),'Loan Inputs'!$B$8+A2023*IF('Loan Inputs'!$B$14=26,14,7)))</f>
        <v/>
      </c>
      <c r="C2023" s="2" t="str">
        <f t="shared" si="95"/>
        <v/>
      </c>
      <c r="D2023" s="2" t="str">
        <f>IF(A2023="","",MIN('Loan Inputs'!$B$17,C2023+E2023)+H2023)</f>
        <v/>
      </c>
      <c r="E2023" s="2" t="str">
        <f>IF(A2023="","",C2023*'Loan Inputs'!$B$15)</f>
        <v/>
      </c>
      <c r="F2023" s="2" t="str">
        <f t="shared" si="93"/>
        <v/>
      </c>
      <c r="G2023" s="2" t="str">
        <f t="shared" si="94"/>
        <v/>
      </c>
      <c r="H2023" s="2" t="str">
        <f>IF(A2023="","",MIN(0,MAX(0,C2023+E2023-'Loan Inputs'!$B$17)))</f>
        <v/>
      </c>
    </row>
    <row r="2024" spans="1:8" ht="22" customHeight="1">
      <c r="A2024" s="1" t="str">
        <f>IF(AND('Loan Inputs'!$B$12,2018&lt;=IF('Loan Inputs'!$B$12,'Loan Inputs'!$B$7,0)*'Loan Inputs'!$B$14+0,ISNUMBER(G2023),G2023&gt;0),2018,"")</f>
        <v/>
      </c>
      <c r="B2024" s="4" t="str">
        <f>IF(A2024="","",IF('Loan Inputs'!$B$14=12,DATE(YEAR('Loan Inputs'!$B$8),MONTH('Loan Inputs'!$B$8)+A2024,DAY('Loan Inputs'!$B$8)),'Loan Inputs'!$B$8+A2024*IF('Loan Inputs'!$B$14=26,14,7)))</f>
        <v/>
      </c>
      <c r="C2024" s="2" t="str">
        <f t="shared" si="95"/>
        <v/>
      </c>
      <c r="D2024" s="2" t="str">
        <f>IF(A2024="","",MIN('Loan Inputs'!$B$17,C2024+E2024)+H2024)</f>
        <v/>
      </c>
      <c r="E2024" s="2" t="str">
        <f>IF(A2024="","",C2024*'Loan Inputs'!$B$15)</f>
        <v/>
      </c>
      <c r="F2024" s="2" t="str">
        <f t="shared" si="93"/>
        <v/>
      </c>
      <c r="G2024" s="2" t="str">
        <f t="shared" si="94"/>
        <v/>
      </c>
      <c r="H2024" s="2" t="str">
        <f>IF(A2024="","",MIN(0,MAX(0,C2024+E2024-'Loan Inputs'!$B$17)))</f>
        <v/>
      </c>
    </row>
    <row r="2025" spans="1:8" ht="22" customHeight="1">
      <c r="A2025" s="1" t="str">
        <f>IF(AND('Loan Inputs'!$B$12,2019&lt;=IF('Loan Inputs'!$B$12,'Loan Inputs'!$B$7,0)*'Loan Inputs'!$B$14+0,ISNUMBER(G2024),G2024&gt;0),2019,"")</f>
        <v/>
      </c>
      <c r="B2025" s="4" t="str">
        <f>IF(A2025="","",IF('Loan Inputs'!$B$14=12,DATE(YEAR('Loan Inputs'!$B$8),MONTH('Loan Inputs'!$B$8)+A2025,DAY('Loan Inputs'!$B$8)),'Loan Inputs'!$B$8+A2025*IF('Loan Inputs'!$B$14=26,14,7)))</f>
        <v/>
      </c>
      <c r="C2025" s="2" t="str">
        <f t="shared" si="95"/>
        <v/>
      </c>
      <c r="D2025" s="2" t="str">
        <f>IF(A2025="","",MIN('Loan Inputs'!$B$17,C2025+E2025)+H2025)</f>
        <v/>
      </c>
      <c r="E2025" s="2" t="str">
        <f>IF(A2025="","",C2025*'Loan Inputs'!$B$15)</f>
        <v/>
      </c>
      <c r="F2025" s="2" t="str">
        <f t="shared" si="93"/>
        <v/>
      </c>
      <c r="G2025" s="2" t="str">
        <f t="shared" si="94"/>
        <v/>
      </c>
      <c r="H2025" s="2" t="str">
        <f>IF(A2025="","",MIN(0,MAX(0,C2025+E2025-'Loan Inputs'!$B$17)))</f>
        <v/>
      </c>
    </row>
    <row r="2026" spans="1:8" ht="22" customHeight="1">
      <c r="A2026" s="1" t="str">
        <f>IF(AND('Loan Inputs'!$B$12,2020&lt;=IF('Loan Inputs'!$B$12,'Loan Inputs'!$B$7,0)*'Loan Inputs'!$B$14+0,ISNUMBER(G2025),G2025&gt;0),2020,"")</f>
        <v/>
      </c>
      <c r="B2026" s="4" t="str">
        <f>IF(A2026="","",IF('Loan Inputs'!$B$14=12,DATE(YEAR('Loan Inputs'!$B$8),MONTH('Loan Inputs'!$B$8)+A2026,DAY('Loan Inputs'!$B$8)),'Loan Inputs'!$B$8+A2026*IF('Loan Inputs'!$B$14=26,14,7)))</f>
        <v/>
      </c>
      <c r="C2026" s="2" t="str">
        <f t="shared" si="95"/>
        <v/>
      </c>
      <c r="D2026" s="2" t="str">
        <f>IF(A2026="","",MIN('Loan Inputs'!$B$17,C2026+E2026)+H2026)</f>
        <v/>
      </c>
      <c r="E2026" s="2" t="str">
        <f>IF(A2026="","",C2026*'Loan Inputs'!$B$15)</f>
        <v/>
      </c>
      <c r="F2026" s="2" t="str">
        <f t="shared" si="93"/>
        <v/>
      </c>
      <c r="G2026" s="2" t="str">
        <f t="shared" si="94"/>
        <v/>
      </c>
      <c r="H2026" s="2" t="str">
        <f>IF(A2026="","",MIN(0,MAX(0,C2026+E2026-'Loan Inputs'!$B$17)))</f>
        <v/>
      </c>
    </row>
    <row r="2027" spans="1:8" ht="22" customHeight="1">
      <c r="A2027" s="1" t="str">
        <f>IF(AND('Loan Inputs'!$B$12,2021&lt;=IF('Loan Inputs'!$B$12,'Loan Inputs'!$B$7,0)*'Loan Inputs'!$B$14+0,ISNUMBER(G2026),G2026&gt;0),2021,"")</f>
        <v/>
      </c>
      <c r="B2027" s="4" t="str">
        <f>IF(A2027="","",IF('Loan Inputs'!$B$14=12,DATE(YEAR('Loan Inputs'!$B$8),MONTH('Loan Inputs'!$B$8)+A2027,DAY('Loan Inputs'!$B$8)),'Loan Inputs'!$B$8+A2027*IF('Loan Inputs'!$B$14=26,14,7)))</f>
        <v/>
      </c>
      <c r="C2027" s="2" t="str">
        <f t="shared" si="95"/>
        <v/>
      </c>
      <c r="D2027" s="2" t="str">
        <f>IF(A2027="","",MIN('Loan Inputs'!$B$17,C2027+E2027)+H2027)</f>
        <v/>
      </c>
      <c r="E2027" s="2" t="str">
        <f>IF(A2027="","",C2027*'Loan Inputs'!$B$15)</f>
        <v/>
      </c>
      <c r="F2027" s="2" t="str">
        <f t="shared" si="93"/>
        <v/>
      </c>
      <c r="G2027" s="2" t="str">
        <f t="shared" si="94"/>
        <v/>
      </c>
      <c r="H2027" s="2" t="str">
        <f>IF(A2027="","",MIN(0,MAX(0,C2027+E2027-'Loan Inputs'!$B$17)))</f>
        <v/>
      </c>
    </row>
    <row r="2028" spans="1:8" ht="22" customHeight="1">
      <c r="A2028" s="1" t="str">
        <f>IF(AND('Loan Inputs'!$B$12,2022&lt;=IF('Loan Inputs'!$B$12,'Loan Inputs'!$B$7,0)*'Loan Inputs'!$B$14+0,ISNUMBER(G2027),G2027&gt;0),2022,"")</f>
        <v/>
      </c>
      <c r="B2028" s="4" t="str">
        <f>IF(A2028="","",IF('Loan Inputs'!$B$14=12,DATE(YEAR('Loan Inputs'!$B$8),MONTH('Loan Inputs'!$B$8)+A2028,DAY('Loan Inputs'!$B$8)),'Loan Inputs'!$B$8+A2028*IF('Loan Inputs'!$B$14=26,14,7)))</f>
        <v/>
      </c>
      <c r="C2028" s="2" t="str">
        <f t="shared" si="95"/>
        <v/>
      </c>
      <c r="D2028" s="2" t="str">
        <f>IF(A2028="","",MIN('Loan Inputs'!$B$17,C2028+E2028)+H2028)</f>
        <v/>
      </c>
      <c r="E2028" s="2" t="str">
        <f>IF(A2028="","",C2028*'Loan Inputs'!$B$15)</f>
        <v/>
      </c>
      <c r="F2028" s="2" t="str">
        <f t="shared" si="93"/>
        <v/>
      </c>
      <c r="G2028" s="2" t="str">
        <f t="shared" si="94"/>
        <v/>
      </c>
      <c r="H2028" s="2" t="str">
        <f>IF(A2028="","",MIN(0,MAX(0,C2028+E2028-'Loan Inputs'!$B$17)))</f>
        <v/>
      </c>
    </row>
    <row r="2029" spans="1:8" ht="22" customHeight="1">
      <c r="A2029" s="1" t="str">
        <f>IF(AND('Loan Inputs'!$B$12,2023&lt;=IF('Loan Inputs'!$B$12,'Loan Inputs'!$B$7,0)*'Loan Inputs'!$B$14+0,ISNUMBER(G2028),G2028&gt;0),2023,"")</f>
        <v/>
      </c>
      <c r="B2029" s="4" t="str">
        <f>IF(A2029="","",IF('Loan Inputs'!$B$14=12,DATE(YEAR('Loan Inputs'!$B$8),MONTH('Loan Inputs'!$B$8)+A2029,DAY('Loan Inputs'!$B$8)),'Loan Inputs'!$B$8+A2029*IF('Loan Inputs'!$B$14=26,14,7)))</f>
        <v/>
      </c>
      <c r="C2029" s="2" t="str">
        <f t="shared" si="95"/>
        <v/>
      </c>
      <c r="D2029" s="2" t="str">
        <f>IF(A2029="","",MIN('Loan Inputs'!$B$17,C2029+E2029)+H2029)</f>
        <v/>
      </c>
      <c r="E2029" s="2" t="str">
        <f>IF(A2029="","",C2029*'Loan Inputs'!$B$15)</f>
        <v/>
      </c>
      <c r="F2029" s="2" t="str">
        <f t="shared" si="93"/>
        <v/>
      </c>
      <c r="G2029" s="2" t="str">
        <f t="shared" si="94"/>
        <v/>
      </c>
      <c r="H2029" s="2" t="str">
        <f>IF(A2029="","",MIN(0,MAX(0,C2029+E2029-'Loan Inputs'!$B$17)))</f>
        <v/>
      </c>
    </row>
    <row r="2030" spans="1:8" ht="22" customHeight="1">
      <c r="A2030" s="1" t="str">
        <f>IF(AND('Loan Inputs'!$B$12,2024&lt;=IF('Loan Inputs'!$B$12,'Loan Inputs'!$B$7,0)*'Loan Inputs'!$B$14+0,ISNUMBER(G2029),G2029&gt;0),2024,"")</f>
        <v/>
      </c>
      <c r="B2030" s="4" t="str">
        <f>IF(A2030="","",IF('Loan Inputs'!$B$14=12,DATE(YEAR('Loan Inputs'!$B$8),MONTH('Loan Inputs'!$B$8)+A2030,DAY('Loan Inputs'!$B$8)),'Loan Inputs'!$B$8+A2030*IF('Loan Inputs'!$B$14=26,14,7)))</f>
        <v/>
      </c>
      <c r="C2030" s="2" t="str">
        <f t="shared" si="95"/>
        <v/>
      </c>
      <c r="D2030" s="2" t="str">
        <f>IF(A2030="","",MIN('Loan Inputs'!$B$17,C2030+E2030)+H2030)</f>
        <v/>
      </c>
      <c r="E2030" s="2" t="str">
        <f>IF(A2030="","",C2030*'Loan Inputs'!$B$15)</f>
        <v/>
      </c>
      <c r="F2030" s="2" t="str">
        <f t="shared" si="93"/>
        <v/>
      </c>
      <c r="G2030" s="2" t="str">
        <f t="shared" si="94"/>
        <v/>
      </c>
      <c r="H2030" s="2" t="str">
        <f>IF(A2030="","",MIN(0,MAX(0,C2030+E2030-'Loan Inputs'!$B$17)))</f>
        <v/>
      </c>
    </row>
    <row r="2031" spans="1:8" ht="22" customHeight="1">
      <c r="A2031" s="1" t="str">
        <f>IF(AND('Loan Inputs'!$B$12,2025&lt;=IF('Loan Inputs'!$B$12,'Loan Inputs'!$B$7,0)*'Loan Inputs'!$B$14+0,ISNUMBER(G2030),G2030&gt;0),2025,"")</f>
        <v/>
      </c>
      <c r="B2031" s="4" t="str">
        <f>IF(A2031="","",IF('Loan Inputs'!$B$14=12,DATE(YEAR('Loan Inputs'!$B$8),MONTH('Loan Inputs'!$B$8)+A2031,DAY('Loan Inputs'!$B$8)),'Loan Inputs'!$B$8+A2031*IF('Loan Inputs'!$B$14=26,14,7)))</f>
        <v/>
      </c>
      <c r="C2031" s="2" t="str">
        <f t="shared" si="95"/>
        <v/>
      </c>
      <c r="D2031" s="2" t="str">
        <f>IF(A2031="","",MIN('Loan Inputs'!$B$17,C2031+E2031)+H2031)</f>
        <v/>
      </c>
      <c r="E2031" s="2" t="str">
        <f>IF(A2031="","",C2031*'Loan Inputs'!$B$15)</f>
        <v/>
      </c>
      <c r="F2031" s="2" t="str">
        <f t="shared" si="93"/>
        <v/>
      </c>
      <c r="G2031" s="2" t="str">
        <f t="shared" si="94"/>
        <v/>
      </c>
      <c r="H2031" s="2" t="str">
        <f>IF(A2031="","",MIN(0,MAX(0,C2031+E2031-'Loan Inputs'!$B$17)))</f>
        <v/>
      </c>
    </row>
    <row r="2032" spans="1:8" ht="22" customHeight="1">
      <c r="A2032" s="1" t="str">
        <f>IF(AND('Loan Inputs'!$B$12,2026&lt;=IF('Loan Inputs'!$B$12,'Loan Inputs'!$B$7,0)*'Loan Inputs'!$B$14+0,ISNUMBER(G2031),G2031&gt;0),2026,"")</f>
        <v/>
      </c>
      <c r="B2032" s="4" t="str">
        <f>IF(A2032="","",IF('Loan Inputs'!$B$14=12,DATE(YEAR('Loan Inputs'!$B$8),MONTH('Loan Inputs'!$B$8)+A2032,DAY('Loan Inputs'!$B$8)),'Loan Inputs'!$B$8+A2032*IF('Loan Inputs'!$B$14=26,14,7)))</f>
        <v/>
      </c>
      <c r="C2032" s="2" t="str">
        <f t="shared" si="95"/>
        <v/>
      </c>
      <c r="D2032" s="2" t="str">
        <f>IF(A2032="","",MIN('Loan Inputs'!$B$17,C2032+E2032)+H2032)</f>
        <v/>
      </c>
      <c r="E2032" s="2" t="str">
        <f>IF(A2032="","",C2032*'Loan Inputs'!$B$15)</f>
        <v/>
      </c>
      <c r="F2032" s="2" t="str">
        <f t="shared" si="93"/>
        <v/>
      </c>
      <c r="G2032" s="2" t="str">
        <f t="shared" si="94"/>
        <v/>
      </c>
      <c r="H2032" s="2" t="str">
        <f>IF(A2032="","",MIN(0,MAX(0,C2032+E2032-'Loan Inputs'!$B$17)))</f>
        <v/>
      </c>
    </row>
    <row r="2033" spans="1:8" ht="22" customHeight="1">
      <c r="A2033" s="1" t="str">
        <f>IF(AND('Loan Inputs'!$B$12,2027&lt;=IF('Loan Inputs'!$B$12,'Loan Inputs'!$B$7,0)*'Loan Inputs'!$B$14+0,ISNUMBER(G2032),G2032&gt;0),2027,"")</f>
        <v/>
      </c>
      <c r="B2033" s="4" t="str">
        <f>IF(A2033="","",IF('Loan Inputs'!$B$14=12,DATE(YEAR('Loan Inputs'!$B$8),MONTH('Loan Inputs'!$B$8)+A2033,DAY('Loan Inputs'!$B$8)),'Loan Inputs'!$B$8+A2033*IF('Loan Inputs'!$B$14=26,14,7)))</f>
        <v/>
      </c>
      <c r="C2033" s="2" t="str">
        <f t="shared" si="95"/>
        <v/>
      </c>
      <c r="D2033" s="2" t="str">
        <f>IF(A2033="","",MIN('Loan Inputs'!$B$17,C2033+E2033)+H2033)</f>
        <v/>
      </c>
      <c r="E2033" s="2" t="str">
        <f>IF(A2033="","",C2033*'Loan Inputs'!$B$15)</f>
        <v/>
      </c>
      <c r="F2033" s="2" t="str">
        <f t="shared" si="93"/>
        <v/>
      </c>
      <c r="G2033" s="2" t="str">
        <f t="shared" si="94"/>
        <v/>
      </c>
      <c r="H2033" s="2" t="str">
        <f>IF(A2033="","",MIN(0,MAX(0,C2033+E2033-'Loan Inputs'!$B$17)))</f>
        <v/>
      </c>
    </row>
    <row r="2034" spans="1:8" ht="22" customHeight="1">
      <c r="A2034" s="1" t="str">
        <f>IF(AND('Loan Inputs'!$B$12,2028&lt;=IF('Loan Inputs'!$B$12,'Loan Inputs'!$B$7,0)*'Loan Inputs'!$B$14+0,ISNUMBER(G2033),G2033&gt;0),2028,"")</f>
        <v/>
      </c>
      <c r="B2034" s="4" t="str">
        <f>IF(A2034="","",IF('Loan Inputs'!$B$14=12,DATE(YEAR('Loan Inputs'!$B$8),MONTH('Loan Inputs'!$B$8)+A2034,DAY('Loan Inputs'!$B$8)),'Loan Inputs'!$B$8+A2034*IF('Loan Inputs'!$B$14=26,14,7)))</f>
        <v/>
      </c>
      <c r="C2034" s="2" t="str">
        <f t="shared" si="95"/>
        <v/>
      </c>
      <c r="D2034" s="2" t="str">
        <f>IF(A2034="","",MIN('Loan Inputs'!$B$17,C2034+E2034)+H2034)</f>
        <v/>
      </c>
      <c r="E2034" s="2" t="str">
        <f>IF(A2034="","",C2034*'Loan Inputs'!$B$15)</f>
        <v/>
      </c>
      <c r="F2034" s="2" t="str">
        <f t="shared" si="93"/>
        <v/>
      </c>
      <c r="G2034" s="2" t="str">
        <f t="shared" si="94"/>
        <v/>
      </c>
      <c r="H2034" s="2" t="str">
        <f>IF(A2034="","",MIN(0,MAX(0,C2034+E2034-'Loan Inputs'!$B$17)))</f>
        <v/>
      </c>
    </row>
    <row r="2035" spans="1:8" ht="22" customHeight="1">
      <c r="A2035" s="1" t="str">
        <f>IF(AND('Loan Inputs'!$B$12,2029&lt;=IF('Loan Inputs'!$B$12,'Loan Inputs'!$B$7,0)*'Loan Inputs'!$B$14+0,ISNUMBER(G2034),G2034&gt;0),2029,"")</f>
        <v/>
      </c>
      <c r="B2035" s="4" t="str">
        <f>IF(A2035="","",IF('Loan Inputs'!$B$14=12,DATE(YEAR('Loan Inputs'!$B$8),MONTH('Loan Inputs'!$B$8)+A2035,DAY('Loan Inputs'!$B$8)),'Loan Inputs'!$B$8+A2035*IF('Loan Inputs'!$B$14=26,14,7)))</f>
        <v/>
      </c>
      <c r="C2035" s="2" t="str">
        <f t="shared" si="95"/>
        <v/>
      </c>
      <c r="D2035" s="2" t="str">
        <f>IF(A2035="","",MIN('Loan Inputs'!$B$17,C2035+E2035)+H2035)</f>
        <v/>
      </c>
      <c r="E2035" s="2" t="str">
        <f>IF(A2035="","",C2035*'Loan Inputs'!$B$15)</f>
        <v/>
      </c>
      <c r="F2035" s="2" t="str">
        <f t="shared" si="93"/>
        <v/>
      </c>
      <c r="G2035" s="2" t="str">
        <f t="shared" si="94"/>
        <v/>
      </c>
      <c r="H2035" s="2" t="str">
        <f>IF(A2035="","",MIN(0,MAX(0,C2035+E2035-'Loan Inputs'!$B$17)))</f>
        <v/>
      </c>
    </row>
    <row r="2036" spans="1:8" ht="22" customHeight="1">
      <c r="A2036" s="1" t="str">
        <f>IF(AND('Loan Inputs'!$B$12,2030&lt;=IF('Loan Inputs'!$B$12,'Loan Inputs'!$B$7,0)*'Loan Inputs'!$B$14+0,ISNUMBER(G2035),G2035&gt;0),2030,"")</f>
        <v/>
      </c>
      <c r="B2036" s="4" t="str">
        <f>IF(A2036="","",IF('Loan Inputs'!$B$14=12,DATE(YEAR('Loan Inputs'!$B$8),MONTH('Loan Inputs'!$B$8)+A2036,DAY('Loan Inputs'!$B$8)),'Loan Inputs'!$B$8+A2036*IF('Loan Inputs'!$B$14=26,14,7)))</f>
        <v/>
      </c>
      <c r="C2036" s="2" t="str">
        <f t="shared" si="95"/>
        <v/>
      </c>
      <c r="D2036" s="2" t="str">
        <f>IF(A2036="","",MIN('Loan Inputs'!$B$17,C2036+E2036)+H2036)</f>
        <v/>
      </c>
      <c r="E2036" s="2" t="str">
        <f>IF(A2036="","",C2036*'Loan Inputs'!$B$15)</f>
        <v/>
      </c>
      <c r="F2036" s="2" t="str">
        <f t="shared" si="93"/>
        <v/>
      </c>
      <c r="G2036" s="2" t="str">
        <f t="shared" si="94"/>
        <v/>
      </c>
      <c r="H2036" s="2" t="str">
        <f>IF(A2036="","",MIN(0,MAX(0,C2036+E2036-'Loan Inputs'!$B$17)))</f>
        <v/>
      </c>
    </row>
    <row r="2037" spans="1:8" ht="22" customHeight="1">
      <c r="A2037" s="1" t="str">
        <f>IF(AND('Loan Inputs'!$B$12,2031&lt;=IF('Loan Inputs'!$B$12,'Loan Inputs'!$B$7,0)*'Loan Inputs'!$B$14+0,ISNUMBER(G2036),G2036&gt;0),2031,"")</f>
        <v/>
      </c>
      <c r="B2037" s="4" t="str">
        <f>IF(A2037="","",IF('Loan Inputs'!$B$14=12,DATE(YEAR('Loan Inputs'!$B$8),MONTH('Loan Inputs'!$B$8)+A2037,DAY('Loan Inputs'!$B$8)),'Loan Inputs'!$B$8+A2037*IF('Loan Inputs'!$B$14=26,14,7)))</f>
        <v/>
      </c>
      <c r="C2037" s="2" t="str">
        <f t="shared" si="95"/>
        <v/>
      </c>
      <c r="D2037" s="2" t="str">
        <f>IF(A2037="","",MIN('Loan Inputs'!$B$17,C2037+E2037)+H2037)</f>
        <v/>
      </c>
      <c r="E2037" s="2" t="str">
        <f>IF(A2037="","",C2037*'Loan Inputs'!$B$15)</f>
        <v/>
      </c>
      <c r="F2037" s="2" t="str">
        <f t="shared" si="93"/>
        <v/>
      </c>
      <c r="G2037" s="2" t="str">
        <f t="shared" si="94"/>
        <v/>
      </c>
      <c r="H2037" s="2" t="str">
        <f>IF(A2037="","",MIN(0,MAX(0,C2037+E2037-'Loan Inputs'!$B$17)))</f>
        <v/>
      </c>
    </row>
    <row r="2038" spans="1:8" ht="22" customHeight="1">
      <c r="A2038" s="1" t="str">
        <f>IF(AND('Loan Inputs'!$B$12,2032&lt;=IF('Loan Inputs'!$B$12,'Loan Inputs'!$B$7,0)*'Loan Inputs'!$B$14+0,ISNUMBER(G2037),G2037&gt;0),2032,"")</f>
        <v/>
      </c>
      <c r="B2038" s="4" t="str">
        <f>IF(A2038="","",IF('Loan Inputs'!$B$14=12,DATE(YEAR('Loan Inputs'!$B$8),MONTH('Loan Inputs'!$B$8)+A2038,DAY('Loan Inputs'!$B$8)),'Loan Inputs'!$B$8+A2038*IF('Loan Inputs'!$B$14=26,14,7)))</f>
        <v/>
      </c>
      <c r="C2038" s="2" t="str">
        <f t="shared" si="95"/>
        <v/>
      </c>
      <c r="D2038" s="2" t="str">
        <f>IF(A2038="","",MIN('Loan Inputs'!$B$17,C2038+E2038)+H2038)</f>
        <v/>
      </c>
      <c r="E2038" s="2" t="str">
        <f>IF(A2038="","",C2038*'Loan Inputs'!$B$15)</f>
        <v/>
      </c>
      <c r="F2038" s="2" t="str">
        <f t="shared" si="93"/>
        <v/>
      </c>
      <c r="G2038" s="2" t="str">
        <f t="shared" si="94"/>
        <v/>
      </c>
      <c r="H2038" s="2" t="str">
        <f>IF(A2038="","",MIN(0,MAX(0,C2038+E2038-'Loan Inputs'!$B$17)))</f>
        <v/>
      </c>
    </row>
    <row r="2039" spans="1:8" ht="22" customHeight="1">
      <c r="A2039" s="1" t="str">
        <f>IF(AND('Loan Inputs'!$B$12,2033&lt;=IF('Loan Inputs'!$B$12,'Loan Inputs'!$B$7,0)*'Loan Inputs'!$B$14+0,ISNUMBER(G2038),G2038&gt;0),2033,"")</f>
        <v/>
      </c>
      <c r="B2039" s="4" t="str">
        <f>IF(A2039="","",IF('Loan Inputs'!$B$14=12,DATE(YEAR('Loan Inputs'!$B$8),MONTH('Loan Inputs'!$B$8)+A2039,DAY('Loan Inputs'!$B$8)),'Loan Inputs'!$B$8+A2039*IF('Loan Inputs'!$B$14=26,14,7)))</f>
        <v/>
      </c>
      <c r="C2039" s="2" t="str">
        <f t="shared" si="95"/>
        <v/>
      </c>
      <c r="D2039" s="2" t="str">
        <f>IF(A2039="","",MIN('Loan Inputs'!$B$17,C2039+E2039)+H2039)</f>
        <v/>
      </c>
      <c r="E2039" s="2" t="str">
        <f>IF(A2039="","",C2039*'Loan Inputs'!$B$15)</f>
        <v/>
      </c>
      <c r="F2039" s="2" t="str">
        <f t="shared" si="93"/>
        <v/>
      </c>
      <c r="G2039" s="2" t="str">
        <f t="shared" si="94"/>
        <v/>
      </c>
      <c r="H2039" s="2" t="str">
        <f>IF(A2039="","",MIN(0,MAX(0,C2039+E2039-'Loan Inputs'!$B$17)))</f>
        <v/>
      </c>
    </row>
    <row r="2040" spans="1:8" ht="22" customHeight="1">
      <c r="A2040" s="1" t="str">
        <f>IF(AND('Loan Inputs'!$B$12,2034&lt;=IF('Loan Inputs'!$B$12,'Loan Inputs'!$B$7,0)*'Loan Inputs'!$B$14+0,ISNUMBER(G2039),G2039&gt;0),2034,"")</f>
        <v/>
      </c>
      <c r="B2040" s="4" t="str">
        <f>IF(A2040="","",IF('Loan Inputs'!$B$14=12,DATE(YEAR('Loan Inputs'!$B$8),MONTH('Loan Inputs'!$B$8)+A2040,DAY('Loan Inputs'!$B$8)),'Loan Inputs'!$B$8+A2040*IF('Loan Inputs'!$B$14=26,14,7)))</f>
        <v/>
      </c>
      <c r="C2040" s="2" t="str">
        <f t="shared" si="95"/>
        <v/>
      </c>
      <c r="D2040" s="2" t="str">
        <f>IF(A2040="","",MIN('Loan Inputs'!$B$17,C2040+E2040)+H2040)</f>
        <v/>
      </c>
      <c r="E2040" s="2" t="str">
        <f>IF(A2040="","",C2040*'Loan Inputs'!$B$15)</f>
        <v/>
      </c>
      <c r="F2040" s="2" t="str">
        <f t="shared" si="93"/>
        <v/>
      </c>
      <c r="G2040" s="2" t="str">
        <f t="shared" si="94"/>
        <v/>
      </c>
      <c r="H2040" s="2" t="str">
        <f>IF(A2040="","",MIN(0,MAX(0,C2040+E2040-'Loan Inputs'!$B$17)))</f>
        <v/>
      </c>
    </row>
    <row r="2041" spans="1:8" ht="22" customHeight="1">
      <c r="A2041" s="1" t="str">
        <f>IF(AND('Loan Inputs'!$B$12,2035&lt;=IF('Loan Inputs'!$B$12,'Loan Inputs'!$B$7,0)*'Loan Inputs'!$B$14+0,ISNUMBER(G2040),G2040&gt;0),2035,"")</f>
        <v/>
      </c>
      <c r="B2041" s="4" t="str">
        <f>IF(A2041="","",IF('Loan Inputs'!$B$14=12,DATE(YEAR('Loan Inputs'!$B$8),MONTH('Loan Inputs'!$B$8)+A2041,DAY('Loan Inputs'!$B$8)),'Loan Inputs'!$B$8+A2041*IF('Loan Inputs'!$B$14=26,14,7)))</f>
        <v/>
      </c>
      <c r="C2041" s="2" t="str">
        <f t="shared" si="95"/>
        <v/>
      </c>
      <c r="D2041" s="2" t="str">
        <f>IF(A2041="","",MIN('Loan Inputs'!$B$17,C2041+E2041)+H2041)</f>
        <v/>
      </c>
      <c r="E2041" s="2" t="str">
        <f>IF(A2041="","",C2041*'Loan Inputs'!$B$15)</f>
        <v/>
      </c>
      <c r="F2041" s="2" t="str">
        <f t="shared" si="93"/>
        <v/>
      </c>
      <c r="G2041" s="2" t="str">
        <f t="shared" si="94"/>
        <v/>
      </c>
      <c r="H2041" s="2" t="str">
        <f>IF(A2041="","",MIN(0,MAX(0,C2041+E2041-'Loan Inputs'!$B$17)))</f>
        <v/>
      </c>
    </row>
    <row r="2042" spans="1:8" ht="22" customHeight="1">
      <c r="A2042" s="1" t="str">
        <f>IF(AND('Loan Inputs'!$B$12,2036&lt;=IF('Loan Inputs'!$B$12,'Loan Inputs'!$B$7,0)*'Loan Inputs'!$B$14+0,ISNUMBER(G2041),G2041&gt;0),2036,"")</f>
        <v/>
      </c>
      <c r="B2042" s="4" t="str">
        <f>IF(A2042="","",IF('Loan Inputs'!$B$14=12,DATE(YEAR('Loan Inputs'!$B$8),MONTH('Loan Inputs'!$B$8)+A2042,DAY('Loan Inputs'!$B$8)),'Loan Inputs'!$B$8+A2042*IF('Loan Inputs'!$B$14=26,14,7)))</f>
        <v/>
      </c>
      <c r="C2042" s="2" t="str">
        <f t="shared" si="95"/>
        <v/>
      </c>
      <c r="D2042" s="2" t="str">
        <f>IF(A2042="","",MIN('Loan Inputs'!$B$17,C2042+E2042)+H2042)</f>
        <v/>
      </c>
      <c r="E2042" s="2" t="str">
        <f>IF(A2042="","",C2042*'Loan Inputs'!$B$15)</f>
        <v/>
      </c>
      <c r="F2042" s="2" t="str">
        <f t="shared" si="93"/>
        <v/>
      </c>
      <c r="G2042" s="2" t="str">
        <f t="shared" si="94"/>
        <v/>
      </c>
      <c r="H2042" s="2" t="str">
        <f>IF(A2042="","",MIN(0,MAX(0,C2042+E2042-'Loan Inputs'!$B$17)))</f>
        <v/>
      </c>
    </row>
    <row r="2043" spans="1:8" ht="22" customHeight="1">
      <c r="A2043" s="1" t="str">
        <f>IF(AND('Loan Inputs'!$B$12,2037&lt;=IF('Loan Inputs'!$B$12,'Loan Inputs'!$B$7,0)*'Loan Inputs'!$B$14+0,ISNUMBER(G2042),G2042&gt;0),2037,"")</f>
        <v/>
      </c>
      <c r="B2043" s="4" t="str">
        <f>IF(A2043="","",IF('Loan Inputs'!$B$14=12,DATE(YEAR('Loan Inputs'!$B$8),MONTH('Loan Inputs'!$B$8)+A2043,DAY('Loan Inputs'!$B$8)),'Loan Inputs'!$B$8+A2043*IF('Loan Inputs'!$B$14=26,14,7)))</f>
        <v/>
      </c>
      <c r="C2043" s="2" t="str">
        <f t="shared" si="95"/>
        <v/>
      </c>
      <c r="D2043" s="2" t="str">
        <f>IF(A2043="","",MIN('Loan Inputs'!$B$17,C2043+E2043)+H2043)</f>
        <v/>
      </c>
      <c r="E2043" s="2" t="str">
        <f>IF(A2043="","",C2043*'Loan Inputs'!$B$15)</f>
        <v/>
      </c>
      <c r="F2043" s="2" t="str">
        <f t="shared" si="93"/>
        <v/>
      </c>
      <c r="G2043" s="2" t="str">
        <f t="shared" si="94"/>
        <v/>
      </c>
      <c r="H2043" s="2" t="str">
        <f>IF(A2043="","",MIN(0,MAX(0,C2043+E2043-'Loan Inputs'!$B$17)))</f>
        <v/>
      </c>
    </row>
    <row r="2044" spans="1:8" ht="22" customHeight="1">
      <c r="A2044" s="1" t="str">
        <f>IF(AND('Loan Inputs'!$B$12,2038&lt;=IF('Loan Inputs'!$B$12,'Loan Inputs'!$B$7,0)*'Loan Inputs'!$B$14+0,ISNUMBER(G2043),G2043&gt;0),2038,"")</f>
        <v/>
      </c>
      <c r="B2044" s="4" t="str">
        <f>IF(A2044="","",IF('Loan Inputs'!$B$14=12,DATE(YEAR('Loan Inputs'!$B$8),MONTH('Loan Inputs'!$B$8)+A2044,DAY('Loan Inputs'!$B$8)),'Loan Inputs'!$B$8+A2044*IF('Loan Inputs'!$B$14=26,14,7)))</f>
        <v/>
      </c>
      <c r="C2044" s="2" t="str">
        <f t="shared" si="95"/>
        <v/>
      </c>
      <c r="D2044" s="2" t="str">
        <f>IF(A2044="","",MIN('Loan Inputs'!$B$17,C2044+E2044)+H2044)</f>
        <v/>
      </c>
      <c r="E2044" s="2" t="str">
        <f>IF(A2044="","",C2044*'Loan Inputs'!$B$15)</f>
        <v/>
      </c>
      <c r="F2044" s="2" t="str">
        <f t="shared" si="93"/>
        <v/>
      </c>
      <c r="G2044" s="2" t="str">
        <f t="shared" si="94"/>
        <v/>
      </c>
      <c r="H2044" s="2" t="str">
        <f>IF(A2044="","",MIN(0,MAX(0,C2044+E2044-'Loan Inputs'!$B$17)))</f>
        <v/>
      </c>
    </row>
    <row r="2045" spans="1:8" ht="22" customHeight="1">
      <c r="A2045" s="1" t="str">
        <f>IF(AND('Loan Inputs'!$B$12,2039&lt;=IF('Loan Inputs'!$B$12,'Loan Inputs'!$B$7,0)*'Loan Inputs'!$B$14+0,ISNUMBER(G2044),G2044&gt;0),2039,"")</f>
        <v/>
      </c>
      <c r="B2045" s="4" t="str">
        <f>IF(A2045="","",IF('Loan Inputs'!$B$14=12,DATE(YEAR('Loan Inputs'!$B$8),MONTH('Loan Inputs'!$B$8)+A2045,DAY('Loan Inputs'!$B$8)),'Loan Inputs'!$B$8+A2045*IF('Loan Inputs'!$B$14=26,14,7)))</f>
        <v/>
      </c>
      <c r="C2045" s="2" t="str">
        <f t="shared" si="95"/>
        <v/>
      </c>
      <c r="D2045" s="2" t="str">
        <f>IF(A2045="","",MIN('Loan Inputs'!$B$17,C2045+E2045)+H2045)</f>
        <v/>
      </c>
      <c r="E2045" s="2" t="str">
        <f>IF(A2045="","",C2045*'Loan Inputs'!$B$15)</f>
        <v/>
      </c>
      <c r="F2045" s="2" t="str">
        <f t="shared" si="93"/>
        <v/>
      </c>
      <c r="G2045" s="2" t="str">
        <f t="shared" si="94"/>
        <v/>
      </c>
      <c r="H2045" s="2" t="str">
        <f>IF(A2045="","",MIN(0,MAX(0,C2045+E2045-'Loan Inputs'!$B$17)))</f>
        <v/>
      </c>
    </row>
    <row r="2046" spans="1:8" ht="22" customHeight="1">
      <c r="A2046" s="1" t="str">
        <f>IF(AND('Loan Inputs'!$B$12,2040&lt;=IF('Loan Inputs'!$B$12,'Loan Inputs'!$B$7,0)*'Loan Inputs'!$B$14+0,ISNUMBER(G2045),G2045&gt;0),2040,"")</f>
        <v/>
      </c>
      <c r="B2046" s="4" t="str">
        <f>IF(A2046="","",IF('Loan Inputs'!$B$14=12,DATE(YEAR('Loan Inputs'!$B$8),MONTH('Loan Inputs'!$B$8)+A2046,DAY('Loan Inputs'!$B$8)),'Loan Inputs'!$B$8+A2046*IF('Loan Inputs'!$B$14=26,14,7)))</f>
        <v/>
      </c>
      <c r="C2046" s="2" t="str">
        <f t="shared" si="95"/>
        <v/>
      </c>
      <c r="D2046" s="2" t="str">
        <f>IF(A2046="","",MIN('Loan Inputs'!$B$17,C2046+E2046)+H2046)</f>
        <v/>
      </c>
      <c r="E2046" s="2" t="str">
        <f>IF(A2046="","",C2046*'Loan Inputs'!$B$15)</f>
        <v/>
      </c>
      <c r="F2046" s="2" t="str">
        <f t="shared" si="93"/>
        <v/>
      </c>
      <c r="G2046" s="2" t="str">
        <f t="shared" si="94"/>
        <v/>
      </c>
      <c r="H2046" s="2" t="str">
        <f>IF(A2046="","",MIN(0,MAX(0,C2046+E2046-'Loan Inputs'!$B$17)))</f>
        <v/>
      </c>
    </row>
    <row r="2047" spans="1:8" ht="22" customHeight="1">
      <c r="A2047" s="1" t="str">
        <f>IF(AND('Loan Inputs'!$B$12,2041&lt;=IF('Loan Inputs'!$B$12,'Loan Inputs'!$B$7,0)*'Loan Inputs'!$B$14+0,ISNUMBER(G2046),G2046&gt;0),2041,"")</f>
        <v/>
      </c>
      <c r="B2047" s="4" t="str">
        <f>IF(A2047="","",IF('Loan Inputs'!$B$14=12,DATE(YEAR('Loan Inputs'!$B$8),MONTH('Loan Inputs'!$B$8)+A2047,DAY('Loan Inputs'!$B$8)),'Loan Inputs'!$B$8+A2047*IF('Loan Inputs'!$B$14=26,14,7)))</f>
        <v/>
      </c>
      <c r="C2047" s="2" t="str">
        <f t="shared" si="95"/>
        <v/>
      </c>
      <c r="D2047" s="2" t="str">
        <f>IF(A2047="","",MIN('Loan Inputs'!$B$17,C2047+E2047)+H2047)</f>
        <v/>
      </c>
      <c r="E2047" s="2" t="str">
        <f>IF(A2047="","",C2047*'Loan Inputs'!$B$15)</f>
        <v/>
      </c>
      <c r="F2047" s="2" t="str">
        <f t="shared" si="93"/>
        <v/>
      </c>
      <c r="G2047" s="2" t="str">
        <f t="shared" si="94"/>
        <v/>
      </c>
      <c r="H2047" s="2" t="str">
        <f>IF(A2047="","",MIN(0,MAX(0,C2047+E2047-'Loan Inputs'!$B$17)))</f>
        <v/>
      </c>
    </row>
    <row r="2048" spans="1:8" ht="22" customHeight="1">
      <c r="A2048" s="1" t="str">
        <f>IF(AND('Loan Inputs'!$B$12,2042&lt;=IF('Loan Inputs'!$B$12,'Loan Inputs'!$B$7,0)*'Loan Inputs'!$B$14+0,ISNUMBER(G2047),G2047&gt;0),2042,"")</f>
        <v/>
      </c>
      <c r="B2048" s="4" t="str">
        <f>IF(A2048="","",IF('Loan Inputs'!$B$14=12,DATE(YEAR('Loan Inputs'!$B$8),MONTH('Loan Inputs'!$B$8)+A2048,DAY('Loan Inputs'!$B$8)),'Loan Inputs'!$B$8+A2048*IF('Loan Inputs'!$B$14=26,14,7)))</f>
        <v/>
      </c>
      <c r="C2048" s="2" t="str">
        <f t="shared" si="95"/>
        <v/>
      </c>
      <c r="D2048" s="2" t="str">
        <f>IF(A2048="","",MIN('Loan Inputs'!$B$17,C2048+E2048)+H2048)</f>
        <v/>
      </c>
      <c r="E2048" s="2" t="str">
        <f>IF(A2048="","",C2048*'Loan Inputs'!$B$15)</f>
        <v/>
      </c>
      <c r="F2048" s="2" t="str">
        <f t="shared" si="93"/>
        <v/>
      </c>
      <c r="G2048" s="2" t="str">
        <f t="shared" si="94"/>
        <v/>
      </c>
      <c r="H2048" s="2" t="str">
        <f>IF(A2048="","",MIN(0,MAX(0,C2048+E2048-'Loan Inputs'!$B$17)))</f>
        <v/>
      </c>
    </row>
    <row r="2049" spans="1:8" ht="22" customHeight="1">
      <c r="A2049" s="1" t="str">
        <f>IF(AND('Loan Inputs'!$B$12,2043&lt;=IF('Loan Inputs'!$B$12,'Loan Inputs'!$B$7,0)*'Loan Inputs'!$B$14+0,ISNUMBER(G2048),G2048&gt;0),2043,"")</f>
        <v/>
      </c>
      <c r="B2049" s="4" t="str">
        <f>IF(A2049="","",IF('Loan Inputs'!$B$14=12,DATE(YEAR('Loan Inputs'!$B$8),MONTH('Loan Inputs'!$B$8)+A2049,DAY('Loan Inputs'!$B$8)),'Loan Inputs'!$B$8+A2049*IF('Loan Inputs'!$B$14=26,14,7)))</f>
        <v/>
      </c>
      <c r="C2049" s="2" t="str">
        <f t="shared" si="95"/>
        <v/>
      </c>
      <c r="D2049" s="2" t="str">
        <f>IF(A2049="","",MIN('Loan Inputs'!$B$17,C2049+E2049)+H2049)</f>
        <v/>
      </c>
      <c r="E2049" s="2" t="str">
        <f>IF(A2049="","",C2049*'Loan Inputs'!$B$15)</f>
        <v/>
      </c>
      <c r="F2049" s="2" t="str">
        <f t="shared" si="93"/>
        <v/>
      </c>
      <c r="G2049" s="2" t="str">
        <f t="shared" si="94"/>
        <v/>
      </c>
      <c r="H2049" s="2" t="str">
        <f>IF(A2049="","",MIN(0,MAX(0,C2049+E2049-'Loan Inputs'!$B$17)))</f>
        <v/>
      </c>
    </row>
    <row r="2050" spans="1:8" ht="22" customHeight="1">
      <c r="A2050" s="1" t="str">
        <f>IF(AND('Loan Inputs'!$B$12,2044&lt;=IF('Loan Inputs'!$B$12,'Loan Inputs'!$B$7,0)*'Loan Inputs'!$B$14+0,ISNUMBER(G2049),G2049&gt;0),2044,"")</f>
        <v/>
      </c>
      <c r="B2050" s="4" t="str">
        <f>IF(A2050="","",IF('Loan Inputs'!$B$14=12,DATE(YEAR('Loan Inputs'!$B$8),MONTH('Loan Inputs'!$B$8)+A2050,DAY('Loan Inputs'!$B$8)),'Loan Inputs'!$B$8+A2050*IF('Loan Inputs'!$B$14=26,14,7)))</f>
        <v/>
      </c>
      <c r="C2050" s="2" t="str">
        <f t="shared" si="95"/>
        <v/>
      </c>
      <c r="D2050" s="2" t="str">
        <f>IF(A2050="","",MIN('Loan Inputs'!$B$17,C2050+E2050)+H2050)</f>
        <v/>
      </c>
      <c r="E2050" s="2" t="str">
        <f>IF(A2050="","",C2050*'Loan Inputs'!$B$15)</f>
        <v/>
      </c>
      <c r="F2050" s="2" t="str">
        <f t="shared" si="93"/>
        <v/>
      </c>
      <c r="G2050" s="2" t="str">
        <f t="shared" si="94"/>
        <v/>
      </c>
      <c r="H2050" s="2" t="str">
        <f>IF(A2050="","",MIN(0,MAX(0,C2050+E2050-'Loan Inputs'!$B$17)))</f>
        <v/>
      </c>
    </row>
    <row r="2051" spans="1:8" ht="22" customHeight="1">
      <c r="A2051" s="1" t="str">
        <f>IF(AND('Loan Inputs'!$B$12,2045&lt;=IF('Loan Inputs'!$B$12,'Loan Inputs'!$B$7,0)*'Loan Inputs'!$B$14+0,ISNUMBER(G2050),G2050&gt;0),2045,"")</f>
        <v/>
      </c>
      <c r="B2051" s="4" t="str">
        <f>IF(A2051="","",IF('Loan Inputs'!$B$14=12,DATE(YEAR('Loan Inputs'!$B$8),MONTH('Loan Inputs'!$B$8)+A2051,DAY('Loan Inputs'!$B$8)),'Loan Inputs'!$B$8+A2051*IF('Loan Inputs'!$B$14=26,14,7)))</f>
        <v/>
      </c>
      <c r="C2051" s="2" t="str">
        <f t="shared" si="95"/>
        <v/>
      </c>
      <c r="D2051" s="2" t="str">
        <f>IF(A2051="","",MIN('Loan Inputs'!$B$17,C2051+E2051)+H2051)</f>
        <v/>
      </c>
      <c r="E2051" s="2" t="str">
        <f>IF(A2051="","",C2051*'Loan Inputs'!$B$15)</f>
        <v/>
      </c>
      <c r="F2051" s="2" t="str">
        <f t="shared" si="93"/>
        <v/>
      </c>
      <c r="G2051" s="2" t="str">
        <f t="shared" si="94"/>
        <v/>
      </c>
      <c r="H2051" s="2" t="str">
        <f>IF(A2051="","",MIN(0,MAX(0,C2051+E2051-'Loan Inputs'!$B$17)))</f>
        <v/>
      </c>
    </row>
    <row r="2052" spans="1:8" ht="22" customHeight="1">
      <c r="A2052" s="1" t="str">
        <f>IF(AND('Loan Inputs'!$B$12,2046&lt;=IF('Loan Inputs'!$B$12,'Loan Inputs'!$B$7,0)*'Loan Inputs'!$B$14+0,ISNUMBER(G2051),G2051&gt;0),2046,"")</f>
        <v/>
      </c>
      <c r="B2052" s="4" t="str">
        <f>IF(A2052="","",IF('Loan Inputs'!$B$14=12,DATE(YEAR('Loan Inputs'!$B$8),MONTH('Loan Inputs'!$B$8)+A2052,DAY('Loan Inputs'!$B$8)),'Loan Inputs'!$B$8+A2052*IF('Loan Inputs'!$B$14=26,14,7)))</f>
        <v/>
      </c>
      <c r="C2052" s="2" t="str">
        <f t="shared" si="95"/>
        <v/>
      </c>
      <c r="D2052" s="2" t="str">
        <f>IF(A2052="","",MIN('Loan Inputs'!$B$17,C2052+E2052)+H2052)</f>
        <v/>
      </c>
      <c r="E2052" s="2" t="str">
        <f>IF(A2052="","",C2052*'Loan Inputs'!$B$15)</f>
        <v/>
      </c>
      <c r="F2052" s="2" t="str">
        <f t="shared" si="93"/>
        <v/>
      </c>
      <c r="G2052" s="2" t="str">
        <f t="shared" si="94"/>
        <v/>
      </c>
      <c r="H2052" s="2" t="str">
        <f>IF(A2052="","",MIN(0,MAX(0,C2052+E2052-'Loan Inputs'!$B$17)))</f>
        <v/>
      </c>
    </row>
    <row r="2053" spans="1:8" ht="22" customHeight="1">
      <c r="A2053" s="1" t="str">
        <f>IF(AND('Loan Inputs'!$B$12,2047&lt;=IF('Loan Inputs'!$B$12,'Loan Inputs'!$B$7,0)*'Loan Inputs'!$B$14+0,ISNUMBER(G2052),G2052&gt;0),2047,"")</f>
        <v/>
      </c>
      <c r="B2053" s="4" t="str">
        <f>IF(A2053="","",IF('Loan Inputs'!$B$14=12,DATE(YEAR('Loan Inputs'!$B$8),MONTH('Loan Inputs'!$B$8)+A2053,DAY('Loan Inputs'!$B$8)),'Loan Inputs'!$B$8+A2053*IF('Loan Inputs'!$B$14=26,14,7)))</f>
        <v/>
      </c>
      <c r="C2053" s="2" t="str">
        <f t="shared" si="95"/>
        <v/>
      </c>
      <c r="D2053" s="2" t="str">
        <f>IF(A2053="","",MIN('Loan Inputs'!$B$17,C2053+E2053)+H2053)</f>
        <v/>
      </c>
      <c r="E2053" s="2" t="str">
        <f>IF(A2053="","",C2053*'Loan Inputs'!$B$15)</f>
        <v/>
      </c>
      <c r="F2053" s="2" t="str">
        <f t="shared" si="93"/>
        <v/>
      </c>
      <c r="G2053" s="2" t="str">
        <f t="shared" si="94"/>
        <v/>
      </c>
      <c r="H2053" s="2" t="str">
        <f>IF(A2053="","",MIN(0,MAX(0,C2053+E2053-'Loan Inputs'!$B$17)))</f>
        <v/>
      </c>
    </row>
    <row r="2054" spans="1:8" ht="22" customHeight="1">
      <c r="A2054" s="1" t="str">
        <f>IF(AND('Loan Inputs'!$B$12,2048&lt;=IF('Loan Inputs'!$B$12,'Loan Inputs'!$B$7,0)*'Loan Inputs'!$B$14+0,ISNUMBER(G2053),G2053&gt;0),2048,"")</f>
        <v/>
      </c>
      <c r="B2054" s="4" t="str">
        <f>IF(A2054="","",IF('Loan Inputs'!$B$14=12,DATE(YEAR('Loan Inputs'!$B$8),MONTH('Loan Inputs'!$B$8)+A2054,DAY('Loan Inputs'!$B$8)),'Loan Inputs'!$B$8+A2054*IF('Loan Inputs'!$B$14=26,14,7)))</f>
        <v/>
      </c>
      <c r="C2054" s="2" t="str">
        <f t="shared" si="95"/>
        <v/>
      </c>
      <c r="D2054" s="2" t="str">
        <f>IF(A2054="","",MIN('Loan Inputs'!$B$17,C2054+E2054)+H2054)</f>
        <v/>
      </c>
      <c r="E2054" s="2" t="str">
        <f>IF(A2054="","",C2054*'Loan Inputs'!$B$15)</f>
        <v/>
      </c>
      <c r="F2054" s="2" t="str">
        <f t="shared" si="93"/>
        <v/>
      </c>
      <c r="G2054" s="2" t="str">
        <f t="shared" si="94"/>
        <v/>
      </c>
      <c r="H2054" s="2" t="str">
        <f>IF(A2054="","",MIN(0,MAX(0,C2054+E2054-'Loan Inputs'!$B$17)))</f>
        <v/>
      </c>
    </row>
    <row r="2055" spans="1:8" ht="22" customHeight="1">
      <c r="A2055" s="1" t="str">
        <f>IF(AND('Loan Inputs'!$B$12,2049&lt;=IF('Loan Inputs'!$B$12,'Loan Inputs'!$B$7,0)*'Loan Inputs'!$B$14+0,ISNUMBER(G2054),G2054&gt;0),2049,"")</f>
        <v/>
      </c>
      <c r="B2055" s="4" t="str">
        <f>IF(A2055="","",IF('Loan Inputs'!$B$14=12,DATE(YEAR('Loan Inputs'!$B$8),MONTH('Loan Inputs'!$B$8)+A2055,DAY('Loan Inputs'!$B$8)),'Loan Inputs'!$B$8+A2055*IF('Loan Inputs'!$B$14=26,14,7)))</f>
        <v/>
      </c>
      <c r="C2055" s="2" t="str">
        <f t="shared" si="95"/>
        <v/>
      </c>
      <c r="D2055" s="2" t="str">
        <f>IF(A2055="","",MIN('Loan Inputs'!$B$17,C2055+E2055)+H2055)</f>
        <v/>
      </c>
      <c r="E2055" s="2" t="str">
        <f>IF(A2055="","",C2055*'Loan Inputs'!$B$15)</f>
        <v/>
      </c>
      <c r="F2055" s="2" t="str">
        <f t="shared" ref="F2055:F2086" si="96">IF(A2055="","",MIN(C2055,D2055-E2055))</f>
        <v/>
      </c>
      <c r="G2055" s="2" t="str">
        <f t="shared" ref="G2055:G2086" si="97">IF(A2055="","",IF(C2055-F2055&lt;0.01,0,MAX(0,C2055-F2055)))</f>
        <v/>
      </c>
      <c r="H2055" s="2" t="str">
        <f>IF(A2055="","",MIN(0,MAX(0,C2055+E2055-'Loan Inputs'!$B$17)))</f>
        <v/>
      </c>
    </row>
    <row r="2056" spans="1:8" ht="22" customHeight="1">
      <c r="A2056" s="1" t="str">
        <f>IF(AND('Loan Inputs'!$B$12,2050&lt;=IF('Loan Inputs'!$B$12,'Loan Inputs'!$B$7,0)*'Loan Inputs'!$B$14+0,ISNUMBER(G2055),G2055&gt;0),2050,"")</f>
        <v/>
      </c>
      <c r="B2056" s="4" t="str">
        <f>IF(A2056="","",IF('Loan Inputs'!$B$14=12,DATE(YEAR('Loan Inputs'!$B$8),MONTH('Loan Inputs'!$B$8)+A2056,DAY('Loan Inputs'!$B$8)),'Loan Inputs'!$B$8+A2056*IF('Loan Inputs'!$B$14=26,14,7)))</f>
        <v/>
      </c>
      <c r="C2056" s="2" t="str">
        <f t="shared" ref="C2056:C2086" si="98">IF(A2056="","",G2055)</f>
        <v/>
      </c>
      <c r="D2056" s="2" t="str">
        <f>IF(A2056="","",MIN('Loan Inputs'!$B$17,C2056+E2056)+H2056)</f>
        <v/>
      </c>
      <c r="E2056" s="2" t="str">
        <f>IF(A2056="","",C2056*'Loan Inputs'!$B$15)</f>
        <v/>
      </c>
      <c r="F2056" s="2" t="str">
        <f t="shared" si="96"/>
        <v/>
      </c>
      <c r="G2056" s="2" t="str">
        <f t="shared" si="97"/>
        <v/>
      </c>
      <c r="H2056" s="2" t="str">
        <f>IF(A2056="","",MIN(0,MAX(0,C2056+E2056-'Loan Inputs'!$B$17)))</f>
        <v/>
      </c>
    </row>
    <row r="2057" spans="1:8" ht="22" customHeight="1">
      <c r="A2057" s="1" t="str">
        <f>IF(AND('Loan Inputs'!$B$12,2051&lt;=IF('Loan Inputs'!$B$12,'Loan Inputs'!$B$7,0)*'Loan Inputs'!$B$14+0,ISNUMBER(G2056),G2056&gt;0),2051,"")</f>
        <v/>
      </c>
      <c r="B2057" s="4" t="str">
        <f>IF(A2057="","",IF('Loan Inputs'!$B$14=12,DATE(YEAR('Loan Inputs'!$B$8),MONTH('Loan Inputs'!$B$8)+A2057,DAY('Loan Inputs'!$B$8)),'Loan Inputs'!$B$8+A2057*IF('Loan Inputs'!$B$14=26,14,7)))</f>
        <v/>
      </c>
      <c r="C2057" s="2" t="str">
        <f t="shared" si="98"/>
        <v/>
      </c>
      <c r="D2057" s="2" t="str">
        <f>IF(A2057="","",MIN('Loan Inputs'!$B$17,C2057+E2057)+H2057)</f>
        <v/>
      </c>
      <c r="E2057" s="2" t="str">
        <f>IF(A2057="","",C2057*'Loan Inputs'!$B$15)</f>
        <v/>
      </c>
      <c r="F2057" s="2" t="str">
        <f t="shared" si="96"/>
        <v/>
      </c>
      <c r="G2057" s="2" t="str">
        <f t="shared" si="97"/>
        <v/>
      </c>
      <c r="H2057" s="2" t="str">
        <f>IF(A2057="","",MIN(0,MAX(0,C2057+E2057-'Loan Inputs'!$B$17)))</f>
        <v/>
      </c>
    </row>
    <row r="2058" spans="1:8" ht="22" customHeight="1">
      <c r="A2058" s="1" t="str">
        <f>IF(AND('Loan Inputs'!$B$12,2052&lt;=IF('Loan Inputs'!$B$12,'Loan Inputs'!$B$7,0)*'Loan Inputs'!$B$14+0,ISNUMBER(G2057),G2057&gt;0),2052,"")</f>
        <v/>
      </c>
      <c r="B2058" s="4" t="str">
        <f>IF(A2058="","",IF('Loan Inputs'!$B$14=12,DATE(YEAR('Loan Inputs'!$B$8),MONTH('Loan Inputs'!$B$8)+A2058,DAY('Loan Inputs'!$B$8)),'Loan Inputs'!$B$8+A2058*IF('Loan Inputs'!$B$14=26,14,7)))</f>
        <v/>
      </c>
      <c r="C2058" s="2" t="str">
        <f t="shared" si="98"/>
        <v/>
      </c>
      <c r="D2058" s="2" t="str">
        <f>IF(A2058="","",MIN('Loan Inputs'!$B$17,C2058+E2058)+H2058)</f>
        <v/>
      </c>
      <c r="E2058" s="2" t="str">
        <f>IF(A2058="","",C2058*'Loan Inputs'!$B$15)</f>
        <v/>
      </c>
      <c r="F2058" s="2" t="str">
        <f t="shared" si="96"/>
        <v/>
      </c>
      <c r="G2058" s="2" t="str">
        <f t="shared" si="97"/>
        <v/>
      </c>
      <c r="H2058" s="2" t="str">
        <f>IF(A2058="","",MIN(0,MAX(0,C2058+E2058-'Loan Inputs'!$B$17)))</f>
        <v/>
      </c>
    </row>
    <row r="2059" spans="1:8" ht="22" customHeight="1">
      <c r="A2059" s="1" t="str">
        <f>IF(AND('Loan Inputs'!$B$12,2053&lt;=IF('Loan Inputs'!$B$12,'Loan Inputs'!$B$7,0)*'Loan Inputs'!$B$14+0,ISNUMBER(G2058),G2058&gt;0),2053,"")</f>
        <v/>
      </c>
      <c r="B2059" s="4" t="str">
        <f>IF(A2059="","",IF('Loan Inputs'!$B$14=12,DATE(YEAR('Loan Inputs'!$B$8),MONTH('Loan Inputs'!$B$8)+A2059,DAY('Loan Inputs'!$B$8)),'Loan Inputs'!$B$8+A2059*IF('Loan Inputs'!$B$14=26,14,7)))</f>
        <v/>
      </c>
      <c r="C2059" s="2" t="str">
        <f t="shared" si="98"/>
        <v/>
      </c>
      <c r="D2059" s="2" t="str">
        <f>IF(A2059="","",MIN('Loan Inputs'!$B$17,C2059+E2059)+H2059)</f>
        <v/>
      </c>
      <c r="E2059" s="2" t="str">
        <f>IF(A2059="","",C2059*'Loan Inputs'!$B$15)</f>
        <v/>
      </c>
      <c r="F2059" s="2" t="str">
        <f t="shared" si="96"/>
        <v/>
      </c>
      <c r="G2059" s="2" t="str">
        <f t="shared" si="97"/>
        <v/>
      </c>
      <c r="H2059" s="2" t="str">
        <f>IF(A2059="","",MIN(0,MAX(0,C2059+E2059-'Loan Inputs'!$B$17)))</f>
        <v/>
      </c>
    </row>
    <row r="2060" spans="1:8" ht="22" customHeight="1">
      <c r="A2060" s="1" t="str">
        <f>IF(AND('Loan Inputs'!$B$12,2054&lt;=IF('Loan Inputs'!$B$12,'Loan Inputs'!$B$7,0)*'Loan Inputs'!$B$14+0,ISNUMBER(G2059),G2059&gt;0),2054,"")</f>
        <v/>
      </c>
      <c r="B2060" s="4" t="str">
        <f>IF(A2060="","",IF('Loan Inputs'!$B$14=12,DATE(YEAR('Loan Inputs'!$B$8),MONTH('Loan Inputs'!$B$8)+A2060,DAY('Loan Inputs'!$B$8)),'Loan Inputs'!$B$8+A2060*IF('Loan Inputs'!$B$14=26,14,7)))</f>
        <v/>
      </c>
      <c r="C2060" s="2" t="str">
        <f t="shared" si="98"/>
        <v/>
      </c>
      <c r="D2060" s="2" t="str">
        <f>IF(A2060="","",MIN('Loan Inputs'!$B$17,C2060+E2060)+H2060)</f>
        <v/>
      </c>
      <c r="E2060" s="2" t="str">
        <f>IF(A2060="","",C2060*'Loan Inputs'!$B$15)</f>
        <v/>
      </c>
      <c r="F2060" s="2" t="str">
        <f t="shared" si="96"/>
        <v/>
      </c>
      <c r="G2060" s="2" t="str">
        <f t="shared" si="97"/>
        <v/>
      </c>
      <c r="H2060" s="2" t="str">
        <f>IF(A2060="","",MIN(0,MAX(0,C2060+E2060-'Loan Inputs'!$B$17)))</f>
        <v/>
      </c>
    </row>
    <row r="2061" spans="1:8" ht="22" customHeight="1">
      <c r="A2061" s="1" t="str">
        <f>IF(AND('Loan Inputs'!$B$12,2055&lt;=IF('Loan Inputs'!$B$12,'Loan Inputs'!$B$7,0)*'Loan Inputs'!$B$14+0,ISNUMBER(G2060),G2060&gt;0),2055,"")</f>
        <v/>
      </c>
      <c r="B2061" s="4" t="str">
        <f>IF(A2061="","",IF('Loan Inputs'!$B$14=12,DATE(YEAR('Loan Inputs'!$B$8),MONTH('Loan Inputs'!$B$8)+A2061,DAY('Loan Inputs'!$B$8)),'Loan Inputs'!$B$8+A2061*IF('Loan Inputs'!$B$14=26,14,7)))</f>
        <v/>
      </c>
      <c r="C2061" s="2" t="str">
        <f t="shared" si="98"/>
        <v/>
      </c>
      <c r="D2061" s="2" t="str">
        <f>IF(A2061="","",MIN('Loan Inputs'!$B$17,C2061+E2061)+H2061)</f>
        <v/>
      </c>
      <c r="E2061" s="2" t="str">
        <f>IF(A2061="","",C2061*'Loan Inputs'!$B$15)</f>
        <v/>
      </c>
      <c r="F2061" s="2" t="str">
        <f t="shared" si="96"/>
        <v/>
      </c>
      <c r="G2061" s="2" t="str">
        <f t="shared" si="97"/>
        <v/>
      </c>
      <c r="H2061" s="2" t="str">
        <f>IF(A2061="","",MIN(0,MAX(0,C2061+E2061-'Loan Inputs'!$B$17)))</f>
        <v/>
      </c>
    </row>
    <row r="2062" spans="1:8" ht="22" customHeight="1">
      <c r="A2062" s="1" t="str">
        <f>IF(AND('Loan Inputs'!$B$12,2056&lt;=IF('Loan Inputs'!$B$12,'Loan Inputs'!$B$7,0)*'Loan Inputs'!$B$14+0,ISNUMBER(G2061),G2061&gt;0),2056,"")</f>
        <v/>
      </c>
      <c r="B2062" s="4" t="str">
        <f>IF(A2062="","",IF('Loan Inputs'!$B$14=12,DATE(YEAR('Loan Inputs'!$B$8),MONTH('Loan Inputs'!$B$8)+A2062,DAY('Loan Inputs'!$B$8)),'Loan Inputs'!$B$8+A2062*IF('Loan Inputs'!$B$14=26,14,7)))</f>
        <v/>
      </c>
      <c r="C2062" s="2" t="str">
        <f t="shared" si="98"/>
        <v/>
      </c>
      <c r="D2062" s="2" t="str">
        <f>IF(A2062="","",MIN('Loan Inputs'!$B$17,C2062+E2062)+H2062)</f>
        <v/>
      </c>
      <c r="E2062" s="2" t="str">
        <f>IF(A2062="","",C2062*'Loan Inputs'!$B$15)</f>
        <v/>
      </c>
      <c r="F2062" s="2" t="str">
        <f t="shared" si="96"/>
        <v/>
      </c>
      <c r="G2062" s="2" t="str">
        <f t="shared" si="97"/>
        <v/>
      </c>
      <c r="H2062" s="2" t="str">
        <f>IF(A2062="","",MIN(0,MAX(0,C2062+E2062-'Loan Inputs'!$B$17)))</f>
        <v/>
      </c>
    </row>
    <row r="2063" spans="1:8" ht="22" customHeight="1">
      <c r="A2063" s="1" t="str">
        <f>IF(AND('Loan Inputs'!$B$12,2057&lt;=IF('Loan Inputs'!$B$12,'Loan Inputs'!$B$7,0)*'Loan Inputs'!$B$14+0,ISNUMBER(G2062),G2062&gt;0),2057,"")</f>
        <v/>
      </c>
      <c r="B2063" s="4" t="str">
        <f>IF(A2063="","",IF('Loan Inputs'!$B$14=12,DATE(YEAR('Loan Inputs'!$B$8),MONTH('Loan Inputs'!$B$8)+A2063,DAY('Loan Inputs'!$B$8)),'Loan Inputs'!$B$8+A2063*IF('Loan Inputs'!$B$14=26,14,7)))</f>
        <v/>
      </c>
      <c r="C2063" s="2" t="str">
        <f t="shared" si="98"/>
        <v/>
      </c>
      <c r="D2063" s="2" t="str">
        <f>IF(A2063="","",MIN('Loan Inputs'!$B$17,C2063+E2063)+H2063)</f>
        <v/>
      </c>
      <c r="E2063" s="2" t="str">
        <f>IF(A2063="","",C2063*'Loan Inputs'!$B$15)</f>
        <v/>
      </c>
      <c r="F2063" s="2" t="str">
        <f t="shared" si="96"/>
        <v/>
      </c>
      <c r="G2063" s="2" t="str">
        <f t="shared" si="97"/>
        <v/>
      </c>
      <c r="H2063" s="2" t="str">
        <f>IF(A2063="","",MIN(0,MAX(0,C2063+E2063-'Loan Inputs'!$B$17)))</f>
        <v/>
      </c>
    </row>
    <row r="2064" spans="1:8" ht="22" customHeight="1">
      <c r="A2064" s="1" t="str">
        <f>IF(AND('Loan Inputs'!$B$12,2058&lt;=IF('Loan Inputs'!$B$12,'Loan Inputs'!$B$7,0)*'Loan Inputs'!$B$14+0,ISNUMBER(G2063),G2063&gt;0),2058,"")</f>
        <v/>
      </c>
      <c r="B2064" s="4" t="str">
        <f>IF(A2064="","",IF('Loan Inputs'!$B$14=12,DATE(YEAR('Loan Inputs'!$B$8),MONTH('Loan Inputs'!$B$8)+A2064,DAY('Loan Inputs'!$B$8)),'Loan Inputs'!$B$8+A2064*IF('Loan Inputs'!$B$14=26,14,7)))</f>
        <v/>
      </c>
      <c r="C2064" s="2" t="str">
        <f t="shared" si="98"/>
        <v/>
      </c>
      <c r="D2064" s="2" t="str">
        <f>IF(A2064="","",MIN('Loan Inputs'!$B$17,C2064+E2064)+H2064)</f>
        <v/>
      </c>
      <c r="E2064" s="2" t="str">
        <f>IF(A2064="","",C2064*'Loan Inputs'!$B$15)</f>
        <v/>
      </c>
      <c r="F2064" s="2" t="str">
        <f t="shared" si="96"/>
        <v/>
      </c>
      <c r="G2064" s="2" t="str">
        <f t="shared" si="97"/>
        <v/>
      </c>
      <c r="H2064" s="2" t="str">
        <f>IF(A2064="","",MIN(0,MAX(0,C2064+E2064-'Loan Inputs'!$B$17)))</f>
        <v/>
      </c>
    </row>
    <row r="2065" spans="1:8" ht="22" customHeight="1">
      <c r="A2065" s="1" t="str">
        <f>IF(AND('Loan Inputs'!$B$12,2059&lt;=IF('Loan Inputs'!$B$12,'Loan Inputs'!$B$7,0)*'Loan Inputs'!$B$14+0,ISNUMBER(G2064),G2064&gt;0),2059,"")</f>
        <v/>
      </c>
      <c r="B2065" s="4" t="str">
        <f>IF(A2065="","",IF('Loan Inputs'!$B$14=12,DATE(YEAR('Loan Inputs'!$B$8),MONTH('Loan Inputs'!$B$8)+A2065,DAY('Loan Inputs'!$B$8)),'Loan Inputs'!$B$8+A2065*IF('Loan Inputs'!$B$14=26,14,7)))</f>
        <v/>
      </c>
      <c r="C2065" s="2" t="str">
        <f t="shared" si="98"/>
        <v/>
      </c>
      <c r="D2065" s="2" t="str">
        <f>IF(A2065="","",MIN('Loan Inputs'!$B$17,C2065+E2065)+H2065)</f>
        <v/>
      </c>
      <c r="E2065" s="2" t="str">
        <f>IF(A2065="","",C2065*'Loan Inputs'!$B$15)</f>
        <v/>
      </c>
      <c r="F2065" s="2" t="str">
        <f t="shared" si="96"/>
        <v/>
      </c>
      <c r="G2065" s="2" t="str">
        <f t="shared" si="97"/>
        <v/>
      </c>
      <c r="H2065" s="2" t="str">
        <f>IF(A2065="","",MIN(0,MAX(0,C2065+E2065-'Loan Inputs'!$B$17)))</f>
        <v/>
      </c>
    </row>
    <row r="2066" spans="1:8" ht="22" customHeight="1">
      <c r="A2066" s="1" t="str">
        <f>IF(AND('Loan Inputs'!$B$12,2060&lt;=IF('Loan Inputs'!$B$12,'Loan Inputs'!$B$7,0)*'Loan Inputs'!$B$14+0,ISNUMBER(G2065),G2065&gt;0),2060,"")</f>
        <v/>
      </c>
      <c r="B2066" s="4" t="str">
        <f>IF(A2066="","",IF('Loan Inputs'!$B$14=12,DATE(YEAR('Loan Inputs'!$B$8),MONTH('Loan Inputs'!$B$8)+A2066,DAY('Loan Inputs'!$B$8)),'Loan Inputs'!$B$8+A2066*IF('Loan Inputs'!$B$14=26,14,7)))</f>
        <v/>
      </c>
      <c r="C2066" s="2" t="str">
        <f t="shared" si="98"/>
        <v/>
      </c>
      <c r="D2066" s="2" t="str">
        <f>IF(A2066="","",MIN('Loan Inputs'!$B$17,C2066+E2066)+H2066)</f>
        <v/>
      </c>
      <c r="E2066" s="2" t="str">
        <f>IF(A2066="","",C2066*'Loan Inputs'!$B$15)</f>
        <v/>
      </c>
      <c r="F2066" s="2" t="str">
        <f t="shared" si="96"/>
        <v/>
      </c>
      <c r="G2066" s="2" t="str">
        <f t="shared" si="97"/>
        <v/>
      </c>
      <c r="H2066" s="2" t="str">
        <f>IF(A2066="","",MIN(0,MAX(0,C2066+E2066-'Loan Inputs'!$B$17)))</f>
        <v/>
      </c>
    </row>
    <row r="2067" spans="1:8" ht="22" customHeight="1">
      <c r="A2067" s="1" t="str">
        <f>IF(AND('Loan Inputs'!$B$12,2061&lt;=IF('Loan Inputs'!$B$12,'Loan Inputs'!$B$7,0)*'Loan Inputs'!$B$14+0,ISNUMBER(G2066),G2066&gt;0),2061,"")</f>
        <v/>
      </c>
      <c r="B2067" s="4" t="str">
        <f>IF(A2067="","",IF('Loan Inputs'!$B$14=12,DATE(YEAR('Loan Inputs'!$B$8),MONTH('Loan Inputs'!$B$8)+A2067,DAY('Loan Inputs'!$B$8)),'Loan Inputs'!$B$8+A2067*IF('Loan Inputs'!$B$14=26,14,7)))</f>
        <v/>
      </c>
      <c r="C2067" s="2" t="str">
        <f t="shared" si="98"/>
        <v/>
      </c>
      <c r="D2067" s="2" t="str">
        <f>IF(A2067="","",MIN('Loan Inputs'!$B$17,C2067+E2067)+H2067)</f>
        <v/>
      </c>
      <c r="E2067" s="2" t="str">
        <f>IF(A2067="","",C2067*'Loan Inputs'!$B$15)</f>
        <v/>
      </c>
      <c r="F2067" s="2" t="str">
        <f t="shared" si="96"/>
        <v/>
      </c>
      <c r="G2067" s="2" t="str">
        <f t="shared" si="97"/>
        <v/>
      </c>
      <c r="H2067" s="2" t="str">
        <f>IF(A2067="","",MIN(0,MAX(0,C2067+E2067-'Loan Inputs'!$B$17)))</f>
        <v/>
      </c>
    </row>
    <row r="2068" spans="1:8" ht="22" customHeight="1">
      <c r="A2068" s="1" t="str">
        <f>IF(AND('Loan Inputs'!$B$12,2062&lt;=IF('Loan Inputs'!$B$12,'Loan Inputs'!$B$7,0)*'Loan Inputs'!$B$14+0,ISNUMBER(G2067),G2067&gt;0),2062,"")</f>
        <v/>
      </c>
      <c r="B2068" s="4" t="str">
        <f>IF(A2068="","",IF('Loan Inputs'!$B$14=12,DATE(YEAR('Loan Inputs'!$B$8),MONTH('Loan Inputs'!$B$8)+A2068,DAY('Loan Inputs'!$B$8)),'Loan Inputs'!$B$8+A2068*IF('Loan Inputs'!$B$14=26,14,7)))</f>
        <v/>
      </c>
      <c r="C2068" s="2" t="str">
        <f t="shared" si="98"/>
        <v/>
      </c>
      <c r="D2068" s="2" t="str">
        <f>IF(A2068="","",MIN('Loan Inputs'!$B$17,C2068+E2068)+H2068)</f>
        <v/>
      </c>
      <c r="E2068" s="2" t="str">
        <f>IF(A2068="","",C2068*'Loan Inputs'!$B$15)</f>
        <v/>
      </c>
      <c r="F2068" s="2" t="str">
        <f t="shared" si="96"/>
        <v/>
      </c>
      <c r="G2068" s="2" t="str">
        <f t="shared" si="97"/>
        <v/>
      </c>
      <c r="H2068" s="2" t="str">
        <f>IF(A2068="","",MIN(0,MAX(0,C2068+E2068-'Loan Inputs'!$B$17)))</f>
        <v/>
      </c>
    </row>
    <row r="2069" spans="1:8" ht="22" customHeight="1">
      <c r="A2069" s="1" t="str">
        <f>IF(AND('Loan Inputs'!$B$12,2063&lt;=IF('Loan Inputs'!$B$12,'Loan Inputs'!$B$7,0)*'Loan Inputs'!$B$14+0,ISNUMBER(G2068),G2068&gt;0),2063,"")</f>
        <v/>
      </c>
      <c r="B2069" s="4" t="str">
        <f>IF(A2069="","",IF('Loan Inputs'!$B$14=12,DATE(YEAR('Loan Inputs'!$B$8),MONTH('Loan Inputs'!$B$8)+A2069,DAY('Loan Inputs'!$B$8)),'Loan Inputs'!$B$8+A2069*IF('Loan Inputs'!$B$14=26,14,7)))</f>
        <v/>
      </c>
      <c r="C2069" s="2" t="str">
        <f t="shared" si="98"/>
        <v/>
      </c>
      <c r="D2069" s="2" t="str">
        <f>IF(A2069="","",MIN('Loan Inputs'!$B$17,C2069+E2069)+H2069)</f>
        <v/>
      </c>
      <c r="E2069" s="2" t="str">
        <f>IF(A2069="","",C2069*'Loan Inputs'!$B$15)</f>
        <v/>
      </c>
      <c r="F2069" s="2" t="str">
        <f t="shared" si="96"/>
        <v/>
      </c>
      <c r="G2069" s="2" t="str">
        <f t="shared" si="97"/>
        <v/>
      </c>
      <c r="H2069" s="2" t="str">
        <f>IF(A2069="","",MIN(0,MAX(0,C2069+E2069-'Loan Inputs'!$B$17)))</f>
        <v/>
      </c>
    </row>
    <row r="2070" spans="1:8" ht="22" customHeight="1">
      <c r="A2070" s="1" t="str">
        <f>IF(AND('Loan Inputs'!$B$12,2064&lt;=IF('Loan Inputs'!$B$12,'Loan Inputs'!$B$7,0)*'Loan Inputs'!$B$14+0,ISNUMBER(G2069),G2069&gt;0),2064,"")</f>
        <v/>
      </c>
      <c r="B2070" s="4" t="str">
        <f>IF(A2070="","",IF('Loan Inputs'!$B$14=12,DATE(YEAR('Loan Inputs'!$B$8),MONTH('Loan Inputs'!$B$8)+A2070,DAY('Loan Inputs'!$B$8)),'Loan Inputs'!$B$8+A2070*IF('Loan Inputs'!$B$14=26,14,7)))</f>
        <v/>
      </c>
      <c r="C2070" s="2" t="str">
        <f t="shared" si="98"/>
        <v/>
      </c>
      <c r="D2070" s="2" t="str">
        <f>IF(A2070="","",MIN('Loan Inputs'!$B$17,C2070+E2070)+H2070)</f>
        <v/>
      </c>
      <c r="E2070" s="2" t="str">
        <f>IF(A2070="","",C2070*'Loan Inputs'!$B$15)</f>
        <v/>
      </c>
      <c r="F2070" s="2" t="str">
        <f t="shared" si="96"/>
        <v/>
      </c>
      <c r="G2070" s="2" t="str">
        <f t="shared" si="97"/>
        <v/>
      </c>
      <c r="H2070" s="2" t="str">
        <f>IF(A2070="","",MIN(0,MAX(0,C2070+E2070-'Loan Inputs'!$B$17)))</f>
        <v/>
      </c>
    </row>
    <row r="2071" spans="1:8" ht="22" customHeight="1">
      <c r="A2071" s="1" t="str">
        <f>IF(AND('Loan Inputs'!$B$12,2065&lt;=IF('Loan Inputs'!$B$12,'Loan Inputs'!$B$7,0)*'Loan Inputs'!$B$14+0,ISNUMBER(G2070),G2070&gt;0),2065,"")</f>
        <v/>
      </c>
      <c r="B2071" s="4" t="str">
        <f>IF(A2071="","",IF('Loan Inputs'!$B$14=12,DATE(YEAR('Loan Inputs'!$B$8),MONTH('Loan Inputs'!$B$8)+A2071,DAY('Loan Inputs'!$B$8)),'Loan Inputs'!$B$8+A2071*IF('Loan Inputs'!$B$14=26,14,7)))</f>
        <v/>
      </c>
      <c r="C2071" s="2" t="str">
        <f t="shared" si="98"/>
        <v/>
      </c>
      <c r="D2071" s="2" t="str">
        <f>IF(A2071="","",MIN('Loan Inputs'!$B$17,C2071+E2071)+H2071)</f>
        <v/>
      </c>
      <c r="E2071" s="2" t="str">
        <f>IF(A2071="","",C2071*'Loan Inputs'!$B$15)</f>
        <v/>
      </c>
      <c r="F2071" s="2" t="str">
        <f t="shared" si="96"/>
        <v/>
      </c>
      <c r="G2071" s="2" t="str">
        <f t="shared" si="97"/>
        <v/>
      </c>
      <c r="H2071" s="2" t="str">
        <f>IF(A2071="","",MIN(0,MAX(0,C2071+E2071-'Loan Inputs'!$B$17)))</f>
        <v/>
      </c>
    </row>
    <row r="2072" spans="1:8" ht="22" customHeight="1">
      <c r="A2072" s="1" t="str">
        <f>IF(AND('Loan Inputs'!$B$12,2066&lt;=IF('Loan Inputs'!$B$12,'Loan Inputs'!$B$7,0)*'Loan Inputs'!$B$14+0,ISNUMBER(G2071),G2071&gt;0),2066,"")</f>
        <v/>
      </c>
      <c r="B2072" s="4" t="str">
        <f>IF(A2072="","",IF('Loan Inputs'!$B$14=12,DATE(YEAR('Loan Inputs'!$B$8),MONTH('Loan Inputs'!$B$8)+A2072,DAY('Loan Inputs'!$B$8)),'Loan Inputs'!$B$8+A2072*IF('Loan Inputs'!$B$14=26,14,7)))</f>
        <v/>
      </c>
      <c r="C2072" s="2" t="str">
        <f t="shared" si="98"/>
        <v/>
      </c>
      <c r="D2072" s="2" t="str">
        <f>IF(A2072="","",MIN('Loan Inputs'!$B$17,C2072+E2072)+H2072)</f>
        <v/>
      </c>
      <c r="E2072" s="2" t="str">
        <f>IF(A2072="","",C2072*'Loan Inputs'!$B$15)</f>
        <v/>
      </c>
      <c r="F2072" s="2" t="str">
        <f t="shared" si="96"/>
        <v/>
      </c>
      <c r="G2072" s="2" t="str">
        <f t="shared" si="97"/>
        <v/>
      </c>
      <c r="H2072" s="2" t="str">
        <f>IF(A2072="","",MIN(0,MAX(0,C2072+E2072-'Loan Inputs'!$B$17)))</f>
        <v/>
      </c>
    </row>
    <row r="2073" spans="1:8" ht="22" customHeight="1">
      <c r="A2073" s="1" t="str">
        <f>IF(AND('Loan Inputs'!$B$12,2067&lt;=IF('Loan Inputs'!$B$12,'Loan Inputs'!$B$7,0)*'Loan Inputs'!$B$14+0,ISNUMBER(G2072),G2072&gt;0),2067,"")</f>
        <v/>
      </c>
      <c r="B2073" s="4" t="str">
        <f>IF(A2073="","",IF('Loan Inputs'!$B$14=12,DATE(YEAR('Loan Inputs'!$B$8),MONTH('Loan Inputs'!$B$8)+A2073,DAY('Loan Inputs'!$B$8)),'Loan Inputs'!$B$8+A2073*IF('Loan Inputs'!$B$14=26,14,7)))</f>
        <v/>
      </c>
      <c r="C2073" s="2" t="str">
        <f t="shared" si="98"/>
        <v/>
      </c>
      <c r="D2073" s="2" t="str">
        <f>IF(A2073="","",MIN('Loan Inputs'!$B$17,C2073+E2073)+H2073)</f>
        <v/>
      </c>
      <c r="E2073" s="2" t="str">
        <f>IF(A2073="","",C2073*'Loan Inputs'!$B$15)</f>
        <v/>
      </c>
      <c r="F2073" s="2" t="str">
        <f t="shared" si="96"/>
        <v/>
      </c>
      <c r="G2073" s="2" t="str">
        <f t="shared" si="97"/>
        <v/>
      </c>
      <c r="H2073" s="2" t="str">
        <f>IF(A2073="","",MIN(0,MAX(0,C2073+E2073-'Loan Inputs'!$B$17)))</f>
        <v/>
      </c>
    </row>
    <row r="2074" spans="1:8" ht="22" customHeight="1">
      <c r="A2074" s="1" t="str">
        <f>IF(AND('Loan Inputs'!$B$12,2068&lt;=IF('Loan Inputs'!$B$12,'Loan Inputs'!$B$7,0)*'Loan Inputs'!$B$14+0,ISNUMBER(G2073),G2073&gt;0),2068,"")</f>
        <v/>
      </c>
      <c r="B2074" s="4" t="str">
        <f>IF(A2074="","",IF('Loan Inputs'!$B$14=12,DATE(YEAR('Loan Inputs'!$B$8),MONTH('Loan Inputs'!$B$8)+A2074,DAY('Loan Inputs'!$B$8)),'Loan Inputs'!$B$8+A2074*IF('Loan Inputs'!$B$14=26,14,7)))</f>
        <v/>
      </c>
      <c r="C2074" s="2" t="str">
        <f t="shared" si="98"/>
        <v/>
      </c>
      <c r="D2074" s="2" t="str">
        <f>IF(A2074="","",MIN('Loan Inputs'!$B$17,C2074+E2074)+H2074)</f>
        <v/>
      </c>
      <c r="E2074" s="2" t="str">
        <f>IF(A2074="","",C2074*'Loan Inputs'!$B$15)</f>
        <v/>
      </c>
      <c r="F2074" s="2" t="str">
        <f t="shared" si="96"/>
        <v/>
      </c>
      <c r="G2074" s="2" t="str">
        <f t="shared" si="97"/>
        <v/>
      </c>
      <c r="H2074" s="2" t="str">
        <f>IF(A2074="","",MIN(0,MAX(0,C2074+E2074-'Loan Inputs'!$B$17)))</f>
        <v/>
      </c>
    </row>
    <row r="2075" spans="1:8" ht="22" customHeight="1">
      <c r="A2075" s="1" t="str">
        <f>IF(AND('Loan Inputs'!$B$12,2069&lt;=IF('Loan Inputs'!$B$12,'Loan Inputs'!$B$7,0)*'Loan Inputs'!$B$14+0,ISNUMBER(G2074),G2074&gt;0),2069,"")</f>
        <v/>
      </c>
      <c r="B2075" s="4" t="str">
        <f>IF(A2075="","",IF('Loan Inputs'!$B$14=12,DATE(YEAR('Loan Inputs'!$B$8),MONTH('Loan Inputs'!$B$8)+A2075,DAY('Loan Inputs'!$B$8)),'Loan Inputs'!$B$8+A2075*IF('Loan Inputs'!$B$14=26,14,7)))</f>
        <v/>
      </c>
      <c r="C2075" s="2" t="str">
        <f t="shared" si="98"/>
        <v/>
      </c>
      <c r="D2075" s="2" t="str">
        <f>IF(A2075="","",MIN('Loan Inputs'!$B$17,C2075+E2075)+H2075)</f>
        <v/>
      </c>
      <c r="E2075" s="2" t="str">
        <f>IF(A2075="","",C2075*'Loan Inputs'!$B$15)</f>
        <v/>
      </c>
      <c r="F2075" s="2" t="str">
        <f t="shared" si="96"/>
        <v/>
      </c>
      <c r="G2075" s="2" t="str">
        <f t="shared" si="97"/>
        <v/>
      </c>
      <c r="H2075" s="2" t="str">
        <f>IF(A2075="","",MIN(0,MAX(0,C2075+E2075-'Loan Inputs'!$B$17)))</f>
        <v/>
      </c>
    </row>
    <row r="2076" spans="1:8" ht="22" customHeight="1">
      <c r="A2076" s="1" t="str">
        <f>IF(AND('Loan Inputs'!$B$12,2070&lt;=IF('Loan Inputs'!$B$12,'Loan Inputs'!$B$7,0)*'Loan Inputs'!$B$14+0,ISNUMBER(G2075),G2075&gt;0),2070,"")</f>
        <v/>
      </c>
      <c r="B2076" s="4" t="str">
        <f>IF(A2076="","",IF('Loan Inputs'!$B$14=12,DATE(YEAR('Loan Inputs'!$B$8),MONTH('Loan Inputs'!$B$8)+A2076,DAY('Loan Inputs'!$B$8)),'Loan Inputs'!$B$8+A2076*IF('Loan Inputs'!$B$14=26,14,7)))</f>
        <v/>
      </c>
      <c r="C2076" s="2" t="str">
        <f t="shared" si="98"/>
        <v/>
      </c>
      <c r="D2076" s="2" t="str">
        <f>IF(A2076="","",MIN('Loan Inputs'!$B$17,C2076+E2076)+H2076)</f>
        <v/>
      </c>
      <c r="E2076" s="2" t="str">
        <f>IF(A2076="","",C2076*'Loan Inputs'!$B$15)</f>
        <v/>
      </c>
      <c r="F2076" s="2" t="str">
        <f t="shared" si="96"/>
        <v/>
      </c>
      <c r="G2076" s="2" t="str">
        <f t="shared" si="97"/>
        <v/>
      </c>
      <c r="H2076" s="2" t="str">
        <f>IF(A2076="","",MIN(0,MAX(0,C2076+E2076-'Loan Inputs'!$B$17)))</f>
        <v/>
      </c>
    </row>
    <row r="2077" spans="1:8" ht="22" customHeight="1">
      <c r="A2077" s="1" t="str">
        <f>IF(AND('Loan Inputs'!$B$12,2071&lt;=IF('Loan Inputs'!$B$12,'Loan Inputs'!$B$7,0)*'Loan Inputs'!$B$14+0,ISNUMBER(G2076),G2076&gt;0),2071,"")</f>
        <v/>
      </c>
      <c r="B2077" s="4" t="str">
        <f>IF(A2077="","",IF('Loan Inputs'!$B$14=12,DATE(YEAR('Loan Inputs'!$B$8),MONTH('Loan Inputs'!$B$8)+A2077,DAY('Loan Inputs'!$B$8)),'Loan Inputs'!$B$8+A2077*IF('Loan Inputs'!$B$14=26,14,7)))</f>
        <v/>
      </c>
      <c r="C2077" s="2" t="str">
        <f t="shared" si="98"/>
        <v/>
      </c>
      <c r="D2077" s="2" t="str">
        <f>IF(A2077="","",MIN('Loan Inputs'!$B$17,C2077+E2077)+H2077)</f>
        <v/>
      </c>
      <c r="E2077" s="2" t="str">
        <f>IF(A2077="","",C2077*'Loan Inputs'!$B$15)</f>
        <v/>
      </c>
      <c r="F2077" s="2" t="str">
        <f t="shared" si="96"/>
        <v/>
      </c>
      <c r="G2077" s="2" t="str">
        <f t="shared" si="97"/>
        <v/>
      </c>
      <c r="H2077" s="2" t="str">
        <f>IF(A2077="","",MIN(0,MAX(0,C2077+E2077-'Loan Inputs'!$B$17)))</f>
        <v/>
      </c>
    </row>
    <row r="2078" spans="1:8" ht="22" customHeight="1">
      <c r="A2078" s="1" t="str">
        <f>IF(AND('Loan Inputs'!$B$12,2072&lt;=IF('Loan Inputs'!$B$12,'Loan Inputs'!$B$7,0)*'Loan Inputs'!$B$14+0,ISNUMBER(G2077),G2077&gt;0),2072,"")</f>
        <v/>
      </c>
      <c r="B2078" s="4" t="str">
        <f>IF(A2078="","",IF('Loan Inputs'!$B$14=12,DATE(YEAR('Loan Inputs'!$B$8),MONTH('Loan Inputs'!$B$8)+A2078,DAY('Loan Inputs'!$B$8)),'Loan Inputs'!$B$8+A2078*IF('Loan Inputs'!$B$14=26,14,7)))</f>
        <v/>
      </c>
      <c r="C2078" s="2" t="str">
        <f t="shared" si="98"/>
        <v/>
      </c>
      <c r="D2078" s="2" t="str">
        <f>IF(A2078="","",MIN('Loan Inputs'!$B$17,C2078+E2078)+H2078)</f>
        <v/>
      </c>
      <c r="E2078" s="2" t="str">
        <f>IF(A2078="","",C2078*'Loan Inputs'!$B$15)</f>
        <v/>
      </c>
      <c r="F2078" s="2" t="str">
        <f t="shared" si="96"/>
        <v/>
      </c>
      <c r="G2078" s="2" t="str">
        <f t="shared" si="97"/>
        <v/>
      </c>
      <c r="H2078" s="2" t="str">
        <f>IF(A2078="","",MIN(0,MAX(0,C2078+E2078-'Loan Inputs'!$B$17)))</f>
        <v/>
      </c>
    </row>
    <row r="2079" spans="1:8" ht="22" customHeight="1">
      <c r="A2079" s="1" t="str">
        <f>IF(AND('Loan Inputs'!$B$12,2073&lt;=IF('Loan Inputs'!$B$12,'Loan Inputs'!$B$7,0)*'Loan Inputs'!$B$14+0,ISNUMBER(G2078),G2078&gt;0),2073,"")</f>
        <v/>
      </c>
      <c r="B2079" s="4" t="str">
        <f>IF(A2079="","",IF('Loan Inputs'!$B$14=12,DATE(YEAR('Loan Inputs'!$B$8),MONTH('Loan Inputs'!$B$8)+A2079,DAY('Loan Inputs'!$B$8)),'Loan Inputs'!$B$8+A2079*IF('Loan Inputs'!$B$14=26,14,7)))</f>
        <v/>
      </c>
      <c r="C2079" s="2" t="str">
        <f t="shared" si="98"/>
        <v/>
      </c>
      <c r="D2079" s="2" t="str">
        <f>IF(A2079="","",MIN('Loan Inputs'!$B$17,C2079+E2079)+H2079)</f>
        <v/>
      </c>
      <c r="E2079" s="2" t="str">
        <f>IF(A2079="","",C2079*'Loan Inputs'!$B$15)</f>
        <v/>
      </c>
      <c r="F2079" s="2" t="str">
        <f t="shared" si="96"/>
        <v/>
      </c>
      <c r="G2079" s="2" t="str">
        <f t="shared" si="97"/>
        <v/>
      </c>
      <c r="H2079" s="2" t="str">
        <f>IF(A2079="","",MIN(0,MAX(0,C2079+E2079-'Loan Inputs'!$B$17)))</f>
        <v/>
      </c>
    </row>
    <row r="2080" spans="1:8" ht="22" customHeight="1">
      <c r="A2080" s="1" t="str">
        <f>IF(AND('Loan Inputs'!$B$12,2074&lt;=IF('Loan Inputs'!$B$12,'Loan Inputs'!$B$7,0)*'Loan Inputs'!$B$14+0,ISNUMBER(G2079),G2079&gt;0),2074,"")</f>
        <v/>
      </c>
      <c r="B2080" s="4" t="str">
        <f>IF(A2080="","",IF('Loan Inputs'!$B$14=12,DATE(YEAR('Loan Inputs'!$B$8),MONTH('Loan Inputs'!$B$8)+A2080,DAY('Loan Inputs'!$B$8)),'Loan Inputs'!$B$8+A2080*IF('Loan Inputs'!$B$14=26,14,7)))</f>
        <v/>
      </c>
      <c r="C2080" s="2" t="str">
        <f t="shared" si="98"/>
        <v/>
      </c>
      <c r="D2080" s="2" t="str">
        <f>IF(A2080="","",MIN('Loan Inputs'!$B$17,C2080+E2080)+H2080)</f>
        <v/>
      </c>
      <c r="E2080" s="2" t="str">
        <f>IF(A2080="","",C2080*'Loan Inputs'!$B$15)</f>
        <v/>
      </c>
      <c r="F2080" s="2" t="str">
        <f t="shared" si="96"/>
        <v/>
      </c>
      <c r="G2080" s="2" t="str">
        <f t="shared" si="97"/>
        <v/>
      </c>
      <c r="H2080" s="2" t="str">
        <f>IF(A2080="","",MIN(0,MAX(0,C2080+E2080-'Loan Inputs'!$B$17)))</f>
        <v/>
      </c>
    </row>
    <row r="2081" spans="1:8" ht="22" customHeight="1">
      <c r="A2081" s="1" t="str">
        <f>IF(AND('Loan Inputs'!$B$12,2075&lt;=IF('Loan Inputs'!$B$12,'Loan Inputs'!$B$7,0)*'Loan Inputs'!$B$14+0,ISNUMBER(G2080),G2080&gt;0),2075,"")</f>
        <v/>
      </c>
      <c r="B2081" s="4" t="str">
        <f>IF(A2081="","",IF('Loan Inputs'!$B$14=12,DATE(YEAR('Loan Inputs'!$B$8),MONTH('Loan Inputs'!$B$8)+A2081,DAY('Loan Inputs'!$B$8)),'Loan Inputs'!$B$8+A2081*IF('Loan Inputs'!$B$14=26,14,7)))</f>
        <v/>
      </c>
      <c r="C2081" s="2" t="str">
        <f t="shared" si="98"/>
        <v/>
      </c>
      <c r="D2081" s="2" t="str">
        <f>IF(A2081="","",MIN('Loan Inputs'!$B$17,C2081+E2081)+H2081)</f>
        <v/>
      </c>
      <c r="E2081" s="2" t="str">
        <f>IF(A2081="","",C2081*'Loan Inputs'!$B$15)</f>
        <v/>
      </c>
      <c r="F2081" s="2" t="str">
        <f t="shared" si="96"/>
        <v/>
      </c>
      <c r="G2081" s="2" t="str">
        <f t="shared" si="97"/>
        <v/>
      </c>
      <c r="H2081" s="2" t="str">
        <f>IF(A2081="","",MIN(0,MAX(0,C2081+E2081-'Loan Inputs'!$B$17)))</f>
        <v/>
      </c>
    </row>
    <row r="2082" spans="1:8" ht="22" customHeight="1">
      <c r="A2082" s="1" t="str">
        <f>IF(AND('Loan Inputs'!$B$12,2076&lt;=IF('Loan Inputs'!$B$12,'Loan Inputs'!$B$7,0)*'Loan Inputs'!$B$14+0,ISNUMBER(G2081),G2081&gt;0),2076,"")</f>
        <v/>
      </c>
      <c r="B2082" s="4" t="str">
        <f>IF(A2082="","",IF('Loan Inputs'!$B$14=12,DATE(YEAR('Loan Inputs'!$B$8),MONTH('Loan Inputs'!$B$8)+A2082,DAY('Loan Inputs'!$B$8)),'Loan Inputs'!$B$8+A2082*IF('Loan Inputs'!$B$14=26,14,7)))</f>
        <v/>
      </c>
      <c r="C2082" s="2" t="str">
        <f t="shared" si="98"/>
        <v/>
      </c>
      <c r="D2082" s="2" t="str">
        <f>IF(A2082="","",MIN('Loan Inputs'!$B$17,C2082+E2082)+H2082)</f>
        <v/>
      </c>
      <c r="E2082" s="2" t="str">
        <f>IF(A2082="","",C2082*'Loan Inputs'!$B$15)</f>
        <v/>
      </c>
      <c r="F2082" s="2" t="str">
        <f t="shared" si="96"/>
        <v/>
      </c>
      <c r="G2082" s="2" t="str">
        <f t="shared" si="97"/>
        <v/>
      </c>
      <c r="H2082" s="2" t="str">
        <f>IF(A2082="","",MIN(0,MAX(0,C2082+E2082-'Loan Inputs'!$B$17)))</f>
        <v/>
      </c>
    </row>
    <row r="2083" spans="1:8" ht="22" customHeight="1">
      <c r="A2083" s="1" t="str">
        <f>IF(AND('Loan Inputs'!$B$12,2077&lt;=IF('Loan Inputs'!$B$12,'Loan Inputs'!$B$7,0)*'Loan Inputs'!$B$14+0,ISNUMBER(G2082),G2082&gt;0),2077,"")</f>
        <v/>
      </c>
      <c r="B2083" s="4" t="str">
        <f>IF(A2083="","",IF('Loan Inputs'!$B$14=12,DATE(YEAR('Loan Inputs'!$B$8),MONTH('Loan Inputs'!$B$8)+A2083,DAY('Loan Inputs'!$B$8)),'Loan Inputs'!$B$8+A2083*IF('Loan Inputs'!$B$14=26,14,7)))</f>
        <v/>
      </c>
      <c r="C2083" s="2" t="str">
        <f t="shared" si="98"/>
        <v/>
      </c>
      <c r="D2083" s="2" t="str">
        <f>IF(A2083="","",MIN('Loan Inputs'!$B$17,C2083+E2083)+H2083)</f>
        <v/>
      </c>
      <c r="E2083" s="2" t="str">
        <f>IF(A2083="","",C2083*'Loan Inputs'!$B$15)</f>
        <v/>
      </c>
      <c r="F2083" s="2" t="str">
        <f t="shared" si="96"/>
        <v/>
      </c>
      <c r="G2083" s="2" t="str">
        <f t="shared" si="97"/>
        <v/>
      </c>
      <c r="H2083" s="2" t="str">
        <f>IF(A2083="","",MIN(0,MAX(0,C2083+E2083-'Loan Inputs'!$B$17)))</f>
        <v/>
      </c>
    </row>
    <row r="2084" spans="1:8" ht="22" customHeight="1">
      <c r="A2084" s="1" t="str">
        <f>IF(AND('Loan Inputs'!$B$12,2078&lt;=IF('Loan Inputs'!$B$12,'Loan Inputs'!$B$7,0)*'Loan Inputs'!$B$14+0,ISNUMBER(G2083),G2083&gt;0),2078,"")</f>
        <v/>
      </c>
      <c r="B2084" s="4" t="str">
        <f>IF(A2084="","",IF('Loan Inputs'!$B$14=12,DATE(YEAR('Loan Inputs'!$B$8),MONTH('Loan Inputs'!$B$8)+A2084,DAY('Loan Inputs'!$B$8)),'Loan Inputs'!$B$8+A2084*IF('Loan Inputs'!$B$14=26,14,7)))</f>
        <v/>
      </c>
      <c r="C2084" s="2" t="str">
        <f t="shared" si="98"/>
        <v/>
      </c>
      <c r="D2084" s="2" t="str">
        <f>IF(A2084="","",MIN('Loan Inputs'!$B$17,C2084+E2084)+H2084)</f>
        <v/>
      </c>
      <c r="E2084" s="2" t="str">
        <f>IF(A2084="","",C2084*'Loan Inputs'!$B$15)</f>
        <v/>
      </c>
      <c r="F2084" s="2" t="str">
        <f t="shared" si="96"/>
        <v/>
      </c>
      <c r="G2084" s="2" t="str">
        <f t="shared" si="97"/>
        <v/>
      </c>
      <c r="H2084" s="2" t="str">
        <f>IF(A2084="","",MIN(0,MAX(0,C2084+E2084-'Loan Inputs'!$B$17)))</f>
        <v/>
      </c>
    </row>
    <row r="2085" spans="1:8" ht="22" customHeight="1">
      <c r="A2085" s="1" t="str">
        <f>IF(AND('Loan Inputs'!$B$12,2079&lt;=IF('Loan Inputs'!$B$12,'Loan Inputs'!$B$7,0)*'Loan Inputs'!$B$14+0,ISNUMBER(G2084),G2084&gt;0),2079,"")</f>
        <v/>
      </c>
      <c r="B2085" s="4" t="str">
        <f>IF(A2085="","",IF('Loan Inputs'!$B$14=12,DATE(YEAR('Loan Inputs'!$B$8),MONTH('Loan Inputs'!$B$8)+A2085,DAY('Loan Inputs'!$B$8)),'Loan Inputs'!$B$8+A2085*IF('Loan Inputs'!$B$14=26,14,7)))</f>
        <v/>
      </c>
      <c r="C2085" s="2" t="str">
        <f t="shared" si="98"/>
        <v/>
      </c>
      <c r="D2085" s="2" t="str">
        <f>IF(A2085="","",MIN('Loan Inputs'!$B$17,C2085+E2085)+H2085)</f>
        <v/>
      </c>
      <c r="E2085" s="2" t="str">
        <f>IF(A2085="","",C2085*'Loan Inputs'!$B$15)</f>
        <v/>
      </c>
      <c r="F2085" s="2" t="str">
        <f t="shared" si="96"/>
        <v/>
      </c>
      <c r="G2085" s="2" t="str">
        <f t="shared" si="97"/>
        <v/>
      </c>
      <c r="H2085" s="2" t="str">
        <f>IF(A2085="","",MIN(0,MAX(0,C2085+E2085-'Loan Inputs'!$B$17)))</f>
        <v/>
      </c>
    </row>
    <row r="2086" spans="1:8" ht="22" customHeight="1">
      <c r="A2086" s="1" t="str">
        <f>IF(AND('Loan Inputs'!$B$12,2080&lt;=IF('Loan Inputs'!$B$12,'Loan Inputs'!$B$7,0)*'Loan Inputs'!$B$14+0,ISNUMBER(G2085),G2085&gt;0),2080,"")</f>
        <v/>
      </c>
      <c r="B2086" s="4" t="str">
        <f>IF(A2086="","",IF('Loan Inputs'!$B$14=12,DATE(YEAR('Loan Inputs'!$B$8),MONTH('Loan Inputs'!$B$8)+A2086,DAY('Loan Inputs'!$B$8)),'Loan Inputs'!$B$8+A2086*IF('Loan Inputs'!$B$14=26,14,7)))</f>
        <v/>
      </c>
      <c r="C2086" s="2" t="str">
        <f t="shared" si="98"/>
        <v/>
      </c>
      <c r="D2086" s="2" t="str">
        <f>IF(A2086="","",MIN('Loan Inputs'!$B$17,C2086+E2086)+H2086)</f>
        <v/>
      </c>
      <c r="E2086" s="2" t="str">
        <f>IF(A2086="","",C2086*'Loan Inputs'!$B$15)</f>
        <v/>
      </c>
      <c r="F2086" s="2" t="str">
        <f t="shared" si="96"/>
        <v/>
      </c>
      <c r="G2086" s="2" t="str">
        <f t="shared" si="97"/>
        <v/>
      </c>
      <c r="H2086" s="2" t="str">
        <f>IF(A2086="","",MIN(0,MAX(0,C2086+E2086-'Loan Inputs'!$B$17)))</f>
        <v/>
      </c>
    </row>
  </sheetData>
  <sheetProtection sheet="1" objects="1" scenarios="1"/>
  <mergeCells count="1">
    <mergeCell ref="A1:H2"/>
  </mergeCells>
  <pageMargins left="0.39370078740157477" right="0.39370078740157477" top="0.39370078740157477" bottom="0.39370078740157477" header="0.3" footer="0.3"/>
  <pageSetup paperSize="9" scale="96" fitToHeight="0" orientation="landscape" r:id="rId1"/>
  <headerFooter>
    <oddFooter>&amp;CCalcy | Page &amp;P&amp;Rcalcy.com.au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EAF4EE"/>
    <pageSetUpPr fitToPage="1"/>
  </sheetPr>
  <dimension ref="A1:H90"/>
  <sheetViews>
    <sheetView showGridLines="0" zoomScaleNormal="100" workbookViewId="0">
      <pane ySplit="6" topLeftCell="A7" activePane="bottomLeft" state="frozen"/>
      <selection pane="bottomLeft" sqref="A1:H2"/>
    </sheetView>
  </sheetViews>
  <sheetFormatPr defaultRowHeight="14.15"/>
  <cols>
    <col min="1" max="1" width="28" customWidth="1"/>
    <col min="2" max="8" width="16" customWidth="1"/>
  </cols>
  <sheetData>
    <row r="1" spans="1:8" ht="22" customHeight="1">
      <c r="A1" s="12" t="s">
        <v>38</v>
      </c>
      <c r="B1" s="12" t="s">
        <v>38</v>
      </c>
      <c r="C1" s="12" t="s">
        <v>38</v>
      </c>
      <c r="D1" s="12" t="s">
        <v>38</v>
      </c>
      <c r="E1" s="12" t="s">
        <v>38</v>
      </c>
      <c r="F1" s="12" t="s">
        <v>38</v>
      </c>
      <c r="G1" s="12" t="s">
        <v>38</v>
      </c>
      <c r="H1" s="12" t="s">
        <v>38</v>
      </c>
    </row>
    <row r="2" spans="1:8" ht="22" customHeight="1">
      <c r="A2" s="12" t="s">
        <v>38</v>
      </c>
      <c r="B2" s="12" t="s">
        <v>38</v>
      </c>
      <c r="C2" s="12" t="s">
        <v>38</v>
      </c>
      <c r="D2" s="12" t="s">
        <v>38</v>
      </c>
      <c r="E2" s="12" t="s">
        <v>38</v>
      </c>
      <c r="F2" s="12" t="s">
        <v>38</v>
      </c>
      <c r="G2" s="12" t="s">
        <v>38</v>
      </c>
      <c r="H2" s="12" t="s">
        <v>38</v>
      </c>
    </row>
    <row r="3" spans="1:8" ht="22" customHeight="1">
      <c r="A3" s="1"/>
      <c r="B3" s="1"/>
      <c r="C3" s="1"/>
      <c r="D3" s="1"/>
      <c r="E3" s="1"/>
      <c r="F3" s="1"/>
      <c r="G3" s="1"/>
      <c r="H3" s="1"/>
    </row>
    <row r="4" spans="1:8" ht="22" customHeight="1">
      <c r="A4" s="1"/>
      <c r="B4" s="1"/>
      <c r="C4" s="1"/>
      <c r="D4" s="1"/>
      <c r="E4" s="1"/>
      <c r="F4" s="1"/>
      <c r="G4" s="1"/>
      <c r="H4" s="1"/>
    </row>
    <row r="5" spans="1:8" ht="22" customHeight="1">
      <c r="A5" s="1"/>
      <c r="B5" s="1"/>
      <c r="C5" s="1"/>
      <c r="D5" s="1"/>
      <c r="E5" s="1"/>
      <c r="F5" s="1"/>
      <c r="G5" s="1"/>
      <c r="H5" s="1"/>
    </row>
    <row r="6" spans="1:8" ht="32.049999999999997" customHeight="1">
      <c r="A6" s="3" t="s">
        <v>39</v>
      </c>
      <c r="B6" s="3" t="s">
        <v>32</v>
      </c>
      <c r="C6" s="3" t="s">
        <v>40</v>
      </c>
      <c r="D6" s="3" t="s">
        <v>41</v>
      </c>
      <c r="E6" s="3" t="s">
        <v>36</v>
      </c>
      <c r="F6" s="3" t="s">
        <v>42</v>
      </c>
      <c r="G6" s="3" t="s">
        <v>37</v>
      </c>
      <c r="H6" s="1"/>
    </row>
    <row r="7" spans="1:8" ht="22" customHeight="1">
      <c r="A7" s="1">
        <f>IF(AND('Loan Inputs'!$B$12,0*'Loan Inputs'!$B$14+1&lt;=Dashboard!$B$13),1,"")</f>
        <v>1</v>
      </c>
      <c r="B7" s="2">
        <f>IF(A7="","",INDEX('Repayment Schedule'!C7:C2086,0*'Loan Inputs'!$B$14+1))</f>
        <v>650000</v>
      </c>
      <c r="C7" s="2">
        <f>IF(A7="","",SUMIFS('Repayment Schedule'!F7:F2086,'Repayment Schedule'!A7:A2086,"&gt;="&amp;(0*'Loan Inputs'!$B$14+1),'Repayment Schedule'!A7:A2086,"&lt;="&amp;(MIN(1*'Loan Inputs'!$B$14,Dashboard!$B$13))))</f>
        <v>7418.1599644757225</v>
      </c>
      <c r="D7" s="2">
        <f>IF(A7="","",SUMIFS('Repayment Schedule'!E7:E2086,'Repayment Schedule'!A7:A2086,"&gt;="&amp;(0*'Loan Inputs'!$B$14+1),'Repayment Schedule'!A7:A2086,"&lt;="&amp;(MIN(1*'Loan Inputs'!$B$14,Dashboard!$B$13))))</f>
        <v>41320.240449212521</v>
      </c>
      <c r="E7" s="2">
        <f>IF(A7="","",INDEX('Repayment Schedule'!G7:G2086,MIN(1*'Loan Inputs'!$B$14,Dashboard!$B$13)))</f>
        <v>642581.8400355241</v>
      </c>
      <c r="F7" s="2">
        <f>IF(A7="","",SUMIFS('Repayment Schedule'!D7:D2086,'Repayment Schedule'!A7:A2086,"&gt;="&amp;(0*'Loan Inputs'!$B$14+1),'Repayment Schedule'!A7:A2086,"&lt;="&amp;(MIN(1*'Loan Inputs'!$B$14,Dashboard!$B$13))))</f>
        <v>48738.400413688236</v>
      </c>
      <c r="G7" s="2">
        <f>IF(A7="","",SUMIFS('Repayment Schedule'!H7:H2086,'Repayment Schedule'!A7:A2086,"&gt;="&amp;(0*'Loan Inputs'!$B$14+1),'Repayment Schedule'!A7:A2086,"&lt;="&amp;(MIN(1*'Loan Inputs'!$B$14,Dashboard!$B$13))))</f>
        <v>0</v>
      </c>
      <c r="H7" s="1"/>
    </row>
    <row r="8" spans="1:8" ht="22" customHeight="1">
      <c r="A8" s="1">
        <f>IF(AND('Loan Inputs'!$B$12,1*'Loan Inputs'!$B$14+1&lt;=Dashboard!$B$13),2,"")</f>
        <v>2</v>
      </c>
      <c r="B8" s="2">
        <f>IF(A8="","",INDEX('Repayment Schedule'!C7:C2086,1*'Loan Inputs'!$B$14+1))</f>
        <v>642581.8400355241</v>
      </c>
      <c r="C8" s="2">
        <f>IF(A8="","",SUMIFS('Repayment Schedule'!F7:F2086,'Repayment Schedule'!A7:A2086,"&gt;="&amp;(1*'Loan Inputs'!$B$14+1),'Repayment Schedule'!A7:A2086,"&lt;="&amp;(MIN(2*'Loan Inputs'!$B$14,Dashboard!$B$13))))</f>
        <v>7906.3126580479693</v>
      </c>
      <c r="D8" s="2">
        <f>IF(A8="","",SUMIFS('Repayment Schedule'!E7:E2086,'Repayment Schedule'!A7:A2086,"&gt;="&amp;(1*'Loan Inputs'!$B$14+1),'Repayment Schedule'!A7:A2086,"&lt;="&amp;(MIN(2*'Loan Inputs'!$B$14,Dashboard!$B$13))))</f>
        <v>40832.087755640277</v>
      </c>
      <c r="E8" s="2">
        <f>IF(A8="","",INDEX('Repayment Schedule'!G7:G2086,MIN(2*'Loan Inputs'!$B$14,Dashboard!$B$13)))</f>
        <v>634675.52737747633</v>
      </c>
      <c r="F8" s="2">
        <f>IF(A8="","",SUMIFS('Repayment Schedule'!D7:D2086,'Repayment Schedule'!A7:A2086,"&gt;="&amp;(1*'Loan Inputs'!$B$14+1),'Repayment Schedule'!A7:A2086,"&lt;="&amp;(MIN(2*'Loan Inputs'!$B$14,Dashboard!$B$13))))</f>
        <v>48738.400413688236</v>
      </c>
      <c r="G8" s="2">
        <f>IF(A8="","",SUMIFS('Repayment Schedule'!H7:H2086,'Repayment Schedule'!A7:A2086,"&gt;="&amp;(1*'Loan Inputs'!$B$14+1),'Repayment Schedule'!A7:A2086,"&lt;="&amp;(MIN(2*'Loan Inputs'!$B$14,Dashboard!$B$13))))</f>
        <v>0</v>
      </c>
      <c r="H8" s="1"/>
    </row>
    <row r="9" spans="1:8" ht="22" customHeight="1">
      <c r="A9" s="1">
        <f>IF(AND('Loan Inputs'!$B$12,2*'Loan Inputs'!$B$14+1&lt;=Dashboard!$B$13),3,"")</f>
        <v>3</v>
      </c>
      <c r="B9" s="2">
        <f>IF(A9="","",INDEX('Repayment Schedule'!C7:C2086,2*'Loan Inputs'!$B$14+1))</f>
        <v>634675.52737747633</v>
      </c>
      <c r="C9" s="2">
        <f>IF(A9="","",SUMIFS('Repayment Schedule'!F7:F2086,'Repayment Schedule'!A7:A2086,"&gt;="&amp;(2*'Loan Inputs'!$B$14+1),'Repayment Schedule'!A7:A2086,"&lt;="&amp;(MIN(3*'Loan Inputs'!$B$14,Dashboard!$B$13))))</f>
        <v>8426.5882841780131</v>
      </c>
      <c r="D9" s="2">
        <f>IF(A9="","",SUMIFS('Repayment Schedule'!E7:E2086,'Repayment Schedule'!A7:A2086,"&gt;="&amp;(2*'Loan Inputs'!$B$14+1),'Repayment Schedule'!A7:A2086,"&lt;="&amp;(MIN(3*'Loan Inputs'!$B$14,Dashboard!$B$13))))</f>
        <v>40311.812129510232</v>
      </c>
      <c r="E9" s="2">
        <f>IF(A9="","",INDEX('Repayment Schedule'!G7:G2086,MIN(3*'Loan Inputs'!$B$14,Dashboard!$B$13)))</f>
        <v>626248.9390932984</v>
      </c>
      <c r="F9" s="2">
        <f>IF(A9="","",SUMIFS('Repayment Schedule'!D7:D2086,'Repayment Schedule'!A7:A2086,"&gt;="&amp;(2*'Loan Inputs'!$B$14+1),'Repayment Schedule'!A7:A2086,"&lt;="&amp;(MIN(3*'Loan Inputs'!$B$14,Dashboard!$B$13))))</f>
        <v>48738.400413688236</v>
      </c>
      <c r="G9" s="2">
        <f>IF(A9="","",SUMIFS('Repayment Schedule'!H7:H2086,'Repayment Schedule'!A7:A2086,"&gt;="&amp;(2*'Loan Inputs'!$B$14+1),'Repayment Schedule'!A7:A2086,"&lt;="&amp;(MIN(3*'Loan Inputs'!$B$14,Dashboard!$B$13))))</f>
        <v>0</v>
      </c>
      <c r="H9" s="1"/>
    </row>
    <row r="10" spans="1:8" ht="22" customHeight="1">
      <c r="A10" s="1">
        <f>IF(AND('Loan Inputs'!$B$12,3*'Loan Inputs'!$B$14+1&lt;=Dashboard!$B$13),4,"")</f>
        <v>4</v>
      </c>
      <c r="B10" s="2">
        <f>IF(A10="","",INDEX('Repayment Schedule'!C7:C2086,3*'Loan Inputs'!$B$14+1))</f>
        <v>626248.9390932984</v>
      </c>
      <c r="C10" s="2">
        <f>IF(A10="","",SUMIFS('Repayment Schedule'!F7:F2086,'Repayment Schedule'!A7:A2086,"&gt;="&amp;(3*'Loan Inputs'!$B$14+1),'Repayment Schedule'!A7:A2086,"&lt;="&amp;(MIN(4*'Loan Inputs'!$B$14,Dashboard!$B$13))))</f>
        <v>8981.1006953749275</v>
      </c>
      <c r="D10" s="2">
        <f>IF(A10="","",SUMIFS('Repayment Schedule'!E7:E2086,'Repayment Schedule'!A7:A2086,"&gt;="&amp;(3*'Loan Inputs'!$B$14+1),'Repayment Schedule'!A7:A2086,"&lt;="&amp;(MIN(4*'Loan Inputs'!$B$14,Dashboard!$B$13))))</f>
        <v>39757.299718313312</v>
      </c>
      <c r="E10" s="2">
        <f>IF(A10="","",INDEX('Repayment Schedule'!G7:G2086,MIN(4*'Loan Inputs'!$B$14,Dashboard!$B$13)))</f>
        <v>617267.83839792351</v>
      </c>
      <c r="F10" s="2">
        <f>IF(A10="","",SUMIFS('Repayment Schedule'!D7:D2086,'Repayment Schedule'!A7:A2086,"&gt;="&amp;(3*'Loan Inputs'!$B$14+1),'Repayment Schedule'!A7:A2086,"&lt;="&amp;(MIN(4*'Loan Inputs'!$B$14,Dashboard!$B$13))))</f>
        <v>48738.400413688236</v>
      </c>
      <c r="G10" s="2">
        <f>IF(A10="","",SUMIFS('Repayment Schedule'!H7:H2086,'Repayment Schedule'!A7:A2086,"&gt;="&amp;(3*'Loan Inputs'!$B$14+1),'Repayment Schedule'!A7:A2086,"&lt;="&amp;(MIN(4*'Loan Inputs'!$B$14,Dashboard!$B$13))))</f>
        <v>0</v>
      </c>
      <c r="H10" s="1"/>
    </row>
    <row r="11" spans="1:8" ht="22" customHeight="1">
      <c r="A11" s="1">
        <f>IF(AND('Loan Inputs'!$B$12,4*'Loan Inputs'!$B$14+1&lt;=Dashboard!$B$13),5,"")</f>
        <v>5</v>
      </c>
      <c r="B11" s="2">
        <f>IF(A11="","",INDEX('Repayment Schedule'!C7:C2086,4*'Loan Inputs'!$B$14+1))</f>
        <v>617267.83839792351</v>
      </c>
      <c r="C11" s="2">
        <f>IF(A11="","",SUMIFS('Repayment Schedule'!F7:F2086,'Repayment Schedule'!A7:A2086,"&gt;="&amp;(4*'Loan Inputs'!$B$14+1),'Repayment Schedule'!A7:A2086,"&lt;="&amp;(MIN(5*'Loan Inputs'!$B$14,Dashboard!$B$13))))</f>
        <v>9572.1028464050742</v>
      </c>
      <c r="D11" s="2">
        <f>IF(A11="","",SUMIFS('Repayment Schedule'!E7:E2086,'Repayment Schedule'!A7:A2086,"&gt;="&amp;(4*'Loan Inputs'!$B$14+1),'Repayment Schedule'!A7:A2086,"&lt;="&amp;(MIN(5*'Loan Inputs'!$B$14,Dashboard!$B$13))))</f>
        <v>39166.29756728316</v>
      </c>
      <c r="E11" s="2">
        <f>IF(A11="","",INDEX('Repayment Schedule'!G7:G2086,MIN(5*'Loan Inputs'!$B$14,Dashboard!$B$13)))</f>
        <v>607695.73555151839</v>
      </c>
      <c r="F11" s="2">
        <f>IF(A11="","",SUMIFS('Repayment Schedule'!D7:D2086,'Repayment Schedule'!A7:A2086,"&gt;="&amp;(4*'Loan Inputs'!$B$14+1),'Repayment Schedule'!A7:A2086,"&lt;="&amp;(MIN(5*'Loan Inputs'!$B$14,Dashboard!$B$13))))</f>
        <v>48738.400413688236</v>
      </c>
      <c r="G11" s="2">
        <f>IF(A11="","",SUMIFS('Repayment Schedule'!H7:H2086,'Repayment Schedule'!A7:A2086,"&gt;="&amp;(4*'Loan Inputs'!$B$14+1),'Repayment Schedule'!A7:A2086,"&lt;="&amp;(MIN(5*'Loan Inputs'!$B$14,Dashboard!$B$13))))</f>
        <v>0</v>
      </c>
      <c r="H11" s="1"/>
    </row>
    <row r="12" spans="1:8" ht="22" customHeight="1">
      <c r="A12" s="1">
        <f>IF(AND('Loan Inputs'!$B$12,5*'Loan Inputs'!$B$14+1&lt;=Dashboard!$B$13),6,"")</f>
        <v>6</v>
      </c>
      <c r="B12" s="2">
        <f>IF(A12="","",INDEX('Repayment Schedule'!C7:C2086,5*'Loan Inputs'!$B$14+1))</f>
        <v>607695.73555151839</v>
      </c>
      <c r="C12" s="2">
        <f>IF(A12="","",SUMIFS('Repayment Schedule'!F7:F2086,'Repayment Schedule'!A7:A2086,"&gt;="&amp;(5*'Loan Inputs'!$B$14+1),'Repayment Schedule'!A7:A2086,"&lt;="&amp;(MIN(6*'Loan Inputs'!$B$14,Dashboard!$B$13))))</f>
        <v>10201.995947928874</v>
      </c>
      <c r="D12" s="2">
        <f>IF(A12="","",SUMIFS('Repayment Schedule'!E7:E2086,'Repayment Schedule'!A7:A2086,"&gt;="&amp;(5*'Loan Inputs'!$B$14+1),'Repayment Schedule'!A7:A2086,"&lt;="&amp;(MIN(6*'Loan Inputs'!$B$14,Dashboard!$B$13))))</f>
        <v>38536.404465759362</v>
      </c>
      <c r="E12" s="2">
        <f>IF(A12="","",INDEX('Repayment Schedule'!G7:G2086,MIN(6*'Loan Inputs'!$B$14,Dashboard!$B$13)))</f>
        <v>597493.73960358941</v>
      </c>
      <c r="F12" s="2">
        <f>IF(A12="","",SUMIFS('Repayment Schedule'!D7:D2086,'Repayment Schedule'!A7:A2086,"&gt;="&amp;(5*'Loan Inputs'!$B$14+1),'Repayment Schedule'!A7:A2086,"&lt;="&amp;(MIN(6*'Loan Inputs'!$B$14,Dashboard!$B$13))))</f>
        <v>48738.400413688236</v>
      </c>
      <c r="G12" s="2">
        <f>IF(A12="","",SUMIFS('Repayment Schedule'!H7:H2086,'Repayment Schedule'!A7:A2086,"&gt;="&amp;(5*'Loan Inputs'!$B$14+1),'Repayment Schedule'!A7:A2086,"&lt;="&amp;(MIN(6*'Loan Inputs'!$B$14,Dashboard!$B$13))))</f>
        <v>0</v>
      </c>
      <c r="H12" s="1"/>
    </row>
    <row r="13" spans="1:8" ht="22" customHeight="1">
      <c r="A13" s="1">
        <f>IF(AND('Loan Inputs'!$B$12,6*'Loan Inputs'!$B$14+1&lt;=Dashboard!$B$13),7,"")</f>
        <v>7</v>
      </c>
      <c r="B13" s="2">
        <f>IF(A13="","",INDEX('Repayment Schedule'!C7:C2086,6*'Loan Inputs'!$B$14+1))</f>
        <v>597493.73960358941</v>
      </c>
      <c r="C13" s="2">
        <f>IF(A13="","",SUMIFS('Repayment Schedule'!F7:F2086,'Repayment Schedule'!A7:A2086,"&gt;="&amp;(6*'Loan Inputs'!$B$14+1),'Repayment Schedule'!A7:A2086,"&lt;="&amp;(MIN(7*'Loan Inputs'!$B$14,Dashboard!$B$13))))</f>
        <v>10873.339222493407</v>
      </c>
      <c r="D13" s="2">
        <f>IF(A13="","",SUMIFS('Repayment Schedule'!E7:E2086,'Repayment Schedule'!A7:A2086,"&gt;="&amp;(6*'Loan Inputs'!$B$14+1),'Repayment Schedule'!A7:A2086,"&lt;="&amp;(MIN(7*'Loan Inputs'!$B$14,Dashboard!$B$13))))</f>
        <v>37865.061191194836</v>
      </c>
      <c r="E13" s="2">
        <f>IF(A13="","",INDEX('Repayment Schedule'!G7:G2086,MIN(7*'Loan Inputs'!$B$14,Dashboard!$B$13)))</f>
        <v>586620.40038109606</v>
      </c>
      <c r="F13" s="2">
        <f>IF(A13="","",SUMIFS('Repayment Schedule'!D7:D2086,'Repayment Schedule'!A7:A2086,"&gt;="&amp;(6*'Loan Inputs'!$B$14+1),'Repayment Schedule'!A7:A2086,"&lt;="&amp;(MIN(7*'Loan Inputs'!$B$14,Dashboard!$B$13))))</f>
        <v>48738.400413688236</v>
      </c>
      <c r="G13" s="2">
        <f>IF(A13="","",SUMIFS('Repayment Schedule'!H7:H2086,'Repayment Schedule'!A7:A2086,"&gt;="&amp;(6*'Loan Inputs'!$B$14+1),'Repayment Schedule'!A7:A2086,"&lt;="&amp;(MIN(7*'Loan Inputs'!$B$14,Dashboard!$B$13))))</f>
        <v>0</v>
      </c>
      <c r="H13" s="1"/>
    </row>
    <row r="14" spans="1:8" ht="22" customHeight="1">
      <c r="A14" s="1">
        <f>IF(AND('Loan Inputs'!$B$12,7*'Loan Inputs'!$B$14+1&lt;=Dashboard!$B$13),8,"")</f>
        <v>8</v>
      </c>
      <c r="B14" s="2">
        <f>IF(A14="","",INDEX('Repayment Schedule'!C7:C2086,7*'Loan Inputs'!$B$14+1))</f>
        <v>586620.40038109606</v>
      </c>
      <c r="C14" s="2">
        <f>IF(A14="","",SUMIFS('Repayment Schedule'!F7:F2086,'Repayment Schedule'!A7:A2086,"&gt;="&amp;(7*'Loan Inputs'!$B$14+1),'Repayment Schedule'!A7:A2086,"&lt;="&amp;(MIN(8*'Loan Inputs'!$B$14,Dashboard!$B$13))))</f>
        <v>11588.860302519082</v>
      </c>
      <c r="D14" s="2">
        <f>IF(A14="","",SUMIFS('Repayment Schedule'!E7:E2086,'Repayment Schedule'!A7:A2086,"&gt;="&amp;(7*'Loan Inputs'!$B$14+1),'Repayment Schedule'!A7:A2086,"&lt;="&amp;(MIN(8*'Loan Inputs'!$B$14,Dashboard!$B$13))))</f>
        <v>37149.540111169161</v>
      </c>
      <c r="E14" s="2">
        <f>IF(A14="","",INDEX('Repayment Schedule'!G7:G2086,MIN(8*'Loan Inputs'!$B$14,Dashboard!$B$13)))</f>
        <v>575031.540078577</v>
      </c>
      <c r="F14" s="2">
        <f>IF(A14="","",SUMIFS('Repayment Schedule'!D7:D2086,'Repayment Schedule'!A7:A2086,"&gt;="&amp;(7*'Loan Inputs'!$B$14+1),'Repayment Schedule'!A7:A2086,"&lt;="&amp;(MIN(8*'Loan Inputs'!$B$14,Dashboard!$B$13))))</f>
        <v>48738.400413688236</v>
      </c>
      <c r="G14" s="2">
        <f>IF(A14="","",SUMIFS('Repayment Schedule'!H7:H2086,'Repayment Schedule'!A7:A2086,"&gt;="&amp;(7*'Loan Inputs'!$B$14+1),'Repayment Schedule'!A7:A2086,"&lt;="&amp;(MIN(8*'Loan Inputs'!$B$14,Dashboard!$B$13))))</f>
        <v>0</v>
      </c>
      <c r="H14" s="1"/>
    </row>
    <row r="15" spans="1:8" ht="22" customHeight="1">
      <c r="A15" s="1">
        <f>IF(AND('Loan Inputs'!$B$12,8*'Loan Inputs'!$B$14+1&lt;=Dashboard!$B$13),9,"")</f>
        <v>9</v>
      </c>
      <c r="B15" s="2">
        <f>IF(A15="","",INDEX('Repayment Schedule'!C7:C2086,8*'Loan Inputs'!$B$14+1))</f>
        <v>575031.540078577</v>
      </c>
      <c r="C15" s="2">
        <f>IF(A15="","",SUMIFS('Repayment Schedule'!F7:F2086,'Repayment Schedule'!A7:A2086,"&gt;="&amp;(8*'Loan Inputs'!$B$14+1),'Repayment Schedule'!A7:A2086,"&lt;="&amp;(MIN(9*'Loan Inputs'!$B$14,Dashboard!$B$13))))</f>
        <v>12351.466312526714</v>
      </c>
      <c r="D15" s="2">
        <f>IF(A15="","",SUMIFS('Repayment Schedule'!E7:E2086,'Repayment Schedule'!A7:A2086,"&gt;="&amp;(8*'Loan Inputs'!$B$14+1),'Repayment Schedule'!A7:A2086,"&lt;="&amp;(MIN(9*'Loan Inputs'!$B$14,Dashboard!$B$13))))</f>
        <v>36386.934101161518</v>
      </c>
      <c r="E15" s="2">
        <f>IF(A15="","",INDEX('Repayment Schedule'!G7:G2086,MIN(9*'Loan Inputs'!$B$14,Dashboard!$B$13)))</f>
        <v>562680.07376605051</v>
      </c>
      <c r="F15" s="2">
        <f>IF(A15="","",SUMIFS('Repayment Schedule'!D7:D2086,'Repayment Schedule'!A7:A2086,"&gt;="&amp;(8*'Loan Inputs'!$B$14+1),'Repayment Schedule'!A7:A2086,"&lt;="&amp;(MIN(9*'Loan Inputs'!$B$14,Dashboard!$B$13))))</f>
        <v>48738.400413688236</v>
      </c>
      <c r="G15" s="2">
        <f>IF(A15="","",SUMIFS('Repayment Schedule'!H7:H2086,'Repayment Schedule'!A7:A2086,"&gt;="&amp;(8*'Loan Inputs'!$B$14+1),'Repayment Schedule'!A7:A2086,"&lt;="&amp;(MIN(9*'Loan Inputs'!$B$14,Dashboard!$B$13))))</f>
        <v>0</v>
      </c>
      <c r="H15" s="1"/>
    </row>
    <row r="16" spans="1:8" ht="22" customHeight="1">
      <c r="A16" s="1">
        <f>IF(AND('Loan Inputs'!$B$12,9*'Loan Inputs'!$B$14+1&lt;=Dashboard!$B$13),10,"")</f>
        <v>10</v>
      </c>
      <c r="B16" s="2">
        <f>IF(A16="","",INDEX('Repayment Schedule'!C7:C2086,9*'Loan Inputs'!$B$14+1))</f>
        <v>562680.07376605051</v>
      </c>
      <c r="C16" s="2">
        <f>IF(A16="","",SUMIFS('Repayment Schedule'!F7:F2086,'Repayment Schedule'!A7:A2086,"&gt;="&amp;(9*'Loan Inputs'!$B$14+1),'Repayment Schedule'!A7:A2086,"&lt;="&amp;(MIN(10*'Loan Inputs'!$B$14,Dashboard!$B$13))))</f>
        <v>13164.255680631539</v>
      </c>
      <c r="D16" s="2">
        <f>IF(A16="","",SUMIFS('Repayment Schedule'!E7:E2086,'Repayment Schedule'!A7:A2086,"&gt;="&amp;(9*'Loan Inputs'!$B$14+1),'Repayment Schedule'!A7:A2086,"&lt;="&amp;(MIN(10*'Loan Inputs'!$B$14,Dashboard!$B$13))))</f>
        <v>35574.144733056703</v>
      </c>
      <c r="E16" s="2">
        <f>IF(A16="","",INDEX('Repayment Schedule'!G7:G2086,MIN(10*'Loan Inputs'!$B$14,Dashboard!$B$13)))</f>
        <v>549515.81808541901</v>
      </c>
      <c r="F16" s="2">
        <f>IF(A16="","",SUMIFS('Repayment Schedule'!D7:D2086,'Repayment Schedule'!A7:A2086,"&gt;="&amp;(9*'Loan Inputs'!$B$14+1),'Repayment Schedule'!A7:A2086,"&lt;="&amp;(MIN(10*'Loan Inputs'!$B$14,Dashboard!$B$13))))</f>
        <v>48738.400413688236</v>
      </c>
      <c r="G16" s="2">
        <f>IF(A16="","",SUMIFS('Repayment Schedule'!H7:H2086,'Repayment Schedule'!A7:A2086,"&gt;="&amp;(9*'Loan Inputs'!$B$14+1),'Repayment Schedule'!A7:A2086,"&lt;="&amp;(MIN(10*'Loan Inputs'!$B$14,Dashboard!$B$13))))</f>
        <v>0</v>
      </c>
      <c r="H16" s="1"/>
    </row>
    <row r="17" spans="1:8" ht="22" customHeight="1">
      <c r="A17" s="1">
        <f>IF(AND('Loan Inputs'!$B$12,10*'Loan Inputs'!$B$14+1&lt;=Dashboard!$B$13),11,"")</f>
        <v>11</v>
      </c>
      <c r="B17" s="2">
        <f>IF(A17="","",INDEX('Repayment Schedule'!C7:C2086,10*'Loan Inputs'!$B$14+1))</f>
        <v>549515.81808541901</v>
      </c>
      <c r="C17" s="2">
        <f>IF(A17="","",SUMIFS('Repayment Schedule'!F7:F2086,'Repayment Schedule'!A7:A2086,"&gt;="&amp;(10*'Loan Inputs'!$B$14+1),'Repayment Schedule'!A7:A2086,"&lt;="&amp;(MIN(11*'Loan Inputs'!$B$14,Dashboard!$B$13))))</f>
        <v>14030.530727293768</v>
      </c>
      <c r="D17" s="2">
        <f>IF(A17="","",SUMIFS('Repayment Schedule'!E7:E2086,'Repayment Schedule'!A7:A2086,"&gt;="&amp;(10*'Loan Inputs'!$B$14+1),'Repayment Schedule'!A7:A2086,"&lt;="&amp;(MIN(11*'Loan Inputs'!$B$14,Dashboard!$B$13))))</f>
        <v>34707.869686394472</v>
      </c>
      <c r="E17" s="2">
        <f>IF(A17="","",INDEX('Repayment Schedule'!G7:G2086,MIN(11*'Loan Inputs'!$B$14,Dashboard!$B$13)))</f>
        <v>535485.28735812509</v>
      </c>
      <c r="F17" s="2">
        <f>IF(A17="","",SUMIFS('Repayment Schedule'!D7:D2086,'Repayment Schedule'!A7:A2086,"&gt;="&amp;(10*'Loan Inputs'!$B$14+1),'Repayment Schedule'!A7:A2086,"&lt;="&amp;(MIN(11*'Loan Inputs'!$B$14,Dashboard!$B$13))))</f>
        <v>48738.400413688236</v>
      </c>
      <c r="G17" s="2">
        <f>IF(A17="","",SUMIFS('Repayment Schedule'!H7:H2086,'Repayment Schedule'!A7:A2086,"&gt;="&amp;(10*'Loan Inputs'!$B$14+1),'Repayment Schedule'!A7:A2086,"&lt;="&amp;(MIN(11*'Loan Inputs'!$B$14,Dashboard!$B$13))))</f>
        <v>0</v>
      </c>
      <c r="H17" s="1"/>
    </row>
    <row r="18" spans="1:8" ht="22" customHeight="1">
      <c r="A18" s="1">
        <f>IF(AND('Loan Inputs'!$B$12,11*'Loan Inputs'!$B$14+1&lt;=Dashboard!$B$13),12,"")</f>
        <v>12</v>
      </c>
      <c r="B18" s="2">
        <f>IF(A18="","",INDEX('Repayment Schedule'!C7:C2086,11*'Loan Inputs'!$B$14+1))</f>
        <v>535485.28735812509</v>
      </c>
      <c r="C18" s="2">
        <f>IF(A18="","",SUMIFS('Repayment Schedule'!F7:F2086,'Repayment Schedule'!A7:A2086,"&gt;="&amp;(11*'Loan Inputs'!$B$14+1),'Repayment Schedule'!A7:A2086,"&lt;="&amp;(MIN(12*'Loan Inputs'!$B$14,Dashboard!$B$13))))</f>
        <v>14953.811082472897</v>
      </c>
      <c r="D18" s="2">
        <f>IF(A18="","",SUMIFS('Repayment Schedule'!E7:E2086,'Repayment Schedule'!A7:A2086,"&gt;="&amp;(11*'Loan Inputs'!$B$14+1),'Repayment Schedule'!A7:A2086,"&lt;="&amp;(MIN(12*'Loan Inputs'!$B$14,Dashboard!$B$13))))</f>
        <v>33784.589331215342</v>
      </c>
      <c r="E18" s="2">
        <f>IF(A18="","",INDEX('Repayment Schedule'!G7:G2086,MIN(12*'Loan Inputs'!$B$14,Dashboard!$B$13)))</f>
        <v>520531.47627565206</v>
      </c>
      <c r="F18" s="2">
        <f>IF(A18="","",SUMIFS('Repayment Schedule'!D7:D2086,'Repayment Schedule'!A7:A2086,"&gt;="&amp;(11*'Loan Inputs'!$B$14+1),'Repayment Schedule'!A7:A2086,"&lt;="&amp;(MIN(12*'Loan Inputs'!$B$14,Dashboard!$B$13))))</f>
        <v>48738.400413688236</v>
      </c>
      <c r="G18" s="2">
        <f>IF(A18="","",SUMIFS('Repayment Schedule'!H7:H2086,'Repayment Schedule'!A7:A2086,"&gt;="&amp;(11*'Loan Inputs'!$B$14+1),'Repayment Schedule'!A7:A2086,"&lt;="&amp;(MIN(12*'Loan Inputs'!$B$14,Dashboard!$B$13))))</f>
        <v>0</v>
      </c>
      <c r="H18" s="1"/>
    </row>
    <row r="19" spans="1:8" ht="22" customHeight="1">
      <c r="A19" s="1">
        <f>IF(AND('Loan Inputs'!$B$12,12*'Loan Inputs'!$B$14+1&lt;=Dashboard!$B$13),13,"")</f>
        <v>13</v>
      </c>
      <c r="B19" s="2">
        <f>IF(A19="","",INDEX('Repayment Schedule'!C7:C2086,12*'Loan Inputs'!$B$14+1))</f>
        <v>520531.47627565206</v>
      </c>
      <c r="C19" s="2">
        <f>IF(A19="","",SUMIFS('Repayment Schedule'!F7:F2086,'Repayment Schedule'!A7:A2086,"&gt;="&amp;(12*'Loan Inputs'!$B$14+1),'Repayment Schedule'!A7:A2086,"&lt;="&amp;(MIN(13*'Loan Inputs'!$B$14,Dashboard!$B$13))))</f>
        <v>15937.847985699162</v>
      </c>
      <c r="D19" s="2">
        <f>IF(A19="","",SUMIFS('Repayment Schedule'!E7:E2086,'Repayment Schedule'!A7:A2086,"&gt;="&amp;(12*'Loan Inputs'!$B$14+1),'Repayment Schedule'!A7:A2086,"&lt;="&amp;(MIN(13*'Loan Inputs'!$B$14,Dashboard!$B$13))))</f>
        <v>32800.552427989081</v>
      </c>
      <c r="E19" s="2">
        <f>IF(A19="","",INDEX('Repayment Schedule'!G7:G2086,MIN(13*'Loan Inputs'!$B$14,Dashboard!$B$13)))</f>
        <v>504593.62828995282</v>
      </c>
      <c r="F19" s="2">
        <f>IF(A19="","",SUMIFS('Repayment Schedule'!D7:D2086,'Repayment Schedule'!A7:A2086,"&gt;="&amp;(12*'Loan Inputs'!$B$14+1),'Repayment Schedule'!A7:A2086,"&lt;="&amp;(MIN(13*'Loan Inputs'!$B$14,Dashboard!$B$13))))</f>
        <v>48738.400413688236</v>
      </c>
      <c r="G19" s="2">
        <f>IF(A19="","",SUMIFS('Repayment Schedule'!H7:H2086,'Repayment Schedule'!A7:A2086,"&gt;="&amp;(12*'Loan Inputs'!$B$14+1),'Repayment Schedule'!A7:A2086,"&lt;="&amp;(MIN(13*'Loan Inputs'!$B$14,Dashboard!$B$13))))</f>
        <v>0</v>
      </c>
      <c r="H19" s="1"/>
    </row>
    <row r="20" spans="1:8" ht="22" customHeight="1">
      <c r="A20" s="1">
        <f>IF(AND('Loan Inputs'!$B$12,13*'Loan Inputs'!$B$14+1&lt;=Dashboard!$B$13),14,"")</f>
        <v>14</v>
      </c>
      <c r="B20" s="2">
        <f>IF(A20="","",INDEX('Repayment Schedule'!C7:C2086,13*'Loan Inputs'!$B$14+1))</f>
        <v>504593.62828995282</v>
      </c>
      <c r="C20" s="2">
        <f>IF(A20="","",SUMIFS('Repayment Schedule'!F7:F2086,'Repayment Schedule'!A7:A2086,"&gt;="&amp;(13*'Loan Inputs'!$B$14+1),'Repayment Schedule'!A7:A2086,"&lt;="&amp;(MIN(14*'Loan Inputs'!$B$14,Dashboard!$B$13))))</f>
        <v>16986.639527162501</v>
      </c>
      <c r="D20" s="2">
        <f>IF(A20="","",SUMIFS('Repayment Schedule'!E7:E2086,'Repayment Schedule'!A7:A2086,"&gt;="&amp;(13*'Loan Inputs'!$B$14+1),'Repayment Schedule'!A7:A2086,"&lt;="&amp;(MIN(14*'Loan Inputs'!$B$14,Dashboard!$B$13))))</f>
        <v>31751.760886525743</v>
      </c>
      <c r="E20" s="2">
        <f>IF(A20="","",INDEX('Repayment Schedule'!G7:G2086,MIN(14*'Loan Inputs'!$B$14,Dashboard!$B$13)))</f>
        <v>487606.98876279028</v>
      </c>
      <c r="F20" s="2">
        <f>IF(A20="","",SUMIFS('Repayment Schedule'!D7:D2086,'Repayment Schedule'!A7:A2086,"&gt;="&amp;(13*'Loan Inputs'!$B$14+1),'Repayment Schedule'!A7:A2086,"&lt;="&amp;(MIN(14*'Loan Inputs'!$B$14,Dashboard!$B$13))))</f>
        <v>48738.400413688236</v>
      </c>
      <c r="G20" s="2">
        <f>IF(A20="","",SUMIFS('Repayment Schedule'!H7:H2086,'Repayment Schedule'!A7:A2086,"&gt;="&amp;(13*'Loan Inputs'!$B$14+1),'Repayment Schedule'!A7:A2086,"&lt;="&amp;(MIN(14*'Loan Inputs'!$B$14,Dashboard!$B$13))))</f>
        <v>0</v>
      </c>
      <c r="H20" s="1"/>
    </row>
    <row r="21" spans="1:8" ht="22" customHeight="1">
      <c r="A21" s="1">
        <f>IF(AND('Loan Inputs'!$B$12,14*'Loan Inputs'!$B$14+1&lt;=Dashboard!$B$13),15,"")</f>
        <v>15</v>
      </c>
      <c r="B21" s="2">
        <f>IF(A21="","",INDEX('Repayment Schedule'!C7:C2086,14*'Loan Inputs'!$B$14+1))</f>
        <v>487606.98876279028</v>
      </c>
      <c r="C21" s="2">
        <f>IF(A21="","",SUMIFS('Repayment Schedule'!F7:F2086,'Repayment Schedule'!A7:A2086,"&gt;="&amp;(14*'Loan Inputs'!$B$14+1),'Repayment Schedule'!A7:A2086,"&lt;="&amp;(MIN(15*'Loan Inputs'!$B$14,Dashboard!$B$13))))</f>
        <v>18104.446891742733</v>
      </c>
      <c r="D21" s="2">
        <f>IF(A21="","",SUMIFS('Repayment Schedule'!E7:E2086,'Repayment Schedule'!A7:A2086,"&gt;="&amp;(14*'Loan Inputs'!$B$14+1),'Repayment Schedule'!A7:A2086,"&lt;="&amp;(MIN(15*'Loan Inputs'!$B$14,Dashboard!$B$13))))</f>
        <v>30633.953521945507</v>
      </c>
      <c r="E21" s="2">
        <f>IF(A21="","",INDEX('Repayment Schedule'!G7:G2086,MIN(15*'Loan Inputs'!$B$14,Dashboard!$B$13)))</f>
        <v>469502.54187104764</v>
      </c>
      <c r="F21" s="2">
        <f>IF(A21="","",SUMIFS('Repayment Schedule'!D7:D2086,'Repayment Schedule'!A7:A2086,"&gt;="&amp;(14*'Loan Inputs'!$B$14+1),'Repayment Schedule'!A7:A2086,"&lt;="&amp;(MIN(15*'Loan Inputs'!$B$14,Dashboard!$B$13))))</f>
        <v>48738.400413688236</v>
      </c>
      <c r="G21" s="2">
        <f>IF(A21="","",SUMIFS('Repayment Schedule'!H7:H2086,'Repayment Schedule'!A7:A2086,"&gt;="&amp;(14*'Loan Inputs'!$B$14+1),'Repayment Schedule'!A7:A2086,"&lt;="&amp;(MIN(15*'Loan Inputs'!$B$14,Dashboard!$B$13))))</f>
        <v>0</v>
      </c>
      <c r="H21" s="1"/>
    </row>
    <row r="22" spans="1:8" ht="22" customHeight="1">
      <c r="A22" s="1">
        <f>IF(AND('Loan Inputs'!$B$12,15*'Loan Inputs'!$B$14+1&lt;=Dashboard!$B$13),16,"")</f>
        <v>16</v>
      </c>
      <c r="B22" s="2">
        <f>IF(A22="","",INDEX('Repayment Schedule'!C7:C2086,15*'Loan Inputs'!$B$14+1))</f>
        <v>469502.54187104764</v>
      </c>
      <c r="C22" s="2">
        <f>IF(A22="","",SUMIFS('Repayment Schedule'!F7:F2086,'Repayment Schedule'!A7:A2086,"&gt;="&amp;(15*'Loan Inputs'!$B$14+1),'Repayment Schedule'!A7:A2086,"&lt;="&amp;(MIN(16*'Loan Inputs'!$B$14,Dashboard!$B$13))))</f>
        <v>19295.811671979649</v>
      </c>
      <c r="D22" s="2">
        <f>IF(A22="","",SUMIFS('Repayment Schedule'!E7:E2086,'Repayment Schedule'!A7:A2086,"&gt;="&amp;(15*'Loan Inputs'!$B$14+1),'Repayment Schedule'!A7:A2086,"&lt;="&amp;(MIN(16*'Loan Inputs'!$B$14,Dashboard!$B$13))))</f>
        <v>29442.588741708583</v>
      </c>
      <c r="E22" s="2">
        <f>IF(A22="","",INDEX('Repayment Schedule'!G7:G2086,MIN(16*'Loan Inputs'!$B$14,Dashboard!$B$13)))</f>
        <v>450206.73019906797</v>
      </c>
      <c r="F22" s="2">
        <f>IF(A22="","",SUMIFS('Repayment Schedule'!D7:D2086,'Repayment Schedule'!A7:A2086,"&gt;="&amp;(15*'Loan Inputs'!$B$14+1),'Repayment Schedule'!A7:A2086,"&lt;="&amp;(MIN(16*'Loan Inputs'!$B$14,Dashboard!$B$13))))</f>
        <v>48738.400413688236</v>
      </c>
      <c r="G22" s="2">
        <f>IF(A22="","",SUMIFS('Repayment Schedule'!H7:H2086,'Repayment Schedule'!A7:A2086,"&gt;="&amp;(15*'Loan Inputs'!$B$14+1),'Repayment Schedule'!A7:A2086,"&lt;="&amp;(MIN(16*'Loan Inputs'!$B$14,Dashboard!$B$13))))</f>
        <v>0</v>
      </c>
      <c r="H22" s="1"/>
    </row>
    <row r="23" spans="1:8" ht="22" customHeight="1">
      <c r="A23" s="1">
        <f>IF(AND('Loan Inputs'!$B$12,16*'Loan Inputs'!$B$14+1&lt;=Dashboard!$B$13),17,"")</f>
        <v>17</v>
      </c>
      <c r="B23" s="2">
        <f>IF(A23="","",INDEX('Repayment Schedule'!C7:C2086,16*'Loan Inputs'!$B$14+1))</f>
        <v>450206.73019906797</v>
      </c>
      <c r="C23" s="2">
        <f>IF(A23="","",SUMIFS('Repayment Schedule'!F7:F2086,'Repayment Schedule'!A7:A2086,"&gt;="&amp;(16*'Loan Inputs'!$B$14+1),'Repayment Schedule'!A7:A2086,"&lt;="&amp;(MIN(17*'Loan Inputs'!$B$14,Dashboard!$B$13))))</f>
        <v>20565.574320324678</v>
      </c>
      <c r="D23" s="2">
        <f>IF(A23="","",SUMIFS('Repayment Schedule'!E7:E2086,'Repayment Schedule'!A7:A2086,"&gt;="&amp;(16*'Loan Inputs'!$B$14+1),'Repayment Schedule'!A7:A2086,"&lt;="&amp;(MIN(17*'Loan Inputs'!$B$14,Dashboard!$B$13))))</f>
        <v>28172.826093363565</v>
      </c>
      <c r="E23" s="2">
        <f>IF(A23="","",INDEX('Repayment Schedule'!G7:G2086,MIN(17*'Loan Inputs'!$B$14,Dashboard!$B$13)))</f>
        <v>429641.15587874333</v>
      </c>
      <c r="F23" s="2">
        <f>IF(A23="","",SUMIFS('Repayment Schedule'!D7:D2086,'Repayment Schedule'!A7:A2086,"&gt;="&amp;(16*'Loan Inputs'!$B$14+1),'Repayment Schedule'!A7:A2086,"&lt;="&amp;(MIN(17*'Loan Inputs'!$B$14,Dashboard!$B$13))))</f>
        <v>48738.400413688236</v>
      </c>
      <c r="G23" s="2">
        <f>IF(A23="","",SUMIFS('Repayment Schedule'!H7:H2086,'Repayment Schedule'!A7:A2086,"&gt;="&amp;(16*'Loan Inputs'!$B$14+1),'Repayment Schedule'!A7:A2086,"&lt;="&amp;(MIN(17*'Loan Inputs'!$B$14,Dashboard!$B$13))))</f>
        <v>0</v>
      </c>
      <c r="H23" s="1"/>
    </row>
    <row r="24" spans="1:8" ht="22" customHeight="1">
      <c r="A24" s="1">
        <f>IF(AND('Loan Inputs'!$B$12,17*'Loan Inputs'!$B$14+1&lt;=Dashboard!$B$13),18,"")</f>
        <v>18</v>
      </c>
      <c r="B24" s="2">
        <f>IF(A24="","",INDEX('Repayment Schedule'!C7:C2086,17*'Loan Inputs'!$B$14+1))</f>
        <v>429641.15587874333</v>
      </c>
      <c r="C24" s="2">
        <f>IF(A24="","",SUMIFS('Repayment Schedule'!F7:F2086,'Repayment Schedule'!A7:A2086,"&gt;="&amp;(17*'Loan Inputs'!$B$14+1),'Repayment Schedule'!A7:A2086,"&lt;="&amp;(MIN(18*'Loan Inputs'!$B$14,Dashboard!$B$13))))</f>
        <v>21918.893815644598</v>
      </c>
      <c r="D24" s="2">
        <f>IF(A24="","",SUMIFS('Repayment Schedule'!E7:E2086,'Repayment Schedule'!A7:A2086,"&gt;="&amp;(17*'Loan Inputs'!$B$14+1),'Repayment Schedule'!A7:A2086,"&lt;="&amp;(MIN(18*'Loan Inputs'!$B$14,Dashboard!$B$13))))</f>
        <v>26819.506598043641</v>
      </c>
      <c r="E24" s="2">
        <f>IF(A24="","",INDEX('Repayment Schedule'!G7:G2086,MIN(18*'Loan Inputs'!$B$14,Dashboard!$B$13)))</f>
        <v>407722.26206309878</v>
      </c>
      <c r="F24" s="2">
        <f>IF(A24="","",SUMIFS('Repayment Schedule'!D7:D2086,'Repayment Schedule'!A7:A2086,"&gt;="&amp;(17*'Loan Inputs'!$B$14+1),'Repayment Schedule'!A7:A2086,"&lt;="&amp;(MIN(18*'Loan Inputs'!$B$14,Dashboard!$B$13))))</f>
        <v>48738.400413688236</v>
      </c>
      <c r="G24" s="2">
        <f>IF(A24="","",SUMIFS('Repayment Schedule'!H7:H2086,'Repayment Schedule'!A7:A2086,"&gt;="&amp;(17*'Loan Inputs'!$B$14+1),'Repayment Schedule'!A7:A2086,"&lt;="&amp;(MIN(18*'Loan Inputs'!$B$14,Dashboard!$B$13))))</f>
        <v>0</v>
      </c>
      <c r="H24" s="1"/>
    </row>
    <row r="25" spans="1:8" ht="22" customHeight="1">
      <c r="A25" s="1">
        <f>IF(AND('Loan Inputs'!$B$12,18*'Loan Inputs'!$B$14+1&lt;=Dashboard!$B$13),19,"")</f>
        <v>19</v>
      </c>
      <c r="B25" s="2">
        <f>IF(A25="","",INDEX('Repayment Schedule'!C7:C2086,18*'Loan Inputs'!$B$14+1))</f>
        <v>407722.26206309878</v>
      </c>
      <c r="C25" s="2">
        <f>IF(A25="","",SUMIFS('Repayment Schedule'!F7:F2086,'Repayment Schedule'!A7:A2086,"&gt;="&amp;(18*'Loan Inputs'!$B$14+1),'Repayment Schedule'!A7:A2086,"&lt;="&amp;(MIN(19*'Loan Inputs'!$B$14,Dashboard!$B$13))))</f>
        <v>23361.268623881453</v>
      </c>
      <c r="D25" s="2">
        <f>IF(A25="","",SUMIFS('Repayment Schedule'!E7:E2086,'Repayment Schedule'!A7:A2086,"&gt;="&amp;(18*'Loan Inputs'!$B$14+1),'Repayment Schedule'!A7:A2086,"&lt;="&amp;(MIN(19*'Loan Inputs'!$B$14,Dashboard!$B$13))))</f>
        <v>25377.131789806786</v>
      </c>
      <c r="E25" s="2">
        <f>IF(A25="","",INDEX('Repayment Schedule'!G7:G2086,MIN(19*'Loan Inputs'!$B$14,Dashboard!$B$13)))</f>
        <v>384360.99343921733</v>
      </c>
      <c r="F25" s="2">
        <f>IF(A25="","",SUMIFS('Repayment Schedule'!D7:D2086,'Repayment Schedule'!A7:A2086,"&gt;="&amp;(18*'Loan Inputs'!$B$14+1),'Repayment Schedule'!A7:A2086,"&lt;="&amp;(MIN(19*'Loan Inputs'!$B$14,Dashboard!$B$13))))</f>
        <v>48738.400413688236</v>
      </c>
      <c r="G25" s="2">
        <f>IF(A25="","",SUMIFS('Repayment Schedule'!H7:H2086,'Repayment Schedule'!A7:A2086,"&gt;="&amp;(18*'Loan Inputs'!$B$14+1),'Repayment Schedule'!A7:A2086,"&lt;="&amp;(MIN(19*'Loan Inputs'!$B$14,Dashboard!$B$13))))</f>
        <v>0</v>
      </c>
      <c r="H25" s="1"/>
    </row>
    <row r="26" spans="1:8" ht="22" customHeight="1">
      <c r="A26" s="1">
        <f>IF(AND('Loan Inputs'!$B$12,19*'Loan Inputs'!$B$14+1&lt;=Dashboard!$B$13),20,"")</f>
        <v>20</v>
      </c>
      <c r="B26" s="2">
        <f>IF(A26="","",INDEX('Repayment Schedule'!C7:C2086,19*'Loan Inputs'!$B$14+1))</f>
        <v>384360.99343921733</v>
      </c>
      <c r="C26" s="2">
        <f>IF(A26="","",SUMIFS('Repayment Schedule'!F7:F2086,'Repayment Schedule'!A7:A2086,"&gt;="&amp;(19*'Loan Inputs'!$B$14+1),'Repayment Schedule'!A7:A2086,"&lt;="&amp;(MIN(20*'Loan Inputs'!$B$14,Dashboard!$B$13))))</f>
        <v>24898.559038030486</v>
      </c>
      <c r="D26" s="2">
        <f>IF(A26="","",SUMIFS('Repayment Schedule'!E7:E2086,'Repayment Schedule'!A7:A2086,"&gt;="&amp;(19*'Loan Inputs'!$B$14+1),'Repayment Schedule'!A7:A2086,"&lt;="&amp;(MIN(20*'Loan Inputs'!$B$14,Dashboard!$B$13))))</f>
        <v>23839.841375657754</v>
      </c>
      <c r="E26" s="2">
        <f>IF(A26="","",INDEX('Repayment Schedule'!G7:G2086,MIN(20*'Loan Inputs'!$B$14,Dashboard!$B$13)))</f>
        <v>359462.43440118682</v>
      </c>
      <c r="F26" s="2">
        <f>IF(A26="","",SUMIFS('Repayment Schedule'!D7:D2086,'Repayment Schedule'!A7:A2086,"&gt;="&amp;(19*'Loan Inputs'!$B$14+1),'Repayment Schedule'!A7:A2086,"&lt;="&amp;(MIN(20*'Loan Inputs'!$B$14,Dashboard!$B$13))))</f>
        <v>48738.400413688236</v>
      </c>
      <c r="G26" s="2">
        <f>IF(A26="","",SUMIFS('Repayment Schedule'!H7:H2086,'Repayment Schedule'!A7:A2086,"&gt;="&amp;(19*'Loan Inputs'!$B$14+1),'Repayment Schedule'!A7:A2086,"&lt;="&amp;(MIN(20*'Loan Inputs'!$B$14,Dashboard!$B$13))))</f>
        <v>0</v>
      </c>
      <c r="H26" s="1"/>
    </row>
    <row r="27" spans="1:8" ht="22" customHeight="1">
      <c r="A27" s="1">
        <f>IF(AND('Loan Inputs'!$B$12,20*'Loan Inputs'!$B$14+1&lt;=Dashboard!$B$13),21,"")</f>
        <v>21</v>
      </c>
      <c r="B27" s="2">
        <f>IF(A27="","",INDEX('Repayment Schedule'!C7:C2086,20*'Loan Inputs'!$B$14+1))</f>
        <v>359462.43440118682</v>
      </c>
      <c r="C27" s="2">
        <f>IF(A27="","",SUMIFS('Repayment Schedule'!F7:F2086,'Repayment Schedule'!A7:A2086,"&gt;="&amp;(20*'Loan Inputs'!$B$14+1),'Repayment Schedule'!A7:A2086,"&lt;="&amp;(MIN(21*'Loan Inputs'!$B$14,Dashboard!$B$13))))</f>
        <v>26537.010988202372</v>
      </c>
      <c r="D27" s="2">
        <f>IF(A27="","",SUMIFS('Repayment Schedule'!E7:E2086,'Repayment Schedule'!A7:A2086,"&gt;="&amp;(20*'Loan Inputs'!$B$14+1),'Repayment Schedule'!A7:A2086,"&lt;="&amp;(MIN(21*'Loan Inputs'!$B$14,Dashboard!$B$13))))</f>
        <v>22201.389425485868</v>
      </c>
      <c r="E27" s="2">
        <f>IF(A27="","",INDEX('Repayment Schedule'!G7:G2086,MIN(21*'Loan Inputs'!$B$14,Dashboard!$B$13)))</f>
        <v>332925.42341298441</v>
      </c>
      <c r="F27" s="2">
        <f>IF(A27="","",SUMIFS('Repayment Schedule'!D7:D2086,'Repayment Schedule'!A7:A2086,"&gt;="&amp;(20*'Loan Inputs'!$B$14+1),'Repayment Schedule'!A7:A2086,"&lt;="&amp;(MIN(21*'Loan Inputs'!$B$14,Dashboard!$B$13))))</f>
        <v>48738.400413688236</v>
      </c>
      <c r="G27" s="2">
        <f>IF(A27="","",SUMIFS('Repayment Schedule'!H7:H2086,'Repayment Schedule'!A7:A2086,"&gt;="&amp;(20*'Loan Inputs'!$B$14+1),'Repayment Schedule'!A7:A2086,"&lt;="&amp;(MIN(21*'Loan Inputs'!$B$14,Dashboard!$B$13))))</f>
        <v>0</v>
      </c>
      <c r="H27" s="1"/>
    </row>
    <row r="28" spans="1:8" ht="22" customHeight="1">
      <c r="A28" s="1">
        <f>IF(AND('Loan Inputs'!$B$12,21*'Loan Inputs'!$B$14+1&lt;=Dashboard!$B$13),22,"")</f>
        <v>22</v>
      </c>
      <c r="B28" s="2">
        <f>IF(A28="","",INDEX('Repayment Schedule'!C7:C2086,21*'Loan Inputs'!$B$14+1))</f>
        <v>332925.42341298441</v>
      </c>
      <c r="C28" s="2">
        <f>IF(A28="","",SUMIFS('Repayment Schedule'!F7:F2086,'Repayment Schedule'!A7:A2086,"&gt;="&amp;(21*'Loan Inputs'!$B$14+1),'Repayment Schedule'!A7:A2086,"&lt;="&amp;(MIN(22*'Loan Inputs'!$B$14,Dashboard!$B$13))))</f>
        <v>28283.281418508857</v>
      </c>
      <c r="D28" s="2">
        <f>IF(A28="","",SUMIFS('Repayment Schedule'!E7:E2086,'Repayment Schedule'!A7:A2086,"&gt;="&amp;(21*'Loan Inputs'!$B$14+1),'Repayment Schedule'!A7:A2086,"&lt;="&amp;(MIN(22*'Loan Inputs'!$B$14,Dashboard!$B$13))))</f>
        <v>20455.118995179382</v>
      </c>
      <c r="E28" s="2">
        <f>IF(A28="","",INDEX('Repayment Schedule'!G7:G2086,MIN(22*'Loan Inputs'!$B$14,Dashboard!$B$13)))</f>
        <v>304642.14199447556</v>
      </c>
      <c r="F28" s="2">
        <f>IF(A28="","",SUMIFS('Repayment Schedule'!D7:D2086,'Repayment Schedule'!A7:A2086,"&gt;="&amp;(21*'Loan Inputs'!$B$14+1),'Repayment Schedule'!A7:A2086,"&lt;="&amp;(MIN(22*'Loan Inputs'!$B$14,Dashboard!$B$13))))</f>
        <v>48738.400413688236</v>
      </c>
      <c r="G28" s="2">
        <f>IF(A28="","",SUMIFS('Repayment Schedule'!H7:H2086,'Repayment Schedule'!A7:A2086,"&gt;="&amp;(21*'Loan Inputs'!$B$14+1),'Repayment Schedule'!A7:A2086,"&lt;="&amp;(MIN(22*'Loan Inputs'!$B$14,Dashboard!$B$13))))</f>
        <v>0</v>
      </c>
      <c r="H28" s="1"/>
    </row>
    <row r="29" spans="1:8" ht="22" customHeight="1">
      <c r="A29" s="1">
        <f>IF(AND('Loan Inputs'!$B$12,22*'Loan Inputs'!$B$14+1&lt;=Dashboard!$B$13),23,"")</f>
        <v>23</v>
      </c>
      <c r="B29" s="2">
        <f>IF(A29="","",INDEX('Repayment Schedule'!C7:C2086,22*'Loan Inputs'!$B$14+1))</f>
        <v>304642.14199447556</v>
      </c>
      <c r="C29" s="2">
        <f>IF(A29="","",SUMIFS('Repayment Schedule'!F7:F2086,'Repayment Schedule'!A7:A2086,"&gt;="&amp;(22*'Loan Inputs'!$B$14+1),'Repayment Schedule'!A7:A2086,"&lt;="&amp;(MIN(23*'Loan Inputs'!$B$14,Dashboard!$B$13))))</f>
        <v>30144.465333876593</v>
      </c>
      <c r="D29" s="2">
        <f>IF(A29="","",SUMIFS('Repayment Schedule'!E7:E2086,'Repayment Schedule'!A7:A2086,"&gt;="&amp;(22*'Loan Inputs'!$B$14+1),'Repayment Schedule'!A7:A2086,"&lt;="&amp;(MIN(23*'Loan Inputs'!$B$14,Dashboard!$B$13))))</f>
        <v>18593.935079811647</v>
      </c>
      <c r="E29" s="2">
        <f>IF(A29="","",INDEX('Repayment Schedule'!G7:G2086,MIN(23*'Loan Inputs'!$B$14,Dashboard!$B$13)))</f>
        <v>274497.67666059884</v>
      </c>
      <c r="F29" s="2">
        <f>IF(A29="","",SUMIFS('Repayment Schedule'!D7:D2086,'Repayment Schedule'!A7:A2086,"&gt;="&amp;(22*'Loan Inputs'!$B$14+1),'Repayment Schedule'!A7:A2086,"&lt;="&amp;(MIN(23*'Loan Inputs'!$B$14,Dashboard!$B$13))))</f>
        <v>48738.400413688236</v>
      </c>
      <c r="G29" s="2">
        <f>IF(A29="","",SUMIFS('Repayment Schedule'!H7:H2086,'Repayment Schedule'!A7:A2086,"&gt;="&amp;(22*'Loan Inputs'!$B$14+1),'Repayment Schedule'!A7:A2086,"&lt;="&amp;(MIN(23*'Loan Inputs'!$B$14,Dashboard!$B$13))))</f>
        <v>0</v>
      </c>
      <c r="H29" s="1"/>
    </row>
    <row r="30" spans="1:8" ht="22" customHeight="1">
      <c r="A30" s="1">
        <f>IF(AND('Loan Inputs'!$B$12,23*'Loan Inputs'!$B$14+1&lt;=Dashboard!$B$13),24,"")</f>
        <v>24</v>
      </c>
      <c r="B30" s="2">
        <f>IF(A30="","",INDEX('Repayment Schedule'!C7:C2086,23*'Loan Inputs'!$B$14+1))</f>
        <v>274497.67666059884</v>
      </c>
      <c r="C30" s="2">
        <f>IF(A30="","",SUMIFS('Repayment Schedule'!F7:F2086,'Repayment Schedule'!A7:A2086,"&gt;="&amp;(23*'Loan Inputs'!$B$14+1),'Repayment Schedule'!A7:A2086,"&lt;="&amp;(MIN(24*'Loan Inputs'!$B$14,Dashboard!$B$13))))</f>
        <v>32128.124626679019</v>
      </c>
      <c r="D30" s="2">
        <f>IF(A30="","",SUMIFS('Repayment Schedule'!E7:E2086,'Repayment Schedule'!A7:A2086,"&gt;="&amp;(23*'Loan Inputs'!$B$14+1),'Repayment Schedule'!A7:A2086,"&lt;="&amp;(MIN(24*'Loan Inputs'!$B$14,Dashboard!$B$13))))</f>
        <v>16610.275787009221</v>
      </c>
      <c r="E30" s="2">
        <f>IF(A30="","",INDEX('Repayment Schedule'!G7:G2086,MIN(24*'Loan Inputs'!$B$14,Dashboard!$B$13)))</f>
        <v>242369.55203391978</v>
      </c>
      <c r="F30" s="2">
        <f>IF(A30="","",SUMIFS('Repayment Schedule'!D7:D2086,'Repayment Schedule'!A7:A2086,"&gt;="&amp;(23*'Loan Inputs'!$B$14+1),'Repayment Schedule'!A7:A2086,"&lt;="&amp;(MIN(24*'Loan Inputs'!$B$14,Dashboard!$B$13))))</f>
        <v>48738.400413688236</v>
      </c>
      <c r="G30" s="2">
        <f>IF(A30="","",SUMIFS('Repayment Schedule'!H7:H2086,'Repayment Schedule'!A7:A2086,"&gt;="&amp;(23*'Loan Inputs'!$B$14+1),'Repayment Schedule'!A7:A2086,"&lt;="&amp;(MIN(24*'Loan Inputs'!$B$14,Dashboard!$B$13))))</f>
        <v>0</v>
      </c>
      <c r="H30" s="1"/>
    </row>
    <row r="31" spans="1:8" ht="22" customHeight="1">
      <c r="A31" s="1">
        <f>IF(AND('Loan Inputs'!$B$12,24*'Loan Inputs'!$B$14+1&lt;=Dashboard!$B$13),25,"")</f>
        <v>25</v>
      </c>
      <c r="B31" s="2">
        <f>IF(A31="","",INDEX('Repayment Schedule'!C7:C2086,24*'Loan Inputs'!$B$14+1))</f>
        <v>242369.55203391978</v>
      </c>
      <c r="C31" s="2">
        <f>IF(A31="","",SUMIFS('Repayment Schedule'!F7:F2086,'Repayment Schedule'!A7:A2086,"&gt;="&amp;(24*'Loan Inputs'!$B$14+1),'Repayment Schedule'!A7:A2086,"&lt;="&amp;(MIN(25*'Loan Inputs'!$B$14,Dashboard!$B$13))))</f>
        <v>34242.318800307461</v>
      </c>
      <c r="D31" s="2">
        <f>IF(A31="","",SUMIFS('Repayment Schedule'!E7:E2086,'Repayment Schedule'!A7:A2086,"&gt;="&amp;(24*'Loan Inputs'!$B$14+1),'Repayment Schedule'!A7:A2086,"&lt;="&amp;(MIN(25*'Loan Inputs'!$B$14,Dashboard!$B$13))))</f>
        <v>14496.081613380784</v>
      </c>
      <c r="E31" s="2">
        <f>IF(A31="","",INDEX('Repayment Schedule'!G7:G2086,MIN(25*'Loan Inputs'!$B$14,Dashboard!$B$13)))</f>
        <v>208127.23323361229</v>
      </c>
      <c r="F31" s="2">
        <f>IF(A31="","",SUMIFS('Repayment Schedule'!D7:D2086,'Repayment Schedule'!A7:A2086,"&gt;="&amp;(24*'Loan Inputs'!$B$14+1),'Repayment Schedule'!A7:A2086,"&lt;="&amp;(MIN(25*'Loan Inputs'!$B$14,Dashboard!$B$13))))</f>
        <v>48738.400413688236</v>
      </c>
      <c r="G31" s="2">
        <f>IF(A31="","",SUMIFS('Repayment Schedule'!H7:H2086,'Repayment Schedule'!A7:A2086,"&gt;="&amp;(24*'Loan Inputs'!$B$14+1),'Repayment Schedule'!A7:A2086,"&lt;="&amp;(MIN(25*'Loan Inputs'!$B$14,Dashboard!$B$13))))</f>
        <v>0</v>
      </c>
      <c r="H31" s="1"/>
    </row>
    <row r="32" spans="1:8" ht="22" customHeight="1">
      <c r="A32" s="1">
        <f>IF(AND('Loan Inputs'!$B$12,25*'Loan Inputs'!$B$14+1&lt;=Dashboard!$B$13),26,"")</f>
        <v>26</v>
      </c>
      <c r="B32" s="2">
        <f>IF(A32="","",INDEX('Repayment Schedule'!C7:C2086,25*'Loan Inputs'!$B$14+1))</f>
        <v>208127.23323361229</v>
      </c>
      <c r="C32" s="2">
        <f>IF(A32="","",SUMIFS('Repayment Schedule'!F7:F2086,'Repayment Schedule'!A7:A2086,"&gt;="&amp;(25*'Loan Inputs'!$B$14+1),'Repayment Schedule'!A7:A2086,"&lt;="&amp;(MIN(26*'Loan Inputs'!$B$14,Dashboard!$B$13))))</f>
        <v>36495.637714509539</v>
      </c>
      <c r="D32" s="2">
        <f>IF(A32="","",SUMIFS('Repayment Schedule'!E7:E2086,'Repayment Schedule'!A7:A2086,"&gt;="&amp;(25*'Loan Inputs'!$B$14+1),'Repayment Schedule'!A7:A2086,"&lt;="&amp;(MIN(26*'Loan Inputs'!$B$14,Dashboard!$B$13))))</f>
        <v>12242.762699178702</v>
      </c>
      <c r="E32" s="2">
        <f>IF(A32="","",INDEX('Repayment Schedule'!G7:G2086,MIN(26*'Loan Inputs'!$B$14,Dashboard!$B$13)))</f>
        <v>171631.59551910273</v>
      </c>
      <c r="F32" s="2">
        <f>IF(A32="","",SUMIFS('Repayment Schedule'!D7:D2086,'Repayment Schedule'!A7:A2086,"&gt;="&amp;(25*'Loan Inputs'!$B$14+1),'Repayment Schedule'!A7:A2086,"&lt;="&amp;(MIN(26*'Loan Inputs'!$B$14,Dashboard!$B$13))))</f>
        <v>48738.400413688236</v>
      </c>
      <c r="G32" s="2">
        <f>IF(A32="","",SUMIFS('Repayment Schedule'!H7:H2086,'Repayment Schedule'!A7:A2086,"&gt;="&amp;(25*'Loan Inputs'!$B$14+1),'Repayment Schedule'!A7:A2086,"&lt;="&amp;(MIN(26*'Loan Inputs'!$B$14,Dashboard!$B$13))))</f>
        <v>0</v>
      </c>
      <c r="H32" s="1"/>
    </row>
    <row r="33" spans="1:8" ht="22" customHeight="1">
      <c r="A33" s="1">
        <f>IF(AND('Loan Inputs'!$B$12,26*'Loan Inputs'!$B$14+1&lt;=Dashboard!$B$13),27,"")</f>
        <v>27</v>
      </c>
      <c r="B33" s="2">
        <f>IF(A33="","",INDEX('Repayment Schedule'!C7:C2086,26*'Loan Inputs'!$B$14+1))</f>
        <v>171631.59551910273</v>
      </c>
      <c r="C33" s="2">
        <f>IF(A33="","",SUMIFS('Repayment Schedule'!F7:F2086,'Repayment Schedule'!A7:A2086,"&gt;="&amp;(26*'Loan Inputs'!$B$14+1),'Repayment Schedule'!A7:A2086,"&lt;="&amp;(MIN(27*'Loan Inputs'!$B$14,Dashboard!$B$13))))</f>
        <v>38897.236485537644</v>
      </c>
      <c r="D33" s="2">
        <f>IF(A33="","",SUMIFS('Repayment Schedule'!E7:E2086,'Repayment Schedule'!A7:A2086,"&gt;="&amp;(26*'Loan Inputs'!$B$14+1),'Repayment Schedule'!A7:A2086,"&lt;="&amp;(MIN(27*'Loan Inputs'!$B$14,Dashboard!$B$13))))</f>
        <v>9841.1639281505941</v>
      </c>
      <c r="E33" s="2">
        <f>IF(A33="","",INDEX('Repayment Schedule'!G7:G2086,MIN(27*'Loan Inputs'!$B$14,Dashboard!$B$13)))</f>
        <v>132734.35903356507</v>
      </c>
      <c r="F33" s="2">
        <f>IF(A33="","",SUMIFS('Repayment Schedule'!D7:D2086,'Repayment Schedule'!A7:A2086,"&gt;="&amp;(26*'Loan Inputs'!$B$14+1),'Repayment Schedule'!A7:A2086,"&lt;="&amp;(MIN(27*'Loan Inputs'!$B$14,Dashboard!$B$13))))</f>
        <v>48738.400413688236</v>
      </c>
      <c r="G33" s="2">
        <f>IF(A33="","",SUMIFS('Repayment Schedule'!H7:H2086,'Repayment Schedule'!A7:A2086,"&gt;="&amp;(26*'Loan Inputs'!$B$14+1),'Repayment Schedule'!A7:A2086,"&lt;="&amp;(MIN(27*'Loan Inputs'!$B$14,Dashboard!$B$13))))</f>
        <v>0</v>
      </c>
      <c r="H33" s="1"/>
    </row>
    <row r="34" spans="1:8" ht="22" customHeight="1">
      <c r="A34" s="1">
        <f>IF(AND('Loan Inputs'!$B$12,27*'Loan Inputs'!$B$14+1&lt;=Dashboard!$B$13),28,"")</f>
        <v>28</v>
      </c>
      <c r="B34" s="2">
        <f>IF(A34="","",INDEX('Repayment Schedule'!C7:C2086,27*'Loan Inputs'!$B$14+1))</f>
        <v>132734.35903356507</v>
      </c>
      <c r="C34" s="2">
        <f>IF(A34="","",SUMIFS('Repayment Schedule'!F7:F2086,'Repayment Schedule'!A7:A2086,"&gt;="&amp;(27*'Loan Inputs'!$B$14+1),'Repayment Schedule'!A7:A2086,"&lt;="&amp;(MIN(28*'Loan Inputs'!$B$14,Dashboard!$B$13))))</f>
        <v>41456.87268290481</v>
      </c>
      <c r="D34" s="2">
        <f>IF(A34="","",SUMIFS('Repayment Schedule'!E7:E2086,'Repayment Schedule'!A7:A2086,"&gt;="&amp;(27*'Loan Inputs'!$B$14+1),'Repayment Schedule'!A7:A2086,"&lt;="&amp;(MIN(28*'Loan Inputs'!$B$14,Dashboard!$B$13))))</f>
        <v>7281.5277307834285</v>
      </c>
      <c r="E34" s="2">
        <f>IF(A34="","",INDEX('Repayment Schedule'!G7:G2086,MIN(28*'Loan Inputs'!$B$14,Dashboard!$B$13)))</f>
        <v>91277.486350660227</v>
      </c>
      <c r="F34" s="2">
        <f>IF(A34="","",SUMIFS('Repayment Schedule'!D7:D2086,'Repayment Schedule'!A7:A2086,"&gt;="&amp;(27*'Loan Inputs'!$B$14+1),'Repayment Schedule'!A7:A2086,"&lt;="&amp;(MIN(28*'Loan Inputs'!$B$14,Dashboard!$B$13))))</f>
        <v>48738.400413688236</v>
      </c>
      <c r="G34" s="2">
        <f>IF(A34="","",SUMIFS('Repayment Schedule'!H7:H2086,'Repayment Schedule'!A7:A2086,"&gt;="&amp;(27*'Loan Inputs'!$B$14+1),'Repayment Schedule'!A7:A2086,"&lt;="&amp;(MIN(28*'Loan Inputs'!$B$14,Dashboard!$B$13))))</f>
        <v>0</v>
      </c>
      <c r="H34" s="1"/>
    </row>
    <row r="35" spans="1:8" ht="22" customHeight="1">
      <c r="A35" s="1">
        <f>IF(AND('Loan Inputs'!$B$12,28*'Loan Inputs'!$B$14+1&lt;=Dashboard!$B$13),29,"")</f>
        <v>29</v>
      </c>
      <c r="B35" s="2">
        <f>IF(A35="","",INDEX('Repayment Schedule'!C7:C2086,28*'Loan Inputs'!$B$14+1))</f>
        <v>91277.486350660227</v>
      </c>
      <c r="C35" s="2">
        <f>IF(A35="","",SUMIFS('Repayment Schedule'!F7:F2086,'Repayment Schedule'!A7:A2086,"&gt;="&amp;(28*'Loan Inputs'!$B$14+1),'Repayment Schedule'!A7:A2086,"&lt;="&amp;(MIN(29*'Loan Inputs'!$B$14,Dashboard!$B$13))))</f>
        <v>44184.945973876522</v>
      </c>
      <c r="D35" s="2">
        <f>IF(A35="","",SUMIFS('Repayment Schedule'!E7:E2086,'Repayment Schedule'!A7:A2086,"&gt;="&amp;(28*'Loan Inputs'!$B$14+1),'Repayment Schedule'!A7:A2086,"&lt;="&amp;(MIN(29*'Loan Inputs'!$B$14,Dashboard!$B$13))))</f>
        <v>4553.4544398117278</v>
      </c>
      <c r="E35" s="2">
        <f>IF(A35="","",INDEX('Repayment Schedule'!G7:G2086,MIN(29*'Loan Inputs'!$B$14,Dashboard!$B$13)))</f>
        <v>47092.540376783734</v>
      </c>
      <c r="F35" s="2">
        <f>IF(A35="","",SUMIFS('Repayment Schedule'!D7:D2086,'Repayment Schedule'!A7:A2086,"&gt;="&amp;(28*'Loan Inputs'!$B$14+1),'Repayment Schedule'!A7:A2086,"&lt;="&amp;(MIN(29*'Loan Inputs'!$B$14,Dashboard!$B$13))))</f>
        <v>48738.400413688236</v>
      </c>
      <c r="G35" s="2">
        <f>IF(A35="","",SUMIFS('Repayment Schedule'!H7:H2086,'Repayment Schedule'!A7:A2086,"&gt;="&amp;(28*'Loan Inputs'!$B$14+1),'Repayment Schedule'!A7:A2086,"&lt;="&amp;(MIN(29*'Loan Inputs'!$B$14,Dashboard!$B$13))))</f>
        <v>0</v>
      </c>
      <c r="H35" s="1"/>
    </row>
    <row r="36" spans="1:8" ht="22" customHeight="1">
      <c r="A36" s="1">
        <f>IF(AND('Loan Inputs'!$B$12,29*'Loan Inputs'!$B$14+1&lt;=Dashboard!$B$13),30,"")</f>
        <v>30</v>
      </c>
      <c r="B36" s="2">
        <f>IF(A36="","",INDEX('Repayment Schedule'!C7:C2086,29*'Loan Inputs'!$B$14+1))</f>
        <v>47092.540376783734</v>
      </c>
      <c r="C36" s="2">
        <f>IF(A36="","",SUMIFS('Repayment Schedule'!F7:F2086,'Repayment Schedule'!A7:A2086,"&gt;="&amp;(29*'Loan Inputs'!$B$14+1),'Repayment Schedule'!A7:A2086,"&lt;="&amp;(MIN(30*'Loan Inputs'!$B$14,Dashboard!$B$13))))</f>
        <v>47092.540376771889</v>
      </c>
      <c r="D36" s="2">
        <f>IF(A36="","",SUMIFS('Repayment Schedule'!E7:E2086,'Repayment Schedule'!A7:A2086,"&gt;="&amp;(29*'Loan Inputs'!$B$14+1),'Repayment Schedule'!A7:A2086,"&lt;="&amp;(MIN(30*'Loan Inputs'!$B$14,Dashboard!$B$13))))</f>
        <v>1645.8600369163578</v>
      </c>
      <c r="E36" s="2">
        <f>IF(A36="","",INDEX('Repayment Schedule'!G7:G2086,MIN(30*'Loan Inputs'!$B$14,Dashboard!$B$13)))</f>
        <v>0</v>
      </c>
      <c r="F36" s="2">
        <f>IF(A36="","",SUMIFS('Repayment Schedule'!D7:D2086,'Repayment Schedule'!A7:A2086,"&gt;="&amp;(29*'Loan Inputs'!$B$14+1),'Repayment Schedule'!A7:A2086,"&lt;="&amp;(MIN(30*'Loan Inputs'!$B$14,Dashboard!$B$13))))</f>
        <v>48738.400413688236</v>
      </c>
      <c r="G36" s="2">
        <f>IF(A36="","",SUMIFS('Repayment Schedule'!H7:H2086,'Repayment Schedule'!A7:A2086,"&gt;="&amp;(29*'Loan Inputs'!$B$14+1),'Repayment Schedule'!A7:A2086,"&lt;="&amp;(MIN(30*'Loan Inputs'!$B$14,Dashboard!$B$13))))</f>
        <v>0</v>
      </c>
      <c r="H36" s="1"/>
    </row>
    <row r="37" spans="1:8" ht="22" customHeight="1">
      <c r="A37" s="1" t="str">
        <f>IF(AND('Loan Inputs'!$B$12,30*'Loan Inputs'!$B$14+1&lt;=Dashboard!$B$13),31,"")</f>
        <v/>
      </c>
      <c r="B37" s="2" t="str">
        <f>IF(A37="","",INDEX('Repayment Schedule'!C7:C2086,30*'Loan Inputs'!$B$14+1))</f>
        <v/>
      </c>
      <c r="C37" s="2" t="str">
        <f>IF(A37="","",SUMIFS('Repayment Schedule'!F7:F2086,'Repayment Schedule'!A7:A2086,"&gt;="&amp;(30*'Loan Inputs'!$B$14+1),'Repayment Schedule'!A7:A2086,"&lt;="&amp;(MIN(31*'Loan Inputs'!$B$14,Dashboard!$B$13))))</f>
        <v/>
      </c>
      <c r="D37" s="2" t="str">
        <f>IF(A37="","",SUMIFS('Repayment Schedule'!E7:E2086,'Repayment Schedule'!A7:A2086,"&gt;="&amp;(30*'Loan Inputs'!$B$14+1),'Repayment Schedule'!A7:A2086,"&lt;="&amp;(MIN(31*'Loan Inputs'!$B$14,Dashboard!$B$13))))</f>
        <v/>
      </c>
      <c r="E37" s="2" t="str">
        <f>IF(A37="","",INDEX('Repayment Schedule'!G7:G2086,MIN(31*'Loan Inputs'!$B$14,Dashboard!$B$13)))</f>
        <v/>
      </c>
      <c r="F37" s="2" t="str">
        <f>IF(A37="","",SUMIFS('Repayment Schedule'!D7:D2086,'Repayment Schedule'!A7:A2086,"&gt;="&amp;(30*'Loan Inputs'!$B$14+1),'Repayment Schedule'!A7:A2086,"&lt;="&amp;(MIN(31*'Loan Inputs'!$B$14,Dashboard!$B$13))))</f>
        <v/>
      </c>
      <c r="G37" s="2" t="str">
        <f>IF(A37="","",SUMIFS('Repayment Schedule'!H7:H2086,'Repayment Schedule'!A7:A2086,"&gt;="&amp;(30*'Loan Inputs'!$B$14+1),'Repayment Schedule'!A7:A2086,"&lt;="&amp;(MIN(31*'Loan Inputs'!$B$14,Dashboard!$B$13))))</f>
        <v/>
      </c>
      <c r="H37" s="1"/>
    </row>
    <row r="38" spans="1:8" ht="22" customHeight="1">
      <c r="A38" s="1" t="str">
        <f>IF(AND('Loan Inputs'!$B$12,31*'Loan Inputs'!$B$14+1&lt;=Dashboard!$B$13),32,"")</f>
        <v/>
      </c>
      <c r="B38" s="2" t="str">
        <f>IF(A38="","",INDEX('Repayment Schedule'!C7:C2086,31*'Loan Inputs'!$B$14+1))</f>
        <v/>
      </c>
      <c r="C38" s="2" t="str">
        <f>IF(A38="","",SUMIFS('Repayment Schedule'!F7:F2086,'Repayment Schedule'!A7:A2086,"&gt;="&amp;(31*'Loan Inputs'!$B$14+1),'Repayment Schedule'!A7:A2086,"&lt;="&amp;(MIN(32*'Loan Inputs'!$B$14,Dashboard!$B$13))))</f>
        <v/>
      </c>
      <c r="D38" s="2" t="str">
        <f>IF(A38="","",SUMIFS('Repayment Schedule'!E7:E2086,'Repayment Schedule'!A7:A2086,"&gt;="&amp;(31*'Loan Inputs'!$B$14+1),'Repayment Schedule'!A7:A2086,"&lt;="&amp;(MIN(32*'Loan Inputs'!$B$14,Dashboard!$B$13))))</f>
        <v/>
      </c>
      <c r="E38" s="2" t="str">
        <f>IF(A38="","",INDEX('Repayment Schedule'!G7:G2086,MIN(32*'Loan Inputs'!$B$14,Dashboard!$B$13)))</f>
        <v/>
      </c>
      <c r="F38" s="2" t="str">
        <f>IF(A38="","",SUMIFS('Repayment Schedule'!D7:D2086,'Repayment Schedule'!A7:A2086,"&gt;="&amp;(31*'Loan Inputs'!$B$14+1),'Repayment Schedule'!A7:A2086,"&lt;="&amp;(MIN(32*'Loan Inputs'!$B$14,Dashboard!$B$13))))</f>
        <v/>
      </c>
      <c r="G38" s="2" t="str">
        <f>IF(A38="","",SUMIFS('Repayment Schedule'!H7:H2086,'Repayment Schedule'!A7:A2086,"&gt;="&amp;(31*'Loan Inputs'!$B$14+1),'Repayment Schedule'!A7:A2086,"&lt;="&amp;(MIN(32*'Loan Inputs'!$B$14,Dashboard!$B$13))))</f>
        <v/>
      </c>
      <c r="H38" s="1"/>
    </row>
    <row r="39" spans="1:8" ht="22" customHeight="1">
      <c r="A39" s="1" t="str">
        <f>IF(AND('Loan Inputs'!$B$12,32*'Loan Inputs'!$B$14+1&lt;=Dashboard!$B$13),33,"")</f>
        <v/>
      </c>
      <c r="B39" s="2" t="str">
        <f>IF(A39="","",INDEX('Repayment Schedule'!C7:C2086,32*'Loan Inputs'!$B$14+1))</f>
        <v/>
      </c>
      <c r="C39" s="2" t="str">
        <f>IF(A39="","",SUMIFS('Repayment Schedule'!F7:F2086,'Repayment Schedule'!A7:A2086,"&gt;="&amp;(32*'Loan Inputs'!$B$14+1),'Repayment Schedule'!A7:A2086,"&lt;="&amp;(MIN(33*'Loan Inputs'!$B$14,Dashboard!$B$13))))</f>
        <v/>
      </c>
      <c r="D39" s="2" t="str">
        <f>IF(A39="","",SUMIFS('Repayment Schedule'!E7:E2086,'Repayment Schedule'!A7:A2086,"&gt;="&amp;(32*'Loan Inputs'!$B$14+1),'Repayment Schedule'!A7:A2086,"&lt;="&amp;(MIN(33*'Loan Inputs'!$B$14,Dashboard!$B$13))))</f>
        <v/>
      </c>
      <c r="E39" s="2" t="str">
        <f>IF(A39="","",INDEX('Repayment Schedule'!G7:G2086,MIN(33*'Loan Inputs'!$B$14,Dashboard!$B$13)))</f>
        <v/>
      </c>
      <c r="F39" s="2" t="str">
        <f>IF(A39="","",SUMIFS('Repayment Schedule'!D7:D2086,'Repayment Schedule'!A7:A2086,"&gt;="&amp;(32*'Loan Inputs'!$B$14+1),'Repayment Schedule'!A7:A2086,"&lt;="&amp;(MIN(33*'Loan Inputs'!$B$14,Dashboard!$B$13))))</f>
        <v/>
      </c>
      <c r="G39" s="2" t="str">
        <f>IF(A39="","",SUMIFS('Repayment Schedule'!H7:H2086,'Repayment Schedule'!A7:A2086,"&gt;="&amp;(32*'Loan Inputs'!$B$14+1),'Repayment Schedule'!A7:A2086,"&lt;="&amp;(MIN(33*'Loan Inputs'!$B$14,Dashboard!$B$13))))</f>
        <v/>
      </c>
      <c r="H39" s="1"/>
    </row>
    <row r="40" spans="1:8" ht="22" customHeight="1">
      <c r="A40" s="1" t="str">
        <f>IF(AND('Loan Inputs'!$B$12,33*'Loan Inputs'!$B$14+1&lt;=Dashboard!$B$13),34,"")</f>
        <v/>
      </c>
      <c r="B40" s="2" t="str">
        <f>IF(A40="","",INDEX('Repayment Schedule'!C7:C2086,33*'Loan Inputs'!$B$14+1))</f>
        <v/>
      </c>
      <c r="C40" s="2" t="str">
        <f>IF(A40="","",SUMIFS('Repayment Schedule'!F7:F2086,'Repayment Schedule'!A7:A2086,"&gt;="&amp;(33*'Loan Inputs'!$B$14+1),'Repayment Schedule'!A7:A2086,"&lt;="&amp;(MIN(34*'Loan Inputs'!$B$14,Dashboard!$B$13))))</f>
        <v/>
      </c>
      <c r="D40" s="2" t="str">
        <f>IF(A40="","",SUMIFS('Repayment Schedule'!E7:E2086,'Repayment Schedule'!A7:A2086,"&gt;="&amp;(33*'Loan Inputs'!$B$14+1),'Repayment Schedule'!A7:A2086,"&lt;="&amp;(MIN(34*'Loan Inputs'!$B$14,Dashboard!$B$13))))</f>
        <v/>
      </c>
      <c r="E40" s="2" t="str">
        <f>IF(A40="","",INDEX('Repayment Schedule'!G7:G2086,MIN(34*'Loan Inputs'!$B$14,Dashboard!$B$13)))</f>
        <v/>
      </c>
      <c r="F40" s="2" t="str">
        <f>IF(A40="","",SUMIFS('Repayment Schedule'!D7:D2086,'Repayment Schedule'!A7:A2086,"&gt;="&amp;(33*'Loan Inputs'!$B$14+1),'Repayment Schedule'!A7:A2086,"&lt;="&amp;(MIN(34*'Loan Inputs'!$B$14,Dashboard!$B$13))))</f>
        <v/>
      </c>
      <c r="G40" s="2" t="str">
        <f>IF(A40="","",SUMIFS('Repayment Schedule'!H7:H2086,'Repayment Schedule'!A7:A2086,"&gt;="&amp;(33*'Loan Inputs'!$B$14+1),'Repayment Schedule'!A7:A2086,"&lt;="&amp;(MIN(34*'Loan Inputs'!$B$14,Dashboard!$B$13))))</f>
        <v/>
      </c>
      <c r="H40" s="1"/>
    </row>
    <row r="41" spans="1:8" ht="22" customHeight="1">
      <c r="A41" s="1" t="str">
        <f>IF(AND('Loan Inputs'!$B$12,34*'Loan Inputs'!$B$14+1&lt;=Dashboard!$B$13),35,"")</f>
        <v/>
      </c>
      <c r="B41" s="2" t="str">
        <f>IF(A41="","",INDEX('Repayment Schedule'!C7:C2086,34*'Loan Inputs'!$B$14+1))</f>
        <v/>
      </c>
      <c r="C41" s="2" t="str">
        <f>IF(A41="","",SUMIFS('Repayment Schedule'!F7:F2086,'Repayment Schedule'!A7:A2086,"&gt;="&amp;(34*'Loan Inputs'!$B$14+1),'Repayment Schedule'!A7:A2086,"&lt;="&amp;(MIN(35*'Loan Inputs'!$B$14,Dashboard!$B$13))))</f>
        <v/>
      </c>
      <c r="D41" s="2" t="str">
        <f>IF(A41="","",SUMIFS('Repayment Schedule'!E7:E2086,'Repayment Schedule'!A7:A2086,"&gt;="&amp;(34*'Loan Inputs'!$B$14+1),'Repayment Schedule'!A7:A2086,"&lt;="&amp;(MIN(35*'Loan Inputs'!$B$14,Dashboard!$B$13))))</f>
        <v/>
      </c>
      <c r="E41" s="2" t="str">
        <f>IF(A41="","",INDEX('Repayment Schedule'!G7:G2086,MIN(35*'Loan Inputs'!$B$14,Dashboard!$B$13)))</f>
        <v/>
      </c>
      <c r="F41" s="2" t="str">
        <f>IF(A41="","",SUMIFS('Repayment Schedule'!D7:D2086,'Repayment Schedule'!A7:A2086,"&gt;="&amp;(34*'Loan Inputs'!$B$14+1),'Repayment Schedule'!A7:A2086,"&lt;="&amp;(MIN(35*'Loan Inputs'!$B$14,Dashboard!$B$13))))</f>
        <v/>
      </c>
      <c r="G41" s="2" t="str">
        <f>IF(A41="","",SUMIFS('Repayment Schedule'!H7:H2086,'Repayment Schedule'!A7:A2086,"&gt;="&amp;(34*'Loan Inputs'!$B$14+1),'Repayment Schedule'!A7:A2086,"&lt;="&amp;(MIN(35*'Loan Inputs'!$B$14,Dashboard!$B$13))))</f>
        <v/>
      </c>
      <c r="H41" s="1"/>
    </row>
    <row r="42" spans="1:8" ht="22" customHeight="1">
      <c r="A42" s="1" t="str">
        <f>IF(AND('Loan Inputs'!$B$12,35*'Loan Inputs'!$B$14+1&lt;=Dashboard!$B$13),36,"")</f>
        <v/>
      </c>
      <c r="B42" s="2" t="str">
        <f>IF(A42="","",INDEX('Repayment Schedule'!C7:C2086,35*'Loan Inputs'!$B$14+1))</f>
        <v/>
      </c>
      <c r="C42" s="2" t="str">
        <f>IF(A42="","",SUMIFS('Repayment Schedule'!F7:F2086,'Repayment Schedule'!A7:A2086,"&gt;="&amp;(35*'Loan Inputs'!$B$14+1),'Repayment Schedule'!A7:A2086,"&lt;="&amp;(MIN(36*'Loan Inputs'!$B$14,Dashboard!$B$13))))</f>
        <v/>
      </c>
      <c r="D42" s="2" t="str">
        <f>IF(A42="","",SUMIFS('Repayment Schedule'!E7:E2086,'Repayment Schedule'!A7:A2086,"&gt;="&amp;(35*'Loan Inputs'!$B$14+1),'Repayment Schedule'!A7:A2086,"&lt;="&amp;(MIN(36*'Loan Inputs'!$B$14,Dashboard!$B$13))))</f>
        <v/>
      </c>
      <c r="E42" s="2" t="str">
        <f>IF(A42="","",INDEX('Repayment Schedule'!G7:G2086,MIN(36*'Loan Inputs'!$B$14,Dashboard!$B$13)))</f>
        <v/>
      </c>
      <c r="F42" s="2" t="str">
        <f>IF(A42="","",SUMIFS('Repayment Schedule'!D7:D2086,'Repayment Schedule'!A7:A2086,"&gt;="&amp;(35*'Loan Inputs'!$B$14+1),'Repayment Schedule'!A7:A2086,"&lt;="&amp;(MIN(36*'Loan Inputs'!$B$14,Dashboard!$B$13))))</f>
        <v/>
      </c>
      <c r="G42" s="2" t="str">
        <f>IF(A42="","",SUMIFS('Repayment Schedule'!H7:H2086,'Repayment Schedule'!A7:A2086,"&gt;="&amp;(35*'Loan Inputs'!$B$14+1),'Repayment Schedule'!A7:A2086,"&lt;="&amp;(MIN(36*'Loan Inputs'!$B$14,Dashboard!$B$13))))</f>
        <v/>
      </c>
      <c r="H42" s="1"/>
    </row>
    <row r="43" spans="1:8" ht="22" customHeight="1">
      <c r="A43" s="1" t="str">
        <f>IF(AND('Loan Inputs'!$B$12,36*'Loan Inputs'!$B$14+1&lt;=Dashboard!$B$13),37,"")</f>
        <v/>
      </c>
      <c r="B43" s="2" t="str">
        <f>IF(A43="","",INDEX('Repayment Schedule'!C7:C2086,36*'Loan Inputs'!$B$14+1))</f>
        <v/>
      </c>
      <c r="C43" s="2" t="str">
        <f>IF(A43="","",SUMIFS('Repayment Schedule'!F7:F2086,'Repayment Schedule'!A7:A2086,"&gt;="&amp;(36*'Loan Inputs'!$B$14+1),'Repayment Schedule'!A7:A2086,"&lt;="&amp;(MIN(37*'Loan Inputs'!$B$14,Dashboard!$B$13))))</f>
        <v/>
      </c>
      <c r="D43" s="2" t="str">
        <f>IF(A43="","",SUMIFS('Repayment Schedule'!E7:E2086,'Repayment Schedule'!A7:A2086,"&gt;="&amp;(36*'Loan Inputs'!$B$14+1),'Repayment Schedule'!A7:A2086,"&lt;="&amp;(MIN(37*'Loan Inputs'!$B$14,Dashboard!$B$13))))</f>
        <v/>
      </c>
      <c r="E43" s="2" t="str">
        <f>IF(A43="","",INDEX('Repayment Schedule'!G7:G2086,MIN(37*'Loan Inputs'!$B$14,Dashboard!$B$13)))</f>
        <v/>
      </c>
      <c r="F43" s="2" t="str">
        <f>IF(A43="","",SUMIFS('Repayment Schedule'!D7:D2086,'Repayment Schedule'!A7:A2086,"&gt;="&amp;(36*'Loan Inputs'!$B$14+1),'Repayment Schedule'!A7:A2086,"&lt;="&amp;(MIN(37*'Loan Inputs'!$B$14,Dashboard!$B$13))))</f>
        <v/>
      </c>
      <c r="G43" s="2" t="str">
        <f>IF(A43="","",SUMIFS('Repayment Schedule'!H7:H2086,'Repayment Schedule'!A7:A2086,"&gt;="&amp;(36*'Loan Inputs'!$B$14+1),'Repayment Schedule'!A7:A2086,"&lt;="&amp;(MIN(37*'Loan Inputs'!$B$14,Dashboard!$B$13))))</f>
        <v/>
      </c>
      <c r="H43" s="1"/>
    </row>
    <row r="44" spans="1:8" ht="22" customHeight="1">
      <c r="A44" s="1" t="str">
        <f>IF(AND('Loan Inputs'!$B$12,37*'Loan Inputs'!$B$14+1&lt;=Dashboard!$B$13),38,"")</f>
        <v/>
      </c>
      <c r="B44" s="2" t="str">
        <f>IF(A44="","",INDEX('Repayment Schedule'!C7:C2086,37*'Loan Inputs'!$B$14+1))</f>
        <v/>
      </c>
      <c r="C44" s="2" t="str">
        <f>IF(A44="","",SUMIFS('Repayment Schedule'!F7:F2086,'Repayment Schedule'!A7:A2086,"&gt;="&amp;(37*'Loan Inputs'!$B$14+1),'Repayment Schedule'!A7:A2086,"&lt;="&amp;(MIN(38*'Loan Inputs'!$B$14,Dashboard!$B$13))))</f>
        <v/>
      </c>
      <c r="D44" s="2" t="str">
        <f>IF(A44="","",SUMIFS('Repayment Schedule'!E7:E2086,'Repayment Schedule'!A7:A2086,"&gt;="&amp;(37*'Loan Inputs'!$B$14+1),'Repayment Schedule'!A7:A2086,"&lt;="&amp;(MIN(38*'Loan Inputs'!$B$14,Dashboard!$B$13))))</f>
        <v/>
      </c>
      <c r="E44" s="2" t="str">
        <f>IF(A44="","",INDEX('Repayment Schedule'!G7:G2086,MIN(38*'Loan Inputs'!$B$14,Dashboard!$B$13)))</f>
        <v/>
      </c>
      <c r="F44" s="2" t="str">
        <f>IF(A44="","",SUMIFS('Repayment Schedule'!D7:D2086,'Repayment Schedule'!A7:A2086,"&gt;="&amp;(37*'Loan Inputs'!$B$14+1),'Repayment Schedule'!A7:A2086,"&lt;="&amp;(MIN(38*'Loan Inputs'!$B$14,Dashboard!$B$13))))</f>
        <v/>
      </c>
      <c r="G44" s="2" t="str">
        <f>IF(A44="","",SUMIFS('Repayment Schedule'!H7:H2086,'Repayment Schedule'!A7:A2086,"&gt;="&amp;(37*'Loan Inputs'!$B$14+1),'Repayment Schedule'!A7:A2086,"&lt;="&amp;(MIN(38*'Loan Inputs'!$B$14,Dashboard!$B$13))))</f>
        <v/>
      </c>
      <c r="H44" s="1"/>
    </row>
    <row r="45" spans="1:8" ht="22" customHeight="1">
      <c r="A45" s="1" t="str">
        <f>IF(AND('Loan Inputs'!$B$12,38*'Loan Inputs'!$B$14+1&lt;=Dashboard!$B$13),39,"")</f>
        <v/>
      </c>
      <c r="B45" s="2" t="str">
        <f>IF(A45="","",INDEX('Repayment Schedule'!C7:C2086,38*'Loan Inputs'!$B$14+1))</f>
        <v/>
      </c>
      <c r="C45" s="2" t="str">
        <f>IF(A45="","",SUMIFS('Repayment Schedule'!F7:F2086,'Repayment Schedule'!A7:A2086,"&gt;="&amp;(38*'Loan Inputs'!$B$14+1),'Repayment Schedule'!A7:A2086,"&lt;="&amp;(MIN(39*'Loan Inputs'!$B$14,Dashboard!$B$13))))</f>
        <v/>
      </c>
      <c r="D45" s="2" t="str">
        <f>IF(A45="","",SUMIFS('Repayment Schedule'!E7:E2086,'Repayment Schedule'!A7:A2086,"&gt;="&amp;(38*'Loan Inputs'!$B$14+1),'Repayment Schedule'!A7:A2086,"&lt;="&amp;(MIN(39*'Loan Inputs'!$B$14,Dashboard!$B$13))))</f>
        <v/>
      </c>
      <c r="E45" s="2" t="str">
        <f>IF(A45="","",INDEX('Repayment Schedule'!G7:G2086,MIN(39*'Loan Inputs'!$B$14,Dashboard!$B$13)))</f>
        <v/>
      </c>
      <c r="F45" s="2" t="str">
        <f>IF(A45="","",SUMIFS('Repayment Schedule'!D7:D2086,'Repayment Schedule'!A7:A2086,"&gt;="&amp;(38*'Loan Inputs'!$B$14+1),'Repayment Schedule'!A7:A2086,"&lt;="&amp;(MIN(39*'Loan Inputs'!$B$14,Dashboard!$B$13))))</f>
        <v/>
      </c>
      <c r="G45" s="2" t="str">
        <f>IF(A45="","",SUMIFS('Repayment Schedule'!H7:H2086,'Repayment Schedule'!A7:A2086,"&gt;="&amp;(38*'Loan Inputs'!$B$14+1),'Repayment Schedule'!A7:A2086,"&lt;="&amp;(MIN(39*'Loan Inputs'!$B$14,Dashboard!$B$13))))</f>
        <v/>
      </c>
      <c r="H45" s="1"/>
    </row>
    <row r="46" spans="1:8" ht="22" customHeight="1">
      <c r="A46" s="1" t="str">
        <f>IF(AND('Loan Inputs'!$B$12,39*'Loan Inputs'!$B$14+1&lt;=Dashboard!$B$13),40,"")</f>
        <v/>
      </c>
      <c r="B46" s="2" t="str">
        <f>IF(A46="","",INDEX('Repayment Schedule'!C7:C2086,39*'Loan Inputs'!$B$14+1))</f>
        <v/>
      </c>
      <c r="C46" s="2" t="str">
        <f>IF(A46="","",SUMIFS('Repayment Schedule'!F7:F2086,'Repayment Schedule'!A7:A2086,"&gt;="&amp;(39*'Loan Inputs'!$B$14+1),'Repayment Schedule'!A7:A2086,"&lt;="&amp;(MIN(40*'Loan Inputs'!$B$14,Dashboard!$B$13))))</f>
        <v/>
      </c>
      <c r="D46" s="2" t="str">
        <f>IF(A46="","",SUMIFS('Repayment Schedule'!E7:E2086,'Repayment Schedule'!A7:A2086,"&gt;="&amp;(39*'Loan Inputs'!$B$14+1),'Repayment Schedule'!A7:A2086,"&lt;="&amp;(MIN(40*'Loan Inputs'!$B$14,Dashboard!$B$13))))</f>
        <v/>
      </c>
      <c r="E46" s="2" t="str">
        <f>IF(A46="","",INDEX('Repayment Schedule'!G7:G2086,MIN(40*'Loan Inputs'!$B$14,Dashboard!$B$13)))</f>
        <v/>
      </c>
      <c r="F46" s="2" t="str">
        <f>IF(A46="","",SUMIFS('Repayment Schedule'!D7:D2086,'Repayment Schedule'!A7:A2086,"&gt;="&amp;(39*'Loan Inputs'!$B$14+1),'Repayment Schedule'!A7:A2086,"&lt;="&amp;(MIN(40*'Loan Inputs'!$B$14,Dashboard!$B$13))))</f>
        <v/>
      </c>
      <c r="G46" s="2" t="str">
        <f>IF(A46="","",SUMIFS('Repayment Schedule'!H7:H2086,'Repayment Schedule'!A7:A2086,"&gt;="&amp;(39*'Loan Inputs'!$B$14+1),'Repayment Schedule'!A7:A2086,"&lt;="&amp;(MIN(40*'Loan Inputs'!$B$14,Dashboard!$B$13))))</f>
        <v/>
      </c>
      <c r="H46" s="1"/>
    </row>
    <row r="47" spans="1:8" ht="22" customHeight="1">
      <c r="A47" s="1"/>
      <c r="B47" s="1"/>
      <c r="C47" s="1"/>
      <c r="D47" s="1"/>
      <c r="E47" s="1"/>
      <c r="F47" s="1"/>
      <c r="G47" s="1"/>
      <c r="H47" s="1"/>
    </row>
    <row r="48" spans="1:8" ht="22" customHeight="1">
      <c r="A48" s="1"/>
      <c r="B48" s="1"/>
      <c r="C48" s="1"/>
      <c r="D48" s="1"/>
      <c r="E48" s="1"/>
      <c r="F48" s="1"/>
      <c r="G48" s="1"/>
      <c r="H48" s="1"/>
    </row>
    <row r="49" spans="1:8" ht="22" customHeight="1">
      <c r="A49" s="1"/>
      <c r="B49" s="1"/>
      <c r="C49" s="1"/>
      <c r="D49" s="1"/>
      <c r="E49" s="1"/>
      <c r="F49" s="1"/>
      <c r="G49" s="1"/>
      <c r="H49" s="1"/>
    </row>
    <row r="50" spans="1:8" ht="22" customHeight="1">
      <c r="A50" s="1"/>
      <c r="B50" s="1"/>
      <c r="C50" s="1"/>
      <c r="D50" s="1"/>
      <c r="E50" s="1"/>
      <c r="F50" s="1"/>
      <c r="G50" s="1"/>
      <c r="H50" s="1"/>
    </row>
    <row r="51" spans="1:8" ht="22" customHeight="1">
      <c r="A51" s="1"/>
      <c r="B51" s="1"/>
      <c r="C51" s="1"/>
      <c r="D51" s="1"/>
      <c r="E51" s="1"/>
      <c r="F51" s="1"/>
      <c r="G51" s="1"/>
      <c r="H51" s="1"/>
    </row>
    <row r="52" spans="1:8" ht="22" customHeight="1">
      <c r="A52" s="1"/>
      <c r="B52" s="1"/>
      <c r="C52" s="1"/>
      <c r="D52" s="1"/>
      <c r="E52" s="1"/>
      <c r="F52" s="1"/>
      <c r="G52" s="1"/>
      <c r="H52" s="1"/>
    </row>
    <row r="53" spans="1:8" ht="22" customHeight="1">
      <c r="A53" s="1"/>
      <c r="B53" s="1"/>
      <c r="C53" s="1"/>
      <c r="D53" s="1"/>
      <c r="E53" s="1"/>
      <c r="F53" s="1"/>
      <c r="G53" s="1"/>
      <c r="H53" s="1"/>
    </row>
    <row r="54" spans="1:8" ht="22" customHeight="1">
      <c r="A54" s="1"/>
      <c r="B54" s="1"/>
      <c r="C54" s="1"/>
      <c r="D54" s="1"/>
      <c r="E54" s="1"/>
      <c r="F54" s="1"/>
      <c r="G54" s="1"/>
      <c r="H54" s="1"/>
    </row>
    <row r="55" spans="1:8" ht="22" customHeight="1">
      <c r="A55" s="1"/>
      <c r="B55" s="1"/>
      <c r="C55" s="1"/>
      <c r="D55" s="1"/>
      <c r="E55" s="1"/>
      <c r="F55" s="1"/>
      <c r="G55" s="1"/>
      <c r="H55" s="1"/>
    </row>
    <row r="56" spans="1:8" ht="22" customHeight="1">
      <c r="A56" s="1"/>
      <c r="B56" s="1"/>
      <c r="C56" s="1"/>
      <c r="D56" s="1"/>
      <c r="E56" s="1"/>
      <c r="F56" s="1"/>
      <c r="G56" s="1"/>
      <c r="H56" s="1"/>
    </row>
    <row r="57" spans="1:8" ht="22" customHeight="1">
      <c r="A57" s="1"/>
      <c r="B57" s="1"/>
      <c r="C57" s="1"/>
      <c r="D57" s="1"/>
      <c r="E57" s="1"/>
      <c r="F57" s="1"/>
      <c r="G57" s="1"/>
      <c r="H57" s="1"/>
    </row>
    <row r="58" spans="1:8" ht="22" customHeight="1">
      <c r="A58" s="1"/>
      <c r="B58" s="1"/>
      <c r="C58" s="1"/>
      <c r="D58" s="1"/>
      <c r="E58" s="1"/>
      <c r="F58" s="1"/>
      <c r="G58" s="1"/>
      <c r="H58" s="1"/>
    </row>
    <row r="59" spans="1:8" ht="22" customHeight="1">
      <c r="A59" s="1"/>
      <c r="B59" s="1"/>
      <c r="C59" s="1"/>
      <c r="D59" s="1"/>
      <c r="E59" s="1"/>
      <c r="F59" s="1"/>
      <c r="G59" s="1"/>
      <c r="H59" s="1"/>
    </row>
    <row r="60" spans="1:8" ht="22" customHeight="1">
      <c r="A60" s="1"/>
      <c r="B60" s="1"/>
      <c r="C60" s="1"/>
      <c r="D60" s="1"/>
      <c r="E60" s="1"/>
      <c r="F60" s="1"/>
      <c r="G60" s="1"/>
      <c r="H60" s="1"/>
    </row>
    <row r="61" spans="1:8" ht="22" customHeight="1">
      <c r="A61" s="1"/>
      <c r="B61" s="1"/>
      <c r="C61" s="1"/>
      <c r="D61" s="1"/>
      <c r="E61" s="1"/>
      <c r="F61" s="1"/>
      <c r="G61" s="1"/>
      <c r="H61" s="1"/>
    </row>
    <row r="62" spans="1:8" ht="22" customHeight="1">
      <c r="A62" s="1"/>
      <c r="B62" s="1"/>
      <c r="C62" s="1"/>
      <c r="D62" s="1"/>
      <c r="E62" s="1"/>
      <c r="F62" s="1"/>
      <c r="G62" s="1"/>
      <c r="H62" s="1"/>
    </row>
    <row r="63" spans="1:8" ht="22" customHeight="1">
      <c r="A63" s="1"/>
      <c r="B63" s="1"/>
      <c r="C63" s="1"/>
      <c r="D63" s="1"/>
      <c r="E63" s="1"/>
      <c r="F63" s="1"/>
      <c r="G63" s="1"/>
      <c r="H63" s="1"/>
    </row>
    <row r="64" spans="1:8" ht="22" customHeight="1">
      <c r="A64" s="1"/>
      <c r="B64" s="1"/>
      <c r="C64" s="1"/>
      <c r="D64" s="1"/>
      <c r="E64" s="1"/>
      <c r="F64" s="1"/>
      <c r="G64" s="1"/>
      <c r="H64" s="1"/>
    </row>
    <row r="65" spans="1:8" ht="22" customHeight="1">
      <c r="A65" s="1"/>
      <c r="B65" s="1"/>
      <c r="C65" s="1"/>
      <c r="D65" s="1"/>
      <c r="E65" s="1"/>
      <c r="F65" s="1"/>
      <c r="G65" s="1"/>
      <c r="H65" s="1"/>
    </row>
    <row r="66" spans="1:8" ht="22" customHeight="1">
      <c r="A66" s="1"/>
      <c r="B66" s="1"/>
      <c r="C66" s="1"/>
      <c r="D66" s="1"/>
      <c r="E66" s="1"/>
      <c r="F66" s="1"/>
      <c r="G66" s="1"/>
      <c r="H66" s="1"/>
    </row>
    <row r="67" spans="1:8" ht="22" customHeight="1">
      <c r="A67" s="1"/>
      <c r="B67" s="1"/>
      <c r="C67" s="1"/>
      <c r="D67" s="1"/>
      <c r="E67" s="1"/>
      <c r="F67" s="1"/>
      <c r="G67" s="1"/>
      <c r="H67" s="1"/>
    </row>
    <row r="68" spans="1:8" ht="22" customHeight="1">
      <c r="A68" s="1"/>
      <c r="B68" s="1"/>
      <c r="C68" s="1"/>
      <c r="D68" s="1"/>
      <c r="E68" s="1"/>
      <c r="F68" s="1"/>
      <c r="G68" s="1"/>
      <c r="H68" s="1"/>
    </row>
    <row r="69" spans="1:8" ht="22" customHeight="1">
      <c r="A69" s="1"/>
      <c r="B69" s="1"/>
      <c r="C69" s="1"/>
      <c r="D69" s="1"/>
      <c r="E69" s="1"/>
      <c r="F69" s="1"/>
      <c r="G69" s="1"/>
      <c r="H69" s="1"/>
    </row>
    <row r="70" spans="1:8" ht="22" customHeight="1">
      <c r="A70" s="1"/>
      <c r="B70" s="1"/>
      <c r="C70" s="1"/>
      <c r="D70" s="1"/>
      <c r="E70" s="1"/>
      <c r="F70" s="1"/>
      <c r="G70" s="1"/>
      <c r="H70" s="1"/>
    </row>
    <row r="71" spans="1:8" ht="22" customHeight="1">
      <c r="A71" s="1"/>
      <c r="B71" s="1"/>
      <c r="C71" s="1"/>
      <c r="D71" s="1"/>
      <c r="E71" s="1"/>
      <c r="F71" s="1"/>
      <c r="G71" s="1"/>
      <c r="H71" s="1"/>
    </row>
    <row r="72" spans="1:8" ht="22" customHeight="1">
      <c r="A72" s="1"/>
      <c r="B72" s="1"/>
      <c r="C72" s="1"/>
      <c r="D72" s="1"/>
      <c r="E72" s="1"/>
      <c r="F72" s="1"/>
      <c r="G72" s="1"/>
      <c r="H72" s="1"/>
    </row>
    <row r="73" spans="1:8" ht="22" customHeight="1">
      <c r="A73" s="1"/>
      <c r="B73" s="1"/>
      <c r="C73" s="1"/>
      <c r="D73" s="1"/>
      <c r="E73" s="1"/>
      <c r="F73" s="1"/>
      <c r="G73" s="1"/>
      <c r="H73" s="1"/>
    </row>
    <row r="74" spans="1:8" ht="22" customHeight="1">
      <c r="A74" s="1"/>
      <c r="B74" s="1"/>
      <c r="C74" s="1"/>
      <c r="D74" s="1"/>
      <c r="E74" s="1"/>
      <c r="F74" s="1"/>
      <c r="G74" s="1"/>
      <c r="H74" s="1"/>
    </row>
    <row r="75" spans="1:8" ht="22" customHeight="1">
      <c r="A75" s="1"/>
      <c r="B75" s="1"/>
      <c r="C75" s="1"/>
      <c r="D75" s="1"/>
      <c r="E75" s="1"/>
      <c r="F75" s="1"/>
      <c r="G75" s="1"/>
      <c r="H75" s="1"/>
    </row>
    <row r="76" spans="1:8" ht="22" customHeight="1">
      <c r="A76" s="1"/>
      <c r="B76" s="1"/>
      <c r="C76" s="1"/>
      <c r="D76" s="1"/>
      <c r="E76" s="1"/>
      <c r="F76" s="1"/>
      <c r="G76" s="1"/>
      <c r="H76" s="1"/>
    </row>
    <row r="77" spans="1:8" ht="22" customHeight="1">
      <c r="A77" s="1"/>
      <c r="B77" s="1"/>
      <c r="C77" s="1"/>
      <c r="D77" s="1"/>
      <c r="E77" s="1"/>
      <c r="F77" s="1"/>
      <c r="G77" s="1"/>
      <c r="H77" s="1"/>
    </row>
    <row r="78" spans="1:8" ht="22" customHeight="1">
      <c r="A78" s="1"/>
      <c r="B78" s="1"/>
      <c r="C78" s="1"/>
      <c r="D78" s="1"/>
      <c r="E78" s="1"/>
      <c r="F78" s="1"/>
      <c r="G78" s="1"/>
      <c r="H78" s="1"/>
    </row>
    <row r="79" spans="1:8" ht="22" customHeight="1">
      <c r="A79" s="1"/>
      <c r="B79" s="1"/>
      <c r="C79" s="1"/>
      <c r="D79" s="1"/>
      <c r="E79" s="1"/>
      <c r="F79" s="1"/>
      <c r="G79" s="1"/>
      <c r="H79" s="1"/>
    </row>
    <row r="80" spans="1:8" ht="22" customHeight="1">
      <c r="A80" s="1"/>
      <c r="B80" s="1"/>
      <c r="C80" s="1"/>
      <c r="D80" s="1"/>
      <c r="E80" s="1"/>
      <c r="F80" s="1"/>
      <c r="G80" s="1"/>
      <c r="H80" s="1"/>
    </row>
    <row r="81" spans="1:8" ht="22" customHeight="1">
      <c r="A81" s="1"/>
      <c r="B81" s="1"/>
      <c r="C81" s="1"/>
      <c r="D81" s="1"/>
      <c r="E81" s="1"/>
      <c r="F81" s="1"/>
      <c r="G81" s="1"/>
      <c r="H81" s="1"/>
    </row>
    <row r="82" spans="1:8" ht="22" customHeight="1">
      <c r="A82" s="1"/>
      <c r="B82" s="1"/>
      <c r="C82" s="1"/>
      <c r="D82" s="1"/>
      <c r="E82" s="1"/>
      <c r="F82" s="1"/>
      <c r="G82" s="1"/>
      <c r="H82" s="1"/>
    </row>
    <row r="83" spans="1:8" ht="22" customHeight="1">
      <c r="A83" s="1"/>
      <c r="B83" s="1"/>
      <c r="C83" s="1"/>
      <c r="D83" s="1"/>
      <c r="E83" s="1"/>
      <c r="F83" s="1"/>
      <c r="G83" s="1"/>
      <c r="H83" s="1"/>
    </row>
    <row r="84" spans="1:8" ht="22" customHeight="1">
      <c r="A84" s="1"/>
      <c r="B84" s="1"/>
      <c r="C84" s="1"/>
      <c r="D84" s="1"/>
      <c r="E84" s="1"/>
      <c r="F84" s="1"/>
      <c r="G84" s="1"/>
      <c r="H84" s="1"/>
    </row>
    <row r="85" spans="1:8" ht="22" customHeight="1">
      <c r="A85" s="1"/>
      <c r="B85" s="1"/>
      <c r="C85" s="1"/>
      <c r="D85" s="1"/>
      <c r="E85" s="1"/>
      <c r="F85" s="1"/>
      <c r="G85" s="1"/>
      <c r="H85" s="1"/>
    </row>
    <row r="86" spans="1:8" ht="22" customHeight="1">
      <c r="A86" s="1"/>
      <c r="B86" s="1"/>
      <c r="C86" s="1"/>
      <c r="D86" s="1"/>
      <c r="E86" s="1"/>
      <c r="F86" s="1"/>
      <c r="G86" s="1"/>
      <c r="H86" s="1"/>
    </row>
    <row r="87" spans="1:8" ht="22" customHeight="1">
      <c r="A87" s="1"/>
      <c r="B87" s="1"/>
      <c r="C87" s="1"/>
      <c r="D87" s="1"/>
      <c r="E87" s="1"/>
      <c r="F87" s="1"/>
      <c r="G87" s="1"/>
      <c r="H87" s="1"/>
    </row>
    <row r="88" spans="1:8" ht="22" customHeight="1">
      <c r="A88" s="1"/>
      <c r="B88" s="1"/>
      <c r="C88" s="1"/>
      <c r="D88" s="1"/>
      <c r="E88" s="1"/>
      <c r="F88" s="1"/>
      <c r="G88" s="1"/>
      <c r="H88" s="1"/>
    </row>
    <row r="89" spans="1:8" ht="22" customHeight="1">
      <c r="A89" s="1"/>
      <c r="B89" s="1"/>
      <c r="C89" s="1"/>
      <c r="D89" s="1"/>
      <c r="E89" s="1"/>
      <c r="F89" s="1"/>
      <c r="G89" s="1"/>
      <c r="H89" s="1"/>
    </row>
    <row r="90" spans="1:8" ht="22" customHeight="1">
      <c r="A90" s="1"/>
      <c r="B90" s="1"/>
      <c r="C90" s="1"/>
      <c r="D90" s="1"/>
      <c r="E90" s="1"/>
      <c r="F90" s="1"/>
      <c r="G90" s="1"/>
      <c r="H90" s="1"/>
    </row>
  </sheetData>
  <sheetProtection sheet="1" objects="1" scenarios="1"/>
  <mergeCells count="1">
    <mergeCell ref="A1:H2"/>
  </mergeCells>
  <pageMargins left="0.39370078740157477" right="0.39370078740157477" top="0.39370078740157477" bottom="0.39370078740157477" header="0.3" footer="0.3"/>
  <pageSetup paperSize="9" fitToHeight="0" orientation="landscape" r:id="rId1"/>
  <headerFooter>
    <oddFooter>&amp;CCalcy | Page &amp;P&amp;Rcalcy.com.au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EAF4EE"/>
    <pageSetUpPr fitToPage="1"/>
  </sheetPr>
  <dimension ref="A1:H90"/>
  <sheetViews>
    <sheetView showGridLines="0" zoomScaleNormal="100" workbookViewId="0">
      <pane ySplit="40" topLeftCell="A41" activePane="bottomLeft" state="frozen"/>
      <selection pane="bottomLeft" sqref="A1:H2"/>
    </sheetView>
  </sheetViews>
  <sheetFormatPr defaultRowHeight="14.15"/>
  <cols>
    <col min="1" max="1" width="28" customWidth="1"/>
    <col min="2" max="8" width="16" customWidth="1"/>
  </cols>
  <sheetData>
    <row r="1" spans="1:8" ht="22" customHeight="1">
      <c r="A1" s="12" t="s">
        <v>43</v>
      </c>
      <c r="B1" s="12" t="s">
        <v>43</v>
      </c>
      <c r="C1" s="12" t="s">
        <v>43</v>
      </c>
      <c r="D1" s="12" t="s">
        <v>43</v>
      </c>
      <c r="E1" s="12" t="s">
        <v>43</v>
      </c>
      <c r="F1" s="12" t="s">
        <v>43</v>
      </c>
      <c r="G1" s="12" t="s">
        <v>43</v>
      </c>
      <c r="H1" s="12" t="s">
        <v>43</v>
      </c>
    </row>
    <row r="2" spans="1:8" ht="22" customHeight="1">
      <c r="A2" s="12" t="s">
        <v>43</v>
      </c>
      <c r="B2" s="12" t="s">
        <v>43</v>
      </c>
      <c r="C2" s="12" t="s">
        <v>43</v>
      </c>
      <c r="D2" s="12" t="s">
        <v>43</v>
      </c>
      <c r="E2" s="12" t="s">
        <v>43</v>
      </c>
      <c r="F2" s="12" t="s">
        <v>43</v>
      </c>
      <c r="G2" s="12" t="s">
        <v>43</v>
      </c>
      <c r="H2" s="12" t="s">
        <v>43</v>
      </c>
    </row>
    <row r="3" spans="1:8" ht="22" customHeight="1">
      <c r="A3" s="1"/>
      <c r="B3" s="1"/>
      <c r="C3" s="1"/>
      <c r="D3" s="1"/>
      <c r="E3" s="1"/>
      <c r="F3" s="1"/>
      <c r="G3" s="1"/>
      <c r="H3" s="1"/>
    </row>
    <row r="4" spans="1:8" ht="22" customHeight="1">
      <c r="A4" s="1"/>
      <c r="B4" s="1"/>
      <c r="C4" s="1"/>
      <c r="D4" s="1"/>
      <c r="E4" s="1"/>
      <c r="F4" s="1"/>
      <c r="G4" s="1"/>
      <c r="H4" s="1"/>
    </row>
    <row r="5" spans="1:8" ht="22" customHeight="1">
      <c r="A5" s="1"/>
      <c r="B5" s="1"/>
      <c r="C5" s="1"/>
      <c r="D5" s="1"/>
      <c r="E5" s="1"/>
      <c r="F5" s="1"/>
      <c r="G5" s="1"/>
      <c r="H5" s="1"/>
    </row>
    <row r="6" spans="1:8" ht="22" customHeight="1">
      <c r="A6" s="1"/>
      <c r="B6" s="1"/>
      <c r="C6" s="1"/>
      <c r="D6" s="1"/>
      <c r="E6" s="1"/>
      <c r="F6" s="1"/>
      <c r="G6" s="1"/>
      <c r="H6" s="1"/>
    </row>
    <row r="7" spans="1:8" ht="22" customHeight="1">
      <c r="A7" s="1"/>
      <c r="B7" s="1"/>
      <c r="C7" s="1"/>
      <c r="D7" s="1"/>
      <c r="E7" s="1"/>
      <c r="F7" s="1"/>
      <c r="G7" s="1"/>
      <c r="H7" s="1"/>
    </row>
    <row r="8" spans="1:8" ht="22" customHeight="1">
      <c r="A8" s="1"/>
      <c r="B8" s="1"/>
      <c r="C8" s="1"/>
      <c r="D8" s="1"/>
      <c r="E8" s="1"/>
      <c r="F8" s="1"/>
      <c r="G8" s="1"/>
      <c r="H8" s="1"/>
    </row>
    <row r="9" spans="1:8" ht="22" customHeight="1">
      <c r="A9" s="1"/>
      <c r="B9" s="1"/>
      <c r="C9" s="1"/>
      <c r="D9" s="1"/>
      <c r="E9" s="1"/>
      <c r="F9" s="1"/>
      <c r="G9" s="1"/>
      <c r="H9" s="1"/>
    </row>
    <row r="10" spans="1:8" ht="22" customHeight="1">
      <c r="A10" s="1"/>
      <c r="B10" s="1"/>
      <c r="C10" s="1"/>
      <c r="D10" s="1"/>
      <c r="E10" s="1"/>
      <c r="F10" s="1"/>
      <c r="G10" s="1"/>
      <c r="H10" s="1"/>
    </row>
    <row r="11" spans="1:8" ht="22" customHeight="1">
      <c r="A11" s="1"/>
      <c r="B11" s="1"/>
      <c r="C11" s="1"/>
      <c r="D11" s="1"/>
      <c r="E11" s="1"/>
      <c r="F11" s="1"/>
      <c r="G11" s="1"/>
      <c r="H11" s="1"/>
    </row>
    <row r="12" spans="1:8" ht="22" customHeight="1">
      <c r="A12" s="1"/>
      <c r="B12" s="1"/>
      <c r="C12" s="1"/>
      <c r="D12" s="1"/>
      <c r="E12" s="1"/>
      <c r="F12" s="1"/>
      <c r="G12" s="1"/>
      <c r="H12" s="1"/>
    </row>
    <row r="13" spans="1:8" ht="22" customHeight="1">
      <c r="A13" s="1"/>
      <c r="B13" s="1"/>
      <c r="C13" s="1"/>
      <c r="D13" s="1"/>
      <c r="E13" s="1"/>
      <c r="F13" s="1"/>
      <c r="G13" s="1"/>
      <c r="H13" s="1"/>
    </row>
    <row r="14" spans="1:8" ht="22" customHeight="1">
      <c r="A14" s="1"/>
      <c r="B14" s="1"/>
      <c r="C14" s="1"/>
      <c r="D14" s="1"/>
      <c r="E14" s="1"/>
      <c r="F14" s="1"/>
      <c r="G14" s="1"/>
      <c r="H14" s="1"/>
    </row>
    <row r="15" spans="1:8" ht="22" customHeight="1">
      <c r="A15" s="1"/>
      <c r="B15" s="1"/>
      <c r="C15" s="1"/>
      <c r="D15" s="1"/>
      <c r="E15" s="1"/>
      <c r="F15" s="1"/>
      <c r="G15" s="1"/>
      <c r="H15" s="1"/>
    </row>
    <row r="16" spans="1:8" ht="22" customHeight="1">
      <c r="A16" s="1"/>
      <c r="B16" s="1"/>
      <c r="C16" s="1"/>
      <c r="D16" s="1"/>
      <c r="E16" s="1"/>
      <c r="F16" s="1"/>
      <c r="G16" s="1"/>
      <c r="H16" s="1"/>
    </row>
    <row r="17" spans="1:8" ht="22" customHeight="1">
      <c r="A17" s="1"/>
      <c r="B17" s="1"/>
      <c r="C17" s="1"/>
      <c r="D17" s="1"/>
      <c r="E17" s="1"/>
      <c r="F17" s="1"/>
      <c r="G17" s="1"/>
      <c r="H17" s="1"/>
    </row>
    <row r="18" spans="1:8" ht="22" customHeight="1">
      <c r="A18" s="1"/>
      <c r="B18" s="1"/>
      <c r="C18" s="1"/>
      <c r="D18" s="1"/>
      <c r="E18" s="1"/>
      <c r="F18" s="1"/>
      <c r="G18" s="1"/>
      <c r="H18" s="1"/>
    </row>
    <row r="19" spans="1:8" ht="22" customHeight="1">
      <c r="A19" s="1"/>
      <c r="B19" s="1"/>
      <c r="C19" s="1"/>
      <c r="D19" s="1"/>
      <c r="E19" s="1"/>
      <c r="F19" s="1"/>
      <c r="G19" s="1"/>
      <c r="H19" s="1"/>
    </row>
    <row r="20" spans="1:8" ht="22" customHeight="1">
      <c r="A20" s="1"/>
      <c r="B20" s="1"/>
      <c r="C20" s="1"/>
      <c r="D20" s="1"/>
      <c r="E20" s="1"/>
      <c r="F20" s="1"/>
      <c r="G20" s="1"/>
      <c r="H20" s="1"/>
    </row>
    <row r="21" spans="1:8" ht="22" customHeight="1">
      <c r="A21" s="1"/>
      <c r="B21" s="1"/>
      <c r="C21" s="1"/>
      <c r="D21" s="1"/>
      <c r="E21" s="1"/>
      <c r="F21" s="1"/>
      <c r="G21" s="1"/>
      <c r="H21" s="1"/>
    </row>
    <row r="22" spans="1:8" ht="22" customHeight="1">
      <c r="A22" s="1"/>
      <c r="B22" s="1"/>
      <c r="C22" s="1"/>
      <c r="D22" s="1"/>
      <c r="E22" s="1"/>
      <c r="F22" s="1"/>
      <c r="G22" s="1"/>
      <c r="H22" s="1"/>
    </row>
    <row r="23" spans="1:8" ht="22" customHeight="1">
      <c r="A23" s="1"/>
      <c r="B23" s="1"/>
      <c r="C23" s="1"/>
      <c r="D23" s="1"/>
      <c r="E23" s="1"/>
      <c r="F23" s="1"/>
      <c r="G23" s="1"/>
      <c r="H23" s="1"/>
    </row>
    <row r="24" spans="1:8" ht="22" customHeight="1">
      <c r="A24" s="1"/>
      <c r="B24" s="1"/>
      <c r="C24" s="1"/>
      <c r="D24" s="1"/>
      <c r="E24" s="1"/>
      <c r="F24" s="1"/>
      <c r="G24" s="1"/>
      <c r="H24" s="1"/>
    </row>
    <row r="25" spans="1:8" ht="22" customHeight="1">
      <c r="A25" s="1"/>
      <c r="B25" s="1"/>
      <c r="C25" s="1"/>
      <c r="D25" s="1"/>
      <c r="E25" s="1"/>
      <c r="F25" s="1"/>
      <c r="G25" s="1"/>
      <c r="H25" s="1"/>
    </row>
    <row r="26" spans="1:8" ht="22" customHeight="1">
      <c r="A26" s="1"/>
      <c r="B26" s="1"/>
      <c r="C26" s="1"/>
      <c r="D26" s="1"/>
      <c r="E26" s="1"/>
      <c r="F26" s="1"/>
      <c r="G26" s="1"/>
      <c r="H26" s="1"/>
    </row>
    <row r="27" spans="1:8" ht="22" customHeight="1">
      <c r="A27" s="1"/>
      <c r="B27" s="1"/>
      <c r="C27" s="1"/>
      <c r="D27" s="1"/>
      <c r="E27" s="1"/>
      <c r="F27" s="1"/>
      <c r="G27" s="1"/>
      <c r="H27" s="1"/>
    </row>
    <row r="28" spans="1:8" ht="22" customHeight="1">
      <c r="A28" s="1"/>
      <c r="B28" s="1"/>
      <c r="C28" s="1"/>
      <c r="D28" s="1"/>
      <c r="E28" s="1"/>
      <c r="F28" s="1"/>
      <c r="G28" s="1"/>
      <c r="H28" s="1"/>
    </row>
    <row r="29" spans="1:8" ht="22" customHeight="1">
      <c r="A29" s="1"/>
      <c r="B29" s="1"/>
      <c r="C29" s="1"/>
      <c r="D29" s="1"/>
      <c r="E29" s="1"/>
      <c r="F29" s="1"/>
      <c r="G29" s="1"/>
      <c r="H29" s="1"/>
    </row>
    <row r="30" spans="1:8" ht="22" customHeight="1">
      <c r="A30" s="1"/>
      <c r="B30" s="1"/>
      <c r="C30" s="1"/>
      <c r="D30" s="1"/>
      <c r="E30" s="1"/>
      <c r="F30" s="1"/>
      <c r="G30" s="1"/>
      <c r="H30" s="1"/>
    </row>
    <row r="31" spans="1:8" ht="22" customHeight="1">
      <c r="A31" s="1"/>
      <c r="B31" s="1"/>
      <c r="C31" s="1"/>
      <c r="D31" s="1"/>
      <c r="E31" s="1"/>
      <c r="F31" s="1"/>
      <c r="G31" s="1"/>
      <c r="H31" s="1"/>
    </row>
    <row r="32" spans="1:8" ht="22" customHeight="1">
      <c r="A32" s="1"/>
      <c r="B32" s="1"/>
      <c r="C32" s="1"/>
      <c r="D32" s="1"/>
      <c r="E32" s="1"/>
      <c r="F32" s="1"/>
      <c r="G32" s="1"/>
      <c r="H32" s="1"/>
    </row>
    <row r="33" spans="1:8" ht="22" customHeight="1">
      <c r="A33" s="1"/>
      <c r="B33" s="1"/>
      <c r="C33" s="1"/>
      <c r="D33" s="1"/>
      <c r="E33" s="1"/>
      <c r="F33" s="1"/>
      <c r="G33" s="1"/>
      <c r="H33" s="1"/>
    </row>
    <row r="34" spans="1:8" ht="22" customHeight="1">
      <c r="A34" s="1"/>
      <c r="B34" s="1"/>
      <c r="C34" s="1"/>
      <c r="D34" s="1"/>
      <c r="E34" s="1"/>
      <c r="F34" s="1"/>
      <c r="G34" s="1"/>
      <c r="H34" s="1"/>
    </row>
    <row r="35" spans="1:8" ht="22" customHeight="1">
      <c r="A35" s="1"/>
      <c r="B35" s="1"/>
      <c r="C35" s="1"/>
      <c r="D35" s="1"/>
      <c r="E35" s="1"/>
      <c r="F35" s="1"/>
      <c r="G35" s="1"/>
      <c r="H35" s="1"/>
    </row>
    <row r="36" spans="1:8" ht="22" customHeight="1">
      <c r="A36" s="1"/>
      <c r="B36" s="1"/>
      <c r="C36" s="1"/>
      <c r="D36" s="1"/>
      <c r="E36" s="1"/>
      <c r="F36" s="1"/>
      <c r="G36" s="1"/>
      <c r="H36" s="1"/>
    </row>
    <row r="37" spans="1:8" ht="22" customHeight="1">
      <c r="A37" s="1"/>
      <c r="B37" s="1"/>
      <c r="C37" s="1"/>
      <c r="D37" s="1"/>
      <c r="E37" s="1"/>
      <c r="F37" s="1"/>
      <c r="G37" s="1"/>
      <c r="H37" s="1"/>
    </row>
    <row r="38" spans="1:8" ht="22" customHeight="1">
      <c r="A38" s="1"/>
      <c r="B38" s="1"/>
      <c r="C38" s="1"/>
      <c r="D38" s="1"/>
      <c r="E38" s="1"/>
      <c r="F38" s="1"/>
      <c r="G38" s="1"/>
      <c r="H38" s="1"/>
    </row>
    <row r="39" spans="1:8" ht="22" customHeight="1">
      <c r="A39" s="1"/>
      <c r="B39" s="1"/>
      <c r="C39" s="1"/>
      <c r="D39" s="1"/>
      <c r="E39" s="1"/>
      <c r="F39" s="1"/>
      <c r="G39" s="1"/>
      <c r="H39" s="1"/>
    </row>
    <row r="40" spans="1:8" ht="32.049999999999997" customHeight="1">
      <c r="A40" s="3" t="s">
        <v>39</v>
      </c>
      <c r="B40" s="3" t="s">
        <v>36</v>
      </c>
      <c r="C40" s="3" t="s">
        <v>40</v>
      </c>
      <c r="D40" s="3" t="s">
        <v>41</v>
      </c>
      <c r="E40" s="1"/>
      <c r="F40" s="1"/>
      <c r="G40" s="1"/>
      <c r="H40" s="1"/>
    </row>
    <row r="41" spans="1:8" ht="22" customHeight="1">
      <c r="A41" s="1">
        <f>IF('Annual Summary'!A7="","",'Annual Summary'!A7)</f>
        <v>1</v>
      </c>
      <c r="B41" s="1">
        <f>IF(A41="","",'Annual Summary'!E7)</f>
        <v>642581.8400355241</v>
      </c>
      <c r="C41" s="1">
        <f>IF(A41="","",'Annual Summary'!C7)</f>
        <v>7418.1599644757225</v>
      </c>
      <c r="D41" s="1">
        <f>IF(A41="","",'Annual Summary'!D7)</f>
        <v>41320.240449212521</v>
      </c>
      <c r="E41" s="1"/>
      <c r="F41" s="1"/>
      <c r="G41" s="1"/>
      <c r="H41" s="1"/>
    </row>
    <row r="42" spans="1:8" ht="22" customHeight="1">
      <c r="A42" s="1">
        <f>IF('Annual Summary'!A8="","",'Annual Summary'!A8)</f>
        <v>2</v>
      </c>
      <c r="B42" s="1">
        <f>IF(A42="","",'Annual Summary'!E8)</f>
        <v>634675.52737747633</v>
      </c>
      <c r="C42" s="1">
        <f>IF(A42="","",'Annual Summary'!C8)</f>
        <v>7906.3126580479693</v>
      </c>
      <c r="D42" s="1">
        <f>IF(A42="","",'Annual Summary'!D8)</f>
        <v>40832.087755640277</v>
      </c>
      <c r="E42" s="1"/>
      <c r="F42" s="1"/>
      <c r="G42" s="1"/>
      <c r="H42" s="1"/>
    </row>
    <row r="43" spans="1:8" ht="22" customHeight="1">
      <c r="A43" s="1">
        <f>IF('Annual Summary'!A9="","",'Annual Summary'!A9)</f>
        <v>3</v>
      </c>
      <c r="B43" s="1">
        <f>IF(A43="","",'Annual Summary'!E9)</f>
        <v>626248.9390932984</v>
      </c>
      <c r="C43" s="1">
        <f>IF(A43="","",'Annual Summary'!C9)</f>
        <v>8426.5882841780131</v>
      </c>
      <c r="D43" s="1">
        <f>IF(A43="","",'Annual Summary'!D9)</f>
        <v>40311.812129510232</v>
      </c>
      <c r="E43" s="1"/>
      <c r="F43" s="1"/>
      <c r="G43" s="1"/>
      <c r="H43" s="1"/>
    </row>
    <row r="44" spans="1:8" ht="22" customHeight="1">
      <c r="A44" s="1">
        <f>IF('Annual Summary'!A10="","",'Annual Summary'!A10)</f>
        <v>4</v>
      </c>
      <c r="B44" s="1">
        <f>IF(A44="","",'Annual Summary'!E10)</f>
        <v>617267.83839792351</v>
      </c>
      <c r="C44" s="1">
        <f>IF(A44="","",'Annual Summary'!C10)</f>
        <v>8981.1006953749275</v>
      </c>
      <c r="D44" s="1">
        <f>IF(A44="","",'Annual Summary'!D10)</f>
        <v>39757.299718313312</v>
      </c>
      <c r="E44" s="1"/>
      <c r="F44" s="1"/>
      <c r="G44" s="1"/>
      <c r="H44" s="1"/>
    </row>
    <row r="45" spans="1:8" ht="22" customHeight="1">
      <c r="A45" s="1">
        <f>IF('Annual Summary'!A11="","",'Annual Summary'!A11)</f>
        <v>5</v>
      </c>
      <c r="B45" s="1">
        <f>IF(A45="","",'Annual Summary'!E11)</f>
        <v>607695.73555151839</v>
      </c>
      <c r="C45" s="1">
        <f>IF(A45="","",'Annual Summary'!C11)</f>
        <v>9572.1028464050742</v>
      </c>
      <c r="D45" s="1">
        <f>IF(A45="","",'Annual Summary'!D11)</f>
        <v>39166.29756728316</v>
      </c>
      <c r="E45" s="1"/>
      <c r="F45" s="1"/>
      <c r="G45" s="1"/>
      <c r="H45" s="1"/>
    </row>
    <row r="46" spans="1:8" ht="22" customHeight="1">
      <c r="A46" s="1">
        <f>IF('Annual Summary'!A12="","",'Annual Summary'!A12)</f>
        <v>6</v>
      </c>
      <c r="B46" s="1">
        <f>IF(A46="","",'Annual Summary'!E12)</f>
        <v>597493.73960358941</v>
      </c>
      <c r="C46" s="1">
        <f>IF(A46="","",'Annual Summary'!C12)</f>
        <v>10201.995947928874</v>
      </c>
      <c r="D46" s="1">
        <f>IF(A46="","",'Annual Summary'!D12)</f>
        <v>38536.404465759362</v>
      </c>
      <c r="E46" s="1"/>
      <c r="F46" s="1"/>
      <c r="G46" s="1"/>
      <c r="H46" s="1"/>
    </row>
    <row r="47" spans="1:8" ht="22" customHeight="1">
      <c r="A47" s="1">
        <f>IF('Annual Summary'!A13="","",'Annual Summary'!A13)</f>
        <v>7</v>
      </c>
      <c r="B47" s="1">
        <f>IF(A47="","",'Annual Summary'!E13)</f>
        <v>586620.40038109606</v>
      </c>
      <c r="C47" s="1">
        <f>IF(A47="","",'Annual Summary'!C13)</f>
        <v>10873.339222493407</v>
      </c>
      <c r="D47" s="1">
        <f>IF(A47="","",'Annual Summary'!D13)</f>
        <v>37865.061191194836</v>
      </c>
      <c r="E47" s="1"/>
      <c r="F47" s="1"/>
      <c r="G47" s="1"/>
      <c r="H47" s="1"/>
    </row>
    <row r="48" spans="1:8" ht="22" customHeight="1">
      <c r="A48" s="1">
        <f>IF('Annual Summary'!A14="","",'Annual Summary'!A14)</f>
        <v>8</v>
      </c>
      <c r="B48" s="1">
        <f>IF(A48="","",'Annual Summary'!E14)</f>
        <v>575031.540078577</v>
      </c>
      <c r="C48" s="1">
        <f>IF(A48="","",'Annual Summary'!C14)</f>
        <v>11588.860302519082</v>
      </c>
      <c r="D48" s="1">
        <f>IF(A48="","",'Annual Summary'!D14)</f>
        <v>37149.540111169161</v>
      </c>
      <c r="E48" s="1"/>
      <c r="F48" s="1"/>
      <c r="G48" s="1"/>
      <c r="H48" s="1"/>
    </row>
    <row r="49" spans="1:8" ht="22" customHeight="1">
      <c r="A49" s="1">
        <f>IF('Annual Summary'!A15="","",'Annual Summary'!A15)</f>
        <v>9</v>
      </c>
      <c r="B49" s="1">
        <f>IF(A49="","",'Annual Summary'!E15)</f>
        <v>562680.07376605051</v>
      </c>
      <c r="C49" s="1">
        <f>IF(A49="","",'Annual Summary'!C15)</f>
        <v>12351.466312526714</v>
      </c>
      <c r="D49" s="1">
        <f>IF(A49="","",'Annual Summary'!D15)</f>
        <v>36386.934101161518</v>
      </c>
      <c r="E49" s="1"/>
      <c r="F49" s="1"/>
      <c r="G49" s="1"/>
      <c r="H49" s="1"/>
    </row>
    <row r="50" spans="1:8" ht="22" customHeight="1">
      <c r="A50" s="1">
        <f>IF('Annual Summary'!A16="","",'Annual Summary'!A16)</f>
        <v>10</v>
      </c>
      <c r="B50" s="1">
        <f>IF(A50="","",'Annual Summary'!E16)</f>
        <v>549515.81808541901</v>
      </c>
      <c r="C50" s="1">
        <f>IF(A50="","",'Annual Summary'!C16)</f>
        <v>13164.255680631539</v>
      </c>
      <c r="D50" s="1">
        <f>IF(A50="","",'Annual Summary'!D16)</f>
        <v>35574.144733056703</v>
      </c>
      <c r="E50" s="1"/>
      <c r="F50" s="1"/>
      <c r="G50" s="1"/>
      <c r="H50" s="1"/>
    </row>
    <row r="51" spans="1:8" ht="22" customHeight="1">
      <c r="A51" s="1">
        <f>IF('Annual Summary'!A17="","",'Annual Summary'!A17)</f>
        <v>11</v>
      </c>
      <c r="B51" s="1">
        <f>IF(A51="","",'Annual Summary'!E17)</f>
        <v>535485.28735812509</v>
      </c>
      <c r="C51" s="1">
        <f>IF(A51="","",'Annual Summary'!C17)</f>
        <v>14030.530727293768</v>
      </c>
      <c r="D51" s="1">
        <f>IF(A51="","",'Annual Summary'!D17)</f>
        <v>34707.869686394472</v>
      </c>
      <c r="E51" s="1"/>
      <c r="F51" s="1"/>
      <c r="G51" s="1"/>
      <c r="H51" s="1"/>
    </row>
    <row r="52" spans="1:8" ht="22" customHeight="1">
      <c r="A52" s="1">
        <f>IF('Annual Summary'!A18="","",'Annual Summary'!A18)</f>
        <v>12</v>
      </c>
      <c r="B52" s="1">
        <f>IF(A52="","",'Annual Summary'!E18)</f>
        <v>520531.47627565206</v>
      </c>
      <c r="C52" s="1">
        <f>IF(A52="","",'Annual Summary'!C18)</f>
        <v>14953.811082472897</v>
      </c>
      <c r="D52" s="1">
        <f>IF(A52="","",'Annual Summary'!D18)</f>
        <v>33784.589331215342</v>
      </c>
      <c r="E52" s="1"/>
      <c r="F52" s="1"/>
      <c r="G52" s="1"/>
      <c r="H52" s="1"/>
    </row>
    <row r="53" spans="1:8" ht="22" customHeight="1">
      <c r="A53" s="1">
        <f>IF('Annual Summary'!A19="","",'Annual Summary'!A19)</f>
        <v>13</v>
      </c>
      <c r="B53" s="1">
        <f>IF(A53="","",'Annual Summary'!E19)</f>
        <v>504593.62828995282</v>
      </c>
      <c r="C53" s="1">
        <f>IF(A53="","",'Annual Summary'!C19)</f>
        <v>15937.847985699162</v>
      </c>
      <c r="D53" s="1">
        <f>IF(A53="","",'Annual Summary'!D19)</f>
        <v>32800.552427989081</v>
      </c>
      <c r="E53" s="1"/>
      <c r="F53" s="1"/>
      <c r="G53" s="1"/>
      <c r="H53" s="1"/>
    </row>
    <row r="54" spans="1:8" ht="22" customHeight="1">
      <c r="A54" s="1">
        <f>IF('Annual Summary'!A20="","",'Annual Summary'!A20)</f>
        <v>14</v>
      </c>
      <c r="B54" s="1">
        <f>IF(A54="","",'Annual Summary'!E20)</f>
        <v>487606.98876279028</v>
      </c>
      <c r="C54" s="1">
        <f>IF(A54="","",'Annual Summary'!C20)</f>
        <v>16986.639527162501</v>
      </c>
      <c r="D54" s="1">
        <f>IF(A54="","",'Annual Summary'!D20)</f>
        <v>31751.760886525743</v>
      </c>
      <c r="E54" s="1"/>
      <c r="F54" s="1"/>
      <c r="G54" s="1"/>
      <c r="H54" s="1"/>
    </row>
    <row r="55" spans="1:8" ht="22" customHeight="1">
      <c r="A55" s="1">
        <f>IF('Annual Summary'!A21="","",'Annual Summary'!A21)</f>
        <v>15</v>
      </c>
      <c r="B55" s="1">
        <f>IF(A55="","",'Annual Summary'!E21)</f>
        <v>469502.54187104764</v>
      </c>
      <c r="C55" s="1">
        <f>IF(A55="","",'Annual Summary'!C21)</f>
        <v>18104.446891742733</v>
      </c>
      <c r="D55" s="1">
        <f>IF(A55="","",'Annual Summary'!D21)</f>
        <v>30633.953521945507</v>
      </c>
      <c r="E55" s="1"/>
      <c r="F55" s="1"/>
      <c r="G55" s="1"/>
      <c r="H55" s="1"/>
    </row>
    <row r="56" spans="1:8" ht="22" customHeight="1">
      <c r="A56" s="1">
        <f>IF('Annual Summary'!A22="","",'Annual Summary'!A22)</f>
        <v>16</v>
      </c>
      <c r="B56" s="1">
        <f>IF(A56="","",'Annual Summary'!E22)</f>
        <v>450206.73019906797</v>
      </c>
      <c r="C56" s="1">
        <f>IF(A56="","",'Annual Summary'!C22)</f>
        <v>19295.811671979649</v>
      </c>
      <c r="D56" s="1">
        <f>IF(A56="","",'Annual Summary'!D22)</f>
        <v>29442.588741708583</v>
      </c>
      <c r="E56" s="1"/>
      <c r="F56" s="1"/>
      <c r="G56" s="1"/>
      <c r="H56" s="1"/>
    </row>
    <row r="57" spans="1:8" ht="22" customHeight="1">
      <c r="A57" s="1">
        <f>IF('Annual Summary'!A23="","",'Annual Summary'!A23)</f>
        <v>17</v>
      </c>
      <c r="B57" s="1">
        <f>IF(A57="","",'Annual Summary'!E23)</f>
        <v>429641.15587874333</v>
      </c>
      <c r="C57" s="1">
        <f>IF(A57="","",'Annual Summary'!C23)</f>
        <v>20565.574320324678</v>
      </c>
      <c r="D57" s="1">
        <f>IF(A57="","",'Annual Summary'!D23)</f>
        <v>28172.826093363565</v>
      </c>
      <c r="E57" s="1"/>
      <c r="F57" s="1"/>
      <c r="G57" s="1"/>
      <c r="H57" s="1"/>
    </row>
    <row r="58" spans="1:8" ht="22" customHeight="1">
      <c r="A58" s="1">
        <f>IF('Annual Summary'!A24="","",'Annual Summary'!A24)</f>
        <v>18</v>
      </c>
      <c r="B58" s="1">
        <f>IF(A58="","",'Annual Summary'!E24)</f>
        <v>407722.26206309878</v>
      </c>
      <c r="C58" s="1">
        <f>IF(A58="","",'Annual Summary'!C24)</f>
        <v>21918.893815644598</v>
      </c>
      <c r="D58" s="1">
        <f>IF(A58="","",'Annual Summary'!D24)</f>
        <v>26819.506598043641</v>
      </c>
      <c r="E58" s="1"/>
      <c r="F58" s="1"/>
      <c r="G58" s="1"/>
      <c r="H58" s="1"/>
    </row>
    <row r="59" spans="1:8" ht="22" customHeight="1">
      <c r="A59" s="1">
        <f>IF('Annual Summary'!A25="","",'Annual Summary'!A25)</f>
        <v>19</v>
      </c>
      <c r="B59" s="1">
        <f>IF(A59="","",'Annual Summary'!E25)</f>
        <v>384360.99343921733</v>
      </c>
      <c r="C59" s="1">
        <f>IF(A59="","",'Annual Summary'!C25)</f>
        <v>23361.268623881453</v>
      </c>
      <c r="D59" s="1">
        <f>IF(A59="","",'Annual Summary'!D25)</f>
        <v>25377.131789806786</v>
      </c>
      <c r="E59" s="1"/>
      <c r="F59" s="1"/>
      <c r="G59" s="1"/>
      <c r="H59" s="1"/>
    </row>
    <row r="60" spans="1:8" ht="22" customHeight="1">
      <c r="A60" s="1">
        <f>IF('Annual Summary'!A26="","",'Annual Summary'!A26)</f>
        <v>20</v>
      </c>
      <c r="B60" s="1">
        <f>IF(A60="","",'Annual Summary'!E26)</f>
        <v>359462.43440118682</v>
      </c>
      <c r="C60" s="1">
        <f>IF(A60="","",'Annual Summary'!C26)</f>
        <v>24898.559038030486</v>
      </c>
      <c r="D60" s="1">
        <f>IF(A60="","",'Annual Summary'!D26)</f>
        <v>23839.841375657754</v>
      </c>
      <c r="E60" s="1"/>
      <c r="F60" s="1"/>
      <c r="G60" s="1"/>
      <c r="H60" s="1"/>
    </row>
    <row r="61" spans="1:8" ht="22" customHeight="1">
      <c r="A61" s="1">
        <f>IF('Annual Summary'!A27="","",'Annual Summary'!A27)</f>
        <v>21</v>
      </c>
      <c r="B61" s="1">
        <f>IF(A61="","",'Annual Summary'!E27)</f>
        <v>332925.42341298441</v>
      </c>
      <c r="C61" s="1">
        <f>IF(A61="","",'Annual Summary'!C27)</f>
        <v>26537.010988202372</v>
      </c>
      <c r="D61" s="1">
        <f>IF(A61="","",'Annual Summary'!D27)</f>
        <v>22201.389425485868</v>
      </c>
      <c r="E61" s="1"/>
      <c r="F61" s="1"/>
      <c r="G61" s="1"/>
      <c r="H61" s="1"/>
    </row>
    <row r="62" spans="1:8" ht="22" customHeight="1">
      <c r="A62" s="1">
        <f>IF('Annual Summary'!A28="","",'Annual Summary'!A28)</f>
        <v>22</v>
      </c>
      <c r="B62" s="1">
        <f>IF(A62="","",'Annual Summary'!E28)</f>
        <v>304642.14199447556</v>
      </c>
      <c r="C62" s="1">
        <f>IF(A62="","",'Annual Summary'!C28)</f>
        <v>28283.281418508857</v>
      </c>
      <c r="D62" s="1">
        <f>IF(A62="","",'Annual Summary'!D28)</f>
        <v>20455.118995179382</v>
      </c>
      <c r="E62" s="1"/>
      <c r="F62" s="1"/>
      <c r="G62" s="1"/>
      <c r="H62" s="1"/>
    </row>
    <row r="63" spans="1:8" ht="22" customHeight="1">
      <c r="A63" s="1">
        <f>IF('Annual Summary'!A29="","",'Annual Summary'!A29)</f>
        <v>23</v>
      </c>
      <c r="B63" s="1">
        <f>IF(A63="","",'Annual Summary'!E29)</f>
        <v>274497.67666059884</v>
      </c>
      <c r="C63" s="1">
        <f>IF(A63="","",'Annual Summary'!C29)</f>
        <v>30144.465333876593</v>
      </c>
      <c r="D63" s="1">
        <f>IF(A63="","",'Annual Summary'!D29)</f>
        <v>18593.935079811647</v>
      </c>
      <c r="E63" s="1"/>
      <c r="F63" s="1"/>
      <c r="G63" s="1"/>
      <c r="H63" s="1"/>
    </row>
    <row r="64" spans="1:8" ht="22" customHeight="1">
      <c r="A64" s="1">
        <f>IF('Annual Summary'!A30="","",'Annual Summary'!A30)</f>
        <v>24</v>
      </c>
      <c r="B64" s="1">
        <f>IF(A64="","",'Annual Summary'!E30)</f>
        <v>242369.55203391978</v>
      </c>
      <c r="C64" s="1">
        <f>IF(A64="","",'Annual Summary'!C30)</f>
        <v>32128.124626679019</v>
      </c>
      <c r="D64" s="1">
        <f>IF(A64="","",'Annual Summary'!D30)</f>
        <v>16610.275787009221</v>
      </c>
      <c r="E64" s="1"/>
      <c r="F64" s="1"/>
      <c r="G64" s="1"/>
      <c r="H64" s="1"/>
    </row>
    <row r="65" spans="1:8" ht="22" customHeight="1">
      <c r="A65" s="1">
        <f>IF('Annual Summary'!A31="","",'Annual Summary'!A31)</f>
        <v>25</v>
      </c>
      <c r="B65" s="1">
        <f>IF(A65="","",'Annual Summary'!E31)</f>
        <v>208127.23323361229</v>
      </c>
      <c r="C65" s="1">
        <f>IF(A65="","",'Annual Summary'!C31)</f>
        <v>34242.318800307461</v>
      </c>
      <c r="D65" s="1">
        <f>IF(A65="","",'Annual Summary'!D31)</f>
        <v>14496.081613380784</v>
      </c>
      <c r="E65" s="1"/>
      <c r="F65" s="1"/>
      <c r="G65" s="1"/>
      <c r="H65" s="1"/>
    </row>
    <row r="66" spans="1:8" ht="22" customHeight="1">
      <c r="A66" s="1">
        <f>IF('Annual Summary'!A32="","",'Annual Summary'!A32)</f>
        <v>26</v>
      </c>
      <c r="B66" s="1">
        <f>IF(A66="","",'Annual Summary'!E32)</f>
        <v>171631.59551910273</v>
      </c>
      <c r="C66" s="1">
        <f>IF(A66="","",'Annual Summary'!C32)</f>
        <v>36495.637714509539</v>
      </c>
      <c r="D66" s="1">
        <f>IF(A66="","",'Annual Summary'!D32)</f>
        <v>12242.762699178702</v>
      </c>
      <c r="E66" s="1"/>
      <c r="F66" s="1"/>
      <c r="G66" s="1"/>
      <c r="H66" s="1"/>
    </row>
    <row r="67" spans="1:8" ht="22" customHeight="1">
      <c r="A67" s="1">
        <f>IF('Annual Summary'!A33="","",'Annual Summary'!A33)</f>
        <v>27</v>
      </c>
      <c r="B67" s="1">
        <f>IF(A67="","",'Annual Summary'!E33)</f>
        <v>132734.35903356507</v>
      </c>
      <c r="C67" s="1">
        <f>IF(A67="","",'Annual Summary'!C33)</f>
        <v>38897.236485537644</v>
      </c>
      <c r="D67" s="1">
        <f>IF(A67="","",'Annual Summary'!D33)</f>
        <v>9841.1639281505941</v>
      </c>
      <c r="E67" s="1"/>
      <c r="F67" s="1"/>
      <c r="G67" s="1"/>
      <c r="H67" s="1"/>
    </row>
    <row r="68" spans="1:8" ht="22" customHeight="1">
      <c r="A68" s="1">
        <f>IF('Annual Summary'!A34="","",'Annual Summary'!A34)</f>
        <v>28</v>
      </c>
      <c r="B68" s="1">
        <f>IF(A68="","",'Annual Summary'!E34)</f>
        <v>91277.486350660227</v>
      </c>
      <c r="C68" s="1">
        <f>IF(A68="","",'Annual Summary'!C34)</f>
        <v>41456.87268290481</v>
      </c>
      <c r="D68" s="1">
        <f>IF(A68="","",'Annual Summary'!D34)</f>
        <v>7281.5277307834285</v>
      </c>
      <c r="E68" s="1"/>
      <c r="F68" s="1"/>
      <c r="G68" s="1"/>
      <c r="H68" s="1"/>
    </row>
    <row r="69" spans="1:8" ht="22" customHeight="1">
      <c r="A69" s="1">
        <f>IF('Annual Summary'!A35="","",'Annual Summary'!A35)</f>
        <v>29</v>
      </c>
      <c r="B69" s="1">
        <f>IF(A69="","",'Annual Summary'!E35)</f>
        <v>47092.540376783734</v>
      </c>
      <c r="C69" s="1">
        <f>IF(A69="","",'Annual Summary'!C35)</f>
        <v>44184.945973876522</v>
      </c>
      <c r="D69" s="1">
        <f>IF(A69="","",'Annual Summary'!D35)</f>
        <v>4553.4544398117278</v>
      </c>
      <c r="E69" s="1"/>
      <c r="F69" s="1"/>
      <c r="G69" s="1"/>
      <c r="H69" s="1"/>
    </row>
    <row r="70" spans="1:8" ht="22" customHeight="1">
      <c r="A70" s="1">
        <f>IF('Annual Summary'!A36="","",'Annual Summary'!A36)</f>
        <v>30</v>
      </c>
      <c r="B70" s="1">
        <f>IF(A70="","",'Annual Summary'!E36)</f>
        <v>0</v>
      </c>
      <c r="C70" s="1">
        <f>IF(A70="","",'Annual Summary'!C36)</f>
        <v>47092.540376771889</v>
      </c>
      <c r="D70" s="1">
        <f>IF(A70="","",'Annual Summary'!D36)</f>
        <v>1645.8600369163578</v>
      </c>
      <c r="E70" s="1"/>
      <c r="F70" s="1"/>
      <c r="G70" s="1"/>
      <c r="H70" s="1"/>
    </row>
    <row r="71" spans="1:8" ht="22" customHeight="1">
      <c r="A71" s="1" t="str">
        <f>IF('Annual Summary'!A37="","",'Annual Summary'!A37)</f>
        <v/>
      </c>
      <c r="B71" s="1" t="str">
        <f>IF(A71="","",'Annual Summary'!E37)</f>
        <v/>
      </c>
      <c r="C71" s="1" t="str">
        <f>IF(A71="","",'Annual Summary'!C37)</f>
        <v/>
      </c>
      <c r="D71" s="1" t="str">
        <f>IF(A71="","",'Annual Summary'!D37)</f>
        <v/>
      </c>
      <c r="E71" s="1"/>
      <c r="F71" s="1"/>
      <c r="G71" s="1"/>
      <c r="H71" s="1"/>
    </row>
    <row r="72" spans="1:8" ht="22" customHeight="1">
      <c r="A72" s="1" t="str">
        <f>IF('Annual Summary'!A38="","",'Annual Summary'!A38)</f>
        <v/>
      </c>
      <c r="B72" s="1" t="str">
        <f>IF(A72="","",'Annual Summary'!E38)</f>
        <v/>
      </c>
      <c r="C72" s="1" t="str">
        <f>IF(A72="","",'Annual Summary'!C38)</f>
        <v/>
      </c>
      <c r="D72" s="1" t="str">
        <f>IF(A72="","",'Annual Summary'!D38)</f>
        <v/>
      </c>
      <c r="E72" s="1"/>
      <c r="F72" s="1"/>
      <c r="G72" s="1"/>
      <c r="H72" s="1"/>
    </row>
    <row r="73" spans="1:8" ht="22" customHeight="1">
      <c r="A73" s="1" t="str">
        <f>IF('Annual Summary'!A39="","",'Annual Summary'!A39)</f>
        <v/>
      </c>
      <c r="B73" s="1" t="str">
        <f>IF(A73="","",'Annual Summary'!E39)</f>
        <v/>
      </c>
      <c r="C73" s="1" t="str">
        <f>IF(A73="","",'Annual Summary'!C39)</f>
        <v/>
      </c>
      <c r="D73" s="1" t="str">
        <f>IF(A73="","",'Annual Summary'!D39)</f>
        <v/>
      </c>
      <c r="E73" s="1"/>
      <c r="F73" s="1"/>
      <c r="G73" s="1"/>
      <c r="H73" s="1"/>
    </row>
    <row r="74" spans="1:8" ht="22" customHeight="1">
      <c r="A74" s="1" t="str">
        <f>IF('Annual Summary'!A40="","",'Annual Summary'!A40)</f>
        <v/>
      </c>
      <c r="B74" s="1" t="str">
        <f>IF(A74="","",'Annual Summary'!E40)</f>
        <v/>
      </c>
      <c r="C74" s="1" t="str">
        <f>IF(A74="","",'Annual Summary'!C40)</f>
        <v/>
      </c>
      <c r="D74" s="1" t="str">
        <f>IF(A74="","",'Annual Summary'!D40)</f>
        <v/>
      </c>
      <c r="E74" s="1"/>
      <c r="F74" s="1"/>
      <c r="G74" s="1"/>
      <c r="H74" s="1"/>
    </row>
    <row r="75" spans="1:8" ht="22" customHeight="1">
      <c r="A75" s="1" t="str">
        <f>IF('Annual Summary'!A41="","",'Annual Summary'!A41)</f>
        <v/>
      </c>
      <c r="B75" s="1" t="str">
        <f>IF(A75="","",'Annual Summary'!E41)</f>
        <v/>
      </c>
      <c r="C75" s="1" t="str">
        <f>IF(A75="","",'Annual Summary'!C41)</f>
        <v/>
      </c>
      <c r="D75" s="1" t="str">
        <f>IF(A75="","",'Annual Summary'!D41)</f>
        <v/>
      </c>
      <c r="E75" s="1"/>
      <c r="F75" s="1"/>
      <c r="G75" s="1"/>
      <c r="H75" s="1"/>
    </row>
    <row r="76" spans="1:8" ht="22" customHeight="1">
      <c r="A76" s="1" t="str">
        <f>IF('Annual Summary'!A42="","",'Annual Summary'!A42)</f>
        <v/>
      </c>
      <c r="B76" s="1" t="str">
        <f>IF(A76="","",'Annual Summary'!E42)</f>
        <v/>
      </c>
      <c r="C76" s="1" t="str">
        <f>IF(A76="","",'Annual Summary'!C42)</f>
        <v/>
      </c>
      <c r="D76" s="1" t="str">
        <f>IF(A76="","",'Annual Summary'!D42)</f>
        <v/>
      </c>
      <c r="E76" s="1"/>
      <c r="F76" s="1"/>
      <c r="G76" s="1"/>
      <c r="H76" s="1"/>
    </row>
    <row r="77" spans="1:8" ht="22" customHeight="1">
      <c r="A77" s="1" t="str">
        <f>IF('Annual Summary'!A43="","",'Annual Summary'!A43)</f>
        <v/>
      </c>
      <c r="B77" s="1" t="str">
        <f>IF(A77="","",'Annual Summary'!E43)</f>
        <v/>
      </c>
      <c r="C77" s="1" t="str">
        <f>IF(A77="","",'Annual Summary'!C43)</f>
        <v/>
      </c>
      <c r="D77" s="1" t="str">
        <f>IF(A77="","",'Annual Summary'!D43)</f>
        <v/>
      </c>
      <c r="E77" s="1"/>
      <c r="F77" s="1"/>
      <c r="G77" s="1"/>
      <c r="H77" s="1"/>
    </row>
    <row r="78" spans="1:8" ht="22" customHeight="1">
      <c r="A78" s="1" t="str">
        <f>IF('Annual Summary'!A44="","",'Annual Summary'!A44)</f>
        <v/>
      </c>
      <c r="B78" s="1" t="str">
        <f>IF(A78="","",'Annual Summary'!E44)</f>
        <v/>
      </c>
      <c r="C78" s="1" t="str">
        <f>IF(A78="","",'Annual Summary'!C44)</f>
        <v/>
      </c>
      <c r="D78" s="1" t="str">
        <f>IF(A78="","",'Annual Summary'!D44)</f>
        <v/>
      </c>
      <c r="E78" s="1"/>
      <c r="F78" s="1"/>
      <c r="G78" s="1"/>
      <c r="H78" s="1"/>
    </row>
    <row r="79" spans="1:8" ht="22" customHeight="1">
      <c r="A79" s="1" t="str">
        <f>IF('Annual Summary'!A45="","",'Annual Summary'!A45)</f>
        <v/>
      </c>
      <c r="B79" s="1" t="str">
        <f>IF(A79="","",'Annual Summary'!E45)</f>
        <v/>
      </c>
      <c r="C79" s="1" t="str">
        <f>IF(A79="","",'Annual Summary'!C45)</f>
        <v/>
      </c>
      <c r="D79" s="1" t="str">
        <f>IF(A79="","",'Annual Summary'!D45)</f>
        <v/>
      </c>
      <c r="E79" s="1"/>
      <c r="F79" s="1"/>
      <c r="G79" s="1"/>
      <c r="H79" s="1"/>
    </row>
    <row r="80" spans="1:8" ht="22" customHeight="1">
      <c r="A80" s="1" t="str">
        <f>IF('Annual Summary'!A46="","",'Annual Summary'!A46)</f>
        <v/>
      </c>
      <c r="B80" s="1" t="str">
        <f>IF(A80="","",'Annual Summary'!E46)</f>
        <v/>
      </c>
      <c r="C80" s="1" t="str">
        <f>IF(A80="","",'Annual Summary'!C46)</f>
        <v/>
      </c>
      <c r="D80" s="1" t="str">
        <f>IF(A80="","",'Annual Summary'!D46)</f>
        <v/>
      </c>
      <c r="E80" s="1"/>
      <c r="F80" s="1"/>
      <c r="G80" s="1"/>
      <c r="H80" s="1"/>
    </row>
    <row r="81" spans="1:8" ht="22" customHeight="1">
      <c r="A81" s="1"/>
      <c r="B81" s="1"/>
      <c r="C81" s="1"/>
      <c r="D81" s="1"/>
      <c r="E81" s="1"/>
      <c r="F81" s="1"/>
      <c r="G81" s="1"/>
      <c r="H81" s="1"/>
    </row>
    <row r="82" spans="1:8" ht="22" customHeight="1">
      <c r="A82" s="1"/>
      <c r="B82" s="1"/>
      <c r="C82" s="1"/>
      <c r="D82" s="1"/>
      <c r="E82" s="1"/>
      <c r="F82" s="1"/>
      <c r="G82" s="1"/>
      <c r="H82" s="1"/>
    </row>
    <row r="83" spans="1:8" ht="22" customHeight="1">
      <c r="A83" s="1"/>
      <c r="B83" s="1"/>
      <c r="C83" s="1"/>
      <c r="D83" s="1"/>
      <c r="E83" s="1"/>
      <c r="F83" s="1"/>
      <c r="G83" s="1"/>
      <c r="H83" s="1"/>
    </row>
    <row r="84" spans="1:8" ht="22" customHeight="1">
      <c r="A84" s="1"/>
      <c r="B84" s="1"/>
      <c r="C84" s="1"/>
      <c r="D84" s="1"/>
      <c r="E84" s="1"/>
      <c r="F84" s="1"/>
      <c r="G84" s="1"/>
      <c r="H84" s="1"/>
    </row>
    <row r="85" spans="1:8" ht="22" customHeight="1">
      <c r="A85" s="1"/>
      <c r="B85" s="1"/>
      <c r="C85" s="1"/>
      <c r="D85" s="1"/>
      <c r="E85" s="1"/>
      <c r="F85" s="1"/>
      <c r="G85" s="1"/>
      <c r="H85" s="1"/>
    </row>
    <row r="86" spans="1:8" ht="22" customHeight="1">
      <c r="A86" s="1"/>
      <c r="B86" s="1"/>
      <c r="C86" s="1"/>
      <c r="D86" s="1"/>
      <c r="E86" s="1"/>
      <c r="F86" s="1"/>
      <c r="G86" s="1"/>
      <c r="H86" s="1"/>
    </row>
    <row r="87" spans="1:8" ht="22" customHeight="1">
      <c r="A87" s="1"/>
      <c r="B87" s="1"/>
      <c r="C87" s="1"/>
      <c r="D87" s="1"/>
      <c r="E87" s="1"/>
      <c r="F87" s="1"/>
      <c r="G87" s="1"/>
      <c r="H87" s="1"/>
    </row>
    <row r="88" spans="1:8" ht="22" customHeight="1">
      <c r="A88" s="1"/>
      <c r="B88" s="1"/>
      <c r="C88" s="1"/>
      <c r="D88" s="1"/>
      <c r="E88" s="1"/>
      <c r="F88" s="1"/>
      <c r="G88" s="1"/>
      <c r="H88" s="1"/>
    </row>
    <row r="89" spans="1:8" ht="22" customHeight="1">
      <c r="A89" s="1"/>
      <c r="B89" s="1"/>
      <c r="C89" s="1"/>
      <c r="D89" s="1"/>
      <c r="E89" s="1"/>
      <c r="F89" s="1"/>
      <c r="G89" s="1"/>
      <c r="H89" s="1"/>
    </row>
    <row r="90" spans="1:8" ht="22" customHeight="1">
      <c r="A90" s="1"/>
      <c r="B90" s="1"/>
      <c r="C90" s="1"/>
      <c r="D90" s="1"/>
      <c r="E90" s="1"/>
      <c r="F90" s="1"/>
      <c r="G90" s="1"/>
      <c r="H90" s="1"/>
    </row>
  </sheetData>
  <sheetProtection sheet="1" objects="1" scenarios="1"/>
  <mergeCells count="1">
    <mergeCell ref="A1:H2"/>
  </mergeCells>
  <pageMargins left="0.39370078740157477" right="0.39370078740157477" top="0.39370078740157477" bottom="0.39370078740157477" header="0.3" footer="0.3"/>
  <pageSetup paperSize="9" scale="70" orientation="landscape" r:id="rId1"/>
  <headerFooter>
    <oddFooter>&amp;CCalcy | Page &amp;P&amp;Rcalcy.com.au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EAF4EE"/>
    <pageSetUpPr fitToPage="1"/>
  </sheetPr>
  <dimension ref="A1:H90"/>
  <sheetViews>
    <sheetView showGridLines="0" zoomScaleNormal="100" workbookViewId="0">
      <selection sqref="A1:H2"/>
    </sheetView>
  </sheetViews>
  <sheetFormatPr defaultRowHeight="14.15"/>
  <cols>
    <col min="1" max="1" width="28" customWidth="1"/>
    <col min="2" max="8" width="16" customWidth="1"/>
  </cols>
  <sheetData>
    <row r="1" spans="1:8" ht="22" customHeight="1">
      <c r="A1" s="12" t="s">
        <v>44</v>
      </c>
      <c r="B1" s="12" t="s">
        <v>44</v>
      </c>
      <c r="C1" s="12" t="s">
        <v>44</v>
      </c>
      <c r="D1" s="12" t="s">
        <v>44</v>
      </c>
      <c r="E1" s="12" t="s">
        <v>44</v>
      </c>
      <c r="F1" s="12" t="s">
        <v>44</v>
      </c>
      <c r="G1" s="12" t="s">
        <v>44</v>
      </c>
      <c r="H1" s="12" t="s">
        <v>44</v>
      </c>
    </row>
    <row r="2" spans="1:8" ht="22" customHeight="1">
      <c r="A2" s="12" t="s">
        <v>44</v>
      </c>
      <c r="B2" s="12" t="s">
        <v>44</v>
      </c>
      <c r="C2" s="12" t="s">
        <v>44</v>
      </c>
      <c r="D2" s="12" t="s">
        <v>44</v>
      </c>
      <c r="E2" s="12" t="s">
        <v>44</v>
      </c>
      <c r="F2" s="12" t="s">
        <v>44</v>
      </c>
      <c r="G2" s="12" t="s">
        <v>44</v>
      </c>
      <c r="H2" s="12" t="s">
        <v>44</v>
      </c>
    </row>
    <row r="3" spans="1:8" ht="22" customHeight="1">
      <c r="A3" s="1"/>
      <c r="B3" s="1"/>
      <c r="C3" s="1"/>
      <c r="D3" s="1"/>
      <c r="E3" s="1"/>
      <c r="F3" s="1"/>
      <c r="G3" s="1"/>
      <c r="H3" s="1"/>
    </row>
    <row r="4" spans="1:8" ht="22" customHeight="1">
      <c r="A4" s="1"/>
      <c r="B4" s="1"/>
      <c r="C4" s="1"/>
      <c r="D4" s="1"/>
      <c r="E4" s="1"/>
      <c r="F4" s="1"/>
      <c r="G4" s="1"/>
      <c r="H4" s="1"/>
    </row>
    <row r="5" spans="1:8" ht="24" customHeight="1">
      <c r="A5" s="14" t="s">
        <v>45</v>
      </c>
      <c r="B5" s="14" t="s">
        <v>45</v>
      </c>
      <c r="C5" s="14" t="s">
        <v>45</v>
      </c>
      <c r="D5" s="14" t="s">
        <v>45</v>
      </c>
      <c r="E5" s="14" t="s">
        <v>45</v>
      </c>
      <c r="F5" s="14" t="s">
        <v>45</v>
      </c>
      <c r="G5" s="14" t="s">
        <v>45</v>
      </c>
      <c r="H5" s="14" t="s">
        <v>45</v>
      </c>
    </row>
    <row r="6" spans="1:8" ht="24" customHeight="1">
      <c r="A6" s="14" t="s">
        <v>45</v>
      </c>
      <c r="B6" s="14" t="s">
        <v>45</v>
      </c>
      <c r="C6" s="14" t="s">
        <v>45</v>
      </c>
      <c r="D6" s="14" t="s">
        <v>45</v>
      </c>
      <c r="E6" s="14" t="s">
        <v>45</v>
      </c>
      <c r="F6" s="14" t="s">
        <v>45</v>
      </c>
      <c r="G6" s="14" t="s">
        <v>45</v>
      </c>
      <c r="H6" s="14" t="s">
        <v>45</v>
      </c>
    </row>
    <row r="7" spans="1:8" ht="22" customHeight="1">
      <c r="A7" s="1"/>
      <c r="B7" s="1"/>
      <c r="C7" s="1"/>
      <c r="D7" s="1"/>
      <c r="E7" s="1"/>
      <c r="F7" s="1"/>
      <c r="G7" s="1"/>
      <c r="H7" s="1"/>
    </row>
    <row r="8" spans="1:8" ht="22" customHeight="1">
      <c r="A8" s="1"/>
      <c r="B8" s="1"/>
      <c r="C8" s="1"/>
      <c r="D8" s="1"/>
      <c r="E8" s="1"/>
      <c r="F8" s="1"/>
      <c r="G8" s="1"/>
      <c r="H8" s="1"/>
    </row>
    <row r="9" spans="1:8" ht="24" customHeight="1">
      <c r="A9" s="14" t="s">
        <v>46</v>
      </c>
      <c r="B9" s="14" t="s">
        <v>46</v>
      </c>
      <c r="C9" s="14" t="s">
        <v>46</v>
      </c>
      <c r="D9" s="14" t="s">
        <v>46</v>
      </c>
      <c r="E9" s="14" t="s">
        <v>46</v>
      </c>
      <c r="F9" s="14" t="s">
        <v>46</v>
      </c>
      <c r="G9" s="14" t="s">
        <v>46</v>
      </c>
      <c r="H9" s="14" t="s">
        <v>46</v>
      </c>
    </row>
    <row r="10" spans="1:8" ht="24" customHeight="1">
      <c r="A10" s="14" t="s">
        <v>46</v>
      </c>
      <c r="B10" s="14" t="s">
        <v>46</v>
      </c>
      <c r="C10" s="14" t="s">
        <v>46</v>
      </c>
      <c r="D10" s="14" t="s">
        <v>46</v>
      </c>
      <c r="E10" s="14" t="s">
        <v>46</v>
      </c>
      <c r="F10" s="14" t="s">
        <v>46</v>
      </c>
      <c r="G10" s="14" t="s">
        <v>46</v>
      </c>
      <c r="H10" s="14" t="s">
        <v>46</v>
      </c>
    </row>
    <row r="11" spans="1:8" ht="22" customHeight="1">
      <c r="A11" s="1"/>
      <c r="B11" s="1"/>
      <c r="C11" s="1"/>
      <c r="D11" s="1"/>
      <c r="E11" s="1"/>
      <c r="F11" s="1"/>
      <c r="G11" s="1"/>
      <c r="H11" s="1"/>
    </row>
    <row r="12" spans="1:8" ht="22" customHeight="1">
      <c r="A12" s="1"/>
      <c r="B12" s="1"/>
      <c r="C12" s="1"/>
      <c r="D12" s="1"/>
      <c r="E12" s="1"/>
      <c r="F12" s="1"/>
      <c r="G12" s="1"/>
      <c r="H12" s="1"/>
    </row>
    <row r="13" spans="1:8" ht="24" customHeight="1">
      <c r="A13" s="14" t="s">
        <v>47</v>
      </c>
      <c r="B13" s="14" t="s">
        <v>47</v>
      </c>
      <c r="C13" s="14" t="s">
        <v>47</v>
      </c>
      <c r="D13" s="14" t="s">
        <v>47</v>
      </c>
      <c r="E13" s="14" t="s">
        <v>47</v>
      </c>
      <c r="F13" s="14" t="s">
        <v>47</v>
      </c>
      <c r="G13" s="14" t="s">
        <v>47</v>
      </c>
      <c r="H13" s="14" t="s">
        <v>47</v>
      </c>
    </row>
    <row r="14" spans="1:8" ht="24" customHeight="1">
      <c r="A14" s="14" t="s">
        <v>47</v>
      </c>
      <c r="B14" s="14" t="s">
        <v>47</v>
      </c>
      <c r="C14" s="14" t="s">
        <v>47</v>
      </c>
      <c r="D14" s="14" t="s">
        <v>47</v>
      </c>
      <c r="E14" s="14" t="s">
        <v>47</v>
      </c>
      <c r="F14" s="14" t="s">
        <v>47</v>
      </c>
      <c r="G14" s="14" t="s">
        <v>47</v>
      </c>
      <c r="H14" s="14" t="s">
        <v>47</v>
      </c>
    </row>
    <row r="15" spans="1:8" ht="22" customHeight="1">
      <c r="A15" s="1"/>
      <c r="B15" s="1"/>
      <c r="C15" s="1"/>
      <c r="D15" s="1"/>
      <c r="E15" s="1"/>
      <c r="F15" s="1"/>
      <c r="G15" s="1"/>
      <c r="H15" s="1"/>
    </row>
    <row r="16" spans="1:8" ht="22" customHeight="1">
      <c r="A16" s="1"/>
      <c r="B16" s="1"/>
      <c r="C16" s="1"/>
      <c r="D16" s="1"/>
      <c r="E16" s="1"/>
      <c r="F16" s="1"/>
      <c r="G16" s="1"/>
      <c r="H16" s="1"/>
    </row>
    <row r="17" spans="1:8" ht="24" customHeight="1">
      <c r="A17" s="14" t="s">
        <v>48</v>
      </c>
      <c r="B17" s="14" t="s">
        <v>48</v>
      </c>
      <c r="C17" s="14" t="s">
        <v>48</v>
      </c>
      <c r="D17" s="14" t="s">
        <v>48</v>
      </c>
      <c r="E17" s="14" t="s">
        <v>48</v>
      </c>
      <c r="F17" s="14" t="s">
        <v>48</v>
      </c>
      <c r="G17" s="14" t="s">
        <v>48</v>
      </c>
      <c r="H17" s="14" t="s">
        <v>48</v>
      </c>
    </row>
    <row r="18" spans="1:8" ht="24" customHeight="1">
      <c r="A18" s="14" t="s">
        <v>48</v>
      </c>
      <c r="B18" s="14" t="s">
        <v>48</v>
      </c>
      <c r="C18" s="14" t="s">
        <v>48</v>
      </c>
      <c r="D18" s="14" t="s">
        <v>48</v>
      </c>
      <c r="E18" s="14" t="s">
        <v>48</v>
      </c>
      <c r="F18" s="14" t="s">
        <v>48</v>
      </c>
      <c r="G18" s="14" t="s">
        <v>48</v>
      </c>
      <c r="H18" s="14" t="s">
        <v>48</v>
      </c>
    </row>
    <row r="19" spans="1:8" ht="22" customHeight="1">
      <c r="A19" s="1"/>
      <c r="B19" s="1"/>
      <c r="C19" s="1"/>
      <c r="D19" s="1"/>
      <c r="E19" s="1"/>
      <c r="F19" s="1"/>
      <c r="G19" s="1"/>
      <c r="H19" s="1"/>
    </row>
    <row r="20" spans="1:8" ht="22" customHeight="1">
      <c r="A20" s="1"/>
      <c r="B20" s="1"/>
      <c r="C20" s="1"/>
      <c r="D20" s="1"/>
      <c r="E20" s="1"/>
      <c r="F20" s="1"/>
      <c r="G20" s="1"/>
      <c r="H20" s="1"/>
    </row>
    <row r="21" spans="1:8" ht="24" customHeight="1">
      <c r="A21" s="14" t="s">
        <v>49</v>
      </c>
      <c r="B21" s="14" t="s">
        <v>49</v>
      </c>
      <c r="C21" s="14" t="s">
        <v>49</v>
      </c>
      <c r="D21" s="14" t="s">
        <v>49</v>
      </c>
      <c r="E21" s="14" t="s">
        <v>49</v>
      </c>
      <c r="F21" s="14" t="s">
        <v>49</v>
      </c>
      <c r="G21" s="14" t="s">
        <v>49</v>
      </c>
      <c r="H21" s="14" t="s">
        <v>49</v>
      </c>
    </row>
    <row r="22" spans="1:8" ht="24" customHeight="1">
      <c r="A22" s="14" t="s">
        <v>49</v>
      </c>
      <c r="B22" s="14" t="s">
        <v>49</v>
      </c>
      <c r="C22" s="14" t="s">
        <v>49</v>
      </c>
      <c r="D22" s="14" t="s">
        <v>49</v>
      </c>
      <c r="E22" s="14" t="s">
        <v>49</v>
      </c>
      <c r="F22" s="14" t="s">
        <v>49</v>
      </c>
      <c r="G22" s="14" t="s">
        <v>49</v>
      </c>
      <c r="H22" s="14" t="s">
        <v>49</v>
      </c>
    </row>
    <row r="23" spans="1:8" ht="22" customHeight="1">
      <c r="A23" s="1"/>
      <c r="B23" s="1"/>
      <c r="C23" s="1"/>
      <c r="D23" s="1"/>
      <c r="E23" s="1"/>
      <c r="F23" s="1"/>
      <c r="G23" s="1"/>
      <c r="H23" s="1"/>
    </row>
    <row r="24" spans="1:8" ht="22" customHeight="1">
      <c r="A24" s="1"/>
      <c r="B24" s="1"/>
      <c r="C24" s="1"/>
      <c r="D24" s="1"/>
      <c r="E24" s="1"/>
      <c r="F24" s="1"/>
      <c r="G24" s="1"/>
      <c r="H24" s="1"/>
    </row>
    <row r="25" spans="1:8" ht="24" customHeight="1">
      <c r="A25" s="14" t="s">
        <v>50</v>
      </c>
      <c r="B25" s="14" t="s">
        <v>50</v>
      </c>
      <c r="C25" s="14" t="s">
        <v>50</v>
      </c>
      <c r="D25" s="14" t="s">
        <v>50</v>
      </c>
      <c r="E25" s="14" t="s">
        <v>50</v>
      </c>
      <c r="F25" s="14" t="s">
        <v>50</v>
      </c>
      <c r="G25" s="14" t="s">
        <v>50</v>
      </c>
      <c r="H25" s="14" t="s">
        <v>50</v>
      </c>
    </row>
    <row r="26" spans="1:8" ht="24" customHeight="1">
      <c r="A26" s="14" t="s">
        <v>50</v>
      </c>
      <c r="B26" s="14" t="s">
        <v>50</v>
      </c>
      <c r="C26" s="14" t="s">
        <v>50</v>
      </c>
      <c r="D26" s="14" t="s">
        <v>50</v>
      </c>
      <c r="E26" s="14" t="s">
        <v>50</v>
      </c>
      <c r="F26" s="14" t="s">
        <v>50</v>
      </c>
      <c r="G26" s="14" t="s">
        <v>50</v>
      </c>
      <c r="H26" s="14" t="s">
        <v>50</v>
      </c>
    </row>
    <row r="27" spans="1:8" ht="22" customHeight="1">
      <c r="A27" s="1"/>
      <c r="B27" s="1"/>
      <c r="C27" s="1"/>
      <c r="D27" s="1"/>
      <c r="E27" s="1"/>
      <c r="F27" s="1"/>
      <c r="G27" s="1"/>
      <c r="H27" s="1"/>
    </row>
    <row r="28" spans="1:8" ht="22" customHeight="1">
      <c r="A28" s="1"/>
      <c r="B28" s="1"/>
      <c r="C28" s="1"/>
      <c r="D28" s="1"/>
      <c r="E28" s="1"/>
      <c r="F28" s="1"/>
      <c r="G28" s="1"/>
      <c r="H28" s="1"/>
    </row>
    <row r="29" spans="1:8" ht="24" customHeight="1">
      <c r="A29" s="14" t="s">
        <v>51</v>
      </c>
      <c r="B29" s="14" t="s">
        <v>51</v>
      </c>
      <c r="C29" s="14" t="s">
        <v>51</v>
      </c>
      <c r="D29" s="14" t="s">
        <v>51</v>
      </c>
      <c r="E29" s="14" t="s">
        <v>51</v>
      </c>
      <c r="F29" s="14" t="s">
        <v>51</v>
      </c>
      <c r="G29" s="14" t="s">
        <v>51</v>
      </c>
      <c r="H29" s="14" t="s">
        <v>51</v>
      </c>
    </row>
    <row r="30" spans="1:8" ht="24" customHeight="1">
      <c r="A30" s="14" t="s">
        <v>51</v>
      </c>
      <c r="B30" s="14" t="s">
        <v>51</v>
      </c>
      <c r="C30" s="14" t="s">
        <v>51</v>
      </c>
      <c r="D30" s="14" t="s">
        <v>51</v>
      </c>
      <c r="E30" s="14" t="s">
        <v>51</v>
      </c>
      <c r="F30" s="14" t="s">
        <v>51</v>
      </c>
      <c r="G30" s="14" t="s">
        <v>51</v>
      </c>
      <c r="H30" s="14" t="s">
        <v>51</v>
      </c>
    </row>
    <row r="31" spans="1:8" ht="22" customHeight="1">
      <c r="A31" s="1"/>
      <c r="B31" s="1"/>
      <c r="C31" s="1"/>
      <c r="D31" s="1"/>
      <c r="E31" s="1"/>
      <c r="F31" s="1"/>
      <c r="G31" s="1"/>
      <c r="H31" s="1"/>
    </row>
    <row r="32" spans="1:8" ht="22" customHeight="1">
      <c r="A32" s="1"/>
      <c r="B32" s="1"/>
      <c r="C32" s="1"/>
      <c r="D32" s="1"/>
      <c r="E32" s="1"/>
      <c r="F32" s="1"/>
      <c r="G32" s="1"/>
      <c r="H32" s="1"/>
    </row>
    <row r="33" spans="1:8" ht="22" customHeight="1">
      <c r="A33" s="1"/>
      <c r="B33" s="1"/>
      <c r="C33" s="1"/>
      <c r="D33" s="1"/>
      <c r="E33" s="1"/>
      <c r="F33" s="1"/>
      <c r="G33" s="1"/>
      <c r="H33" s="1"/>
    </row>
    <row r="34" spans="1:8" ht="22" customHeight="1">
      <c r="A34" s="1"/>
      <c r="B34" s="1"/>
      <c r="C34" s="1"/>
      <c r="D34" s="1"/>
      <c r="E34" s="1"/>
      <c r="F34" s="1"/>
      <c r="G34" s="1"/>
      <c r="H34" s="1"/>
    </row>
    <row r="35" spans="1:8" ht="22" customHeight="1">
      <c r="A35" s="1"/>
      <c r="B35" s="1"/>
      <c r="C35" s="1"/>
      <c r="D35" s="1"/>
      <c r="E35" s="1"/>
      <c r="F35" s="1"/>
      <c r="G35" s="1"/>
      <c r="H35" s="1"/>
    </row>
    <row r="36" spans="1:8" ht="22" customHeight="1">
      <c r="A36" s="1"/>
      <c r="B36" s="1"/>
      <c r="C36" s="1"/>
      <c r="D36" s="1"/>
      <c r="E36" s="1"/>
      <c r="F36" s="1"/>
      <c r="G36" s="1"/>
      <c r="H36" s="1"/>
    </row>
    <row r="37" spans="1:8" ht="22" customHeight="1">
      <c r="A37" s="1"/>
      <c r="B37" s="1"/>
      <c r="C37" s="1"/>
      <c r="D37" s="1"/>
      <c r="E37" s="1"/>
      <c r="F37" s="1"/>
      <c r="G37" s="1"/>
      <c r="H37" s="1"/>
    </row>
    <row r="38" spans="1:8" ht="22" customHeight="1">
      <c r="A38" s="1"/>
      <c r="B38" s="1"/>
      <c r="C38" s="1"/>
      <c r="D38" s="1"/>
      <c r="E38" s="1"/>
      <c r="F38" s="1"/>
      <c r="G38" s="1"/>
      <c r="H38" s="1"/>
    </row>
    <row r="39" spans="1:8" ht="22" customHeight="1">
      <c r="A39" s="1"/>
      <c r="B39" s="1"/>
      <c r="C39" s="1"/>
      <c r="D39" s="1"/>
      <c r="E39" s="1"/>
      <c r="F39" s="1"/>
      <c r="G39" s="1"/>
      <c r="H39" s="1"/>
    </row>
    <row r="40" spans="1:8" ht="22" customHeight="1">
      <c r="A40" s="1"/>
      <c r="B40" s="1"/>
      <c r="C40" s="1"/>
      <c r="D40" s="1"/>
      <c r="E40" s="1"/>
      <c r="F40" s="1"/>
      <c r="G40" s="1"/>
      <c r="H40" s="1"/>
    </row>
    <row r="41" spans="1:8" ht="22" customHeight="1">
      <c r="A41" s="1"/>
      <c r="B41" s="1"/>
      <c r="C41" s="1"/>
      <c r="D41" s="1"/>
      <c r="E41" s="1"/>
      <c r="F41" s="1"/>
      <c r="G41" s="1"/>
      <c r="H41" s="1"/>
    </row>
    <row r="42" spans="1:8" ht="22" customHeight="1">
      <c r="A42" s="1"/>
      <c r="B42" s="1"/>
      <c r="C42" s="1"/>
      <c r="D42" s="1"/>
      <c r="E42" s="1"/>
      <c r="F42" s="1"/>
      <c r="G42" s="1"/>
      <c r="H42" s="1"/>
    </row>
    <row r="43" spans="1:8" ht="22" customHeight="1">
      <c r="A43" s="1"/>
      <c r="B43" s="1"/>
      <c r="C43" s="1"/>
      <c r="D43" s="1"/>
      <c r="E43" s="1"/>
      <c r="F43" s="1"/>
      <c r="G43" s="1"/>
      <c r="H43" s="1"/>
    </row>
    <row r="44" spans="1:8" ht="22" customHeight="1">
      <c r="A44" s="1"/>
      <c r="B44" s="1"/>
      <c r="C44" s="1"/>
      <c r="D44" s="1"/>
      <c r="E44" s="1"/>
      <c r="F44" s="1"/>
      <c r="G44" s="1"/>
      <c r="H44" s="1"/>
    </row>
    <row r="45" spans="1:8" ht="22" customHeight="1">
      <c r="A45" s="1"/>
      <c r="B45" s="1"/>
      <c r="C45" s="1"/>
      <c r="D45" s="1"/>
      <c r="E45" s="1"/>
      <c r="F45" s="1"/>
      <c r="G45" s="1"/>
      <c r="H45" s="1"/>
    </row>
    <row r="46" spans="1:8" ht="22" customHeight="1">
      <c r="A46" s="1"/>
      <c r="B46" s="1"/>
      <c r="C46" s="1"/>
      <c r="D46" s="1"/>
      <c r="E46" s="1"/>
      <c r="F46" s="1"/>
      <c r="G46" s="1"/>
      <c r="H46" s="1"/>
    </row>
    <row r="47" spans="1:8" ht="22" customHeight="1">
      <c r="A47" s="1"/>
      <c r="B47" s="1"/>
      <c r="C47" s="1"/>
      <c r="D47" s="1"/>
      <c r="E47" s="1"/>
      <c r="F47" s="1"/>
      <c r="G47" s="1"/>
      <c r="H47" s="1"/>
    </row>
    <row r="48" spans="1:8" ht="22" customHeight="1">
      <c r="A48" s="1"/>
      <c r="B48" s="1"/>
      <c r="C48" s="1"/>
      <c r="D48" s="1"/>
      <c r="E48" s="1"/>
      <c r="F48" s="1"/>
      <c r="G48" s="1"/>
      <c r="H48" s="1"/>
    </row>
    <row r="49" spans="1:8" ht="22" customHeight="1">
      <c r="A49" s="1"/>
      <c r="B49" s="1"/>
      <c r="C49" s="1"/>
      <c r="D49" s="1"/>
      <c r="E49" s="1"/>
      <c r="F49" s="1"/>
      <c r="G49" s="1"/>
      <c r="H49" s="1"/>
    </row>
    <row r="50" spans="1:8" ht="22" customHeight="1">
      <c r="A50" s="1"/>
      <c r="B50" s="1"/>
      <c r="C50" s="1"/>
      <c r="D50" s="1"/>
      <c r="E50" s="1"/>
      <c r="F50" s="1"/>
      <c r="G50" s="1"/>
      <c r="H50" s="1"/>
    </row>
    <row r="51" spans="1:8" ht="22" customHeight="1">
      <c r="A51" s="1"/>
      <c r="B51" s="1"/>
      <c r="C51" s="1"/>
      <c r="D51" s="1"/>
      <c r="E51" s="1"/>
      <c r="F51" s="1"/>
      <c r="G51" s="1"/>
      <c r="H51" s="1"/>
    </row>
    <row r="52" spans="1:8" ht="22" customHeight="1">
      <c r="A52" s="1"/>
      <c r="B52" s="1"/>
      <c r="C52" s="1"/>
      <c r="D52" s="1"/>
      <c r="E52" s="1"/>
      <c r="F52" s="1"/>
      <c r="G52" s="1"/>
      <c r="H52" s="1"/>
    </row>
    <row r="53" spans="1:8" ht="22" customHeight="1">
      <c r="A53" s="1"/>
      <c r="B53" s="1"/>
      <c r="C53" s="1"/>
      <c r="D53" s="1"/>
      <c r="E53" s="1"/>
      <c r="F53" s="1"/>
      <c r="G53" s="1"/>
      <c r="H53" s="1"/>
    </row>
    <row r="54" spans="1:8" ht="22" customHeight="1">
      <c r="A54" s="1"/>
      <c r="B54" s="1"/>
      <c r="C54" s="1"/>
      <c r="D54" s="1"/>
      <c r="E54" s="1"/>
      <c r="F54" s="1"/>
      <c r="G54" s="1"/>
      <c r="H54" s="1"/>
    </row>
    <row r="55" spans="1:8" ht="22" customHeight="1">
      <c r="A55" s="1"/>
      <c r="B55" s="1"/>
      <c r="C55" s="1"/>
      <c r="D55" s="1"/>
      <c r="E55" s="1"/>
      <c r="F55" s="1"/>
      <c r="G55" s="1"/>
      <c r="H55" s="1"/>
    </row>
    <row r="56" spans="1:8" ht="22" customHeight="1">
      <c r="A56" s="1"/>
      <c r="B56" s="1"/>
      <c r="C56" s="1"/>
      <c r="D56" s="1"/>
      <c r="E56" s="1"/>
      <c r="F56" s="1"/>
      <c r="G56" s="1"/>
      <c r="H56" s="1"/>
    </row>
    <row r="57" spans="1:8" ht="22" customHeight="1">
      <c r="A57" s="1"/>
      <c r="B57" s="1"/>
      <c r="C57" s="1"/>
      <c r="D57" s="1"/>
      <c r="E57" s="1"/>
      <c r="F57" s="1"/>
      <c r="G57" s="1"/>
      <c r="H57" s="1"/>
    </row>
    <row r="58" spans="1:8" ht="22" customHeight="1">
      <c r="A58" s="1"/>
      <c r="B58" s="1"/>
      <c r="C58" s="1"/>
      <c r="D58" s="1"/>
      <c r="E58" s="1"/>
      <c r="F58" s="1"/>
      <c r="G58" s="1"/>
      <c r="H58" s="1"/>
    </row>
    <row r="59" spans="1:8" ht="22" customHeight="1">
      <c r="A59" s="1"/>
      <c r="B59" s="1"/>
      <c r="C59" s="1"/>
      <c r="D59" s="1"/>
      <c r="E59" s="1"/>
      <c r="F59" s="1"/>
      <c r="G59" s="1"/>
      <c r="H59" s="1"/>
    </row>
    <row r="60" spans="1:8" ht="22" customHeight="1">
      <c r="A60" s="1"/>
      <c r="B60" s="1"/>
      <c r="C60" s="1"/>
      <c r="D60" s="1"/>
      <c r="E60" s="1"/>
      <c r="F60" s="1"/>
      <c r="G60" s="1"/>
      <c r="H60" s="1"/>
    </row>
    <row r="61" spans="1:8" ht="22" customHeight="1">
      <c r="A61" s="1"/>
      <c r="B61" s="1"/>
      <c r="C61" s="1"/>
      <c r="D61" s="1"/>
      <c r="E61" s="1"/>
      <c r="F61" s="1"/>
      <c r="G61" s="1"/>
      <c r="H61" s="1"/>
    </row>
    <row r="62" spans="1:8" ht="22" customHeight="1">
      <c r="A62" s="1"/>
      <c r="B62" s="1"/>
      <c r="C62" s="1"/>
      <c r="D62" s="1"/>
      <c r="E62" s="1"/>
      <c r="F62" s="1"/>
      <c r="G62" s="1"/>
      <c r="H62" s="1"/>
    </row>
    <row r="63" spans="1:8" ht="22" customHeight="1">
      <c r="A63" s="1"/>
      <c r="B63" s="1"/>
      <c r="C63" s="1"/>
      <c r="D63" s="1"/>
      <c r="E63" s="1"/>
      <c r="F63" s="1"/>
      <c r="G63" s="1"/>
      <c r="H63" s="1"/>
    </row>
    <row r="64" spans="1:8" ht="22" customHeight="1">
      <c r="A64" s="1"/>
      <c r="B64" s="1"/>
      <c r="C64" s="1"/>
      <c r="D64" s="1"/>
      <c r="E64" s="1"/>
      <c r="F64" s="1"/>
      <c r="G64" s="1"/>
      <c r="H64" s="1"/>
    </row>
    <row r="65" spans="1:8" ht="22" customHeight="1">
      <c r="A65" s="1"/>
      <c r="B65" s="1"/>
      <c r="C65" s="1"/>
      <c r="D65" s="1"/>
      <c r="E65" s="1"/>
      <c r="F65" s="1"/>
      <c r="G65" s="1"/>
      <c r="H65" s="1"/>
    </row>
    <row r="66" spans="1:8" ht="22" customHeight="1">
      <c r="A66" s="1"/>
      <c r="B66" s="1"/>
      <c r="C66" s="1"/>
      <c r="D66" s="1"/>
      <c r="E66" s="1"/>
      <c r="F66" s="1"/>
      <c r="G66" s="1"/>
      <c r="H66" s="1"/>
    </row>
    <row r="67" spans="1:8" ht="22" customHeight="1">
      <c r="A67" s="1"/>
      <c r="B67" s="1"/>
      <c r="C67" s="1"/>
      <c r="D67" s="1"/>
      <c r="E67" s="1"/>
      <c r="F67" s="1"/>
      <c r="G67" s="1"/>
      <c r="H67" s="1"/>
    </row>
    <row r="68" spans="1:8" ht="22" customHeight="1">
      <c r="A68" s="1"/>
      <c r="B68" s="1"/>
      <c r="C68" s="1"/>
      <c r="D68" s="1"/>
      <c r="E68" s="1"/>
      <c r="F68" s="1"/>
      <c r="G68" s="1"/>
      <c r="H68" s="1"/>
    </row>
    <row r="69" spans="1:8" ht="22" customHeight="1">
      <c r="A69" s="1"/>
      <c r="B69" s="1"/>
      <c r="C69" s="1"/>
      <c r="D69" s="1"/>
      <c r="E69" s="1"/>
      <c r="F69" s="1"/>
      <c r="G69" s="1"/>
      <c r="H69" s="1"/>
    </row>
    <row r="70" spans="1:8" ht="22" customHeight="1">
      <c r="A70" s="1"/>
      <c r="B70" s="1"/>
      <c r="C70" s="1"/>
      <c r="D70" s="1"/>
      <c r="E70" s="1"/>
      <c r="F70" s="1"/>
      <c r="G70" s="1"/>
      <c r="H70" s="1"/>
    </row>
    <row r="71" spans="1:8" ht="22" customHeight="1">
      <c r="A71" s="1"/>
      <c r="B71" s="1"/>
      <c r="C71" s="1"/>
      <c r="D71" s="1"/>
      <c r="E71" s="1"/>
      <c r="F71" s="1"/>
      <c r="G71" s="1"/>
      <c r="H71" s="1"/>
    </row>
    <row r="72" spans="1:8" ht="22" customHeight="1">
      <c r="A72" s="1"/>
      <c r="B72" s="1"/>
      <c r="C72" s="1"/>
      <c r="D72" s="1"/>
      <c r="E72" s="1"/>
      <c r="F72" s="1"/>
      <c r="G72" s="1"/>
      <c r="H72" s="1"/>
    </row>
    <row r="73" spans="1:8" ht="22" customHeight="1">
      <c r="A73" s="1"/>
      <c r="B73" s="1"/>
      <c r="C73" s="1"/>
      <c r="D73" s="1"/>
      <c r="E73" s="1"/>
      <c r="F73" s="1"/>
      <c r="G73" s="1"/>
      <c r="H73" s="1"/>
    </row>
    <row r="74" spans="1:8" ht="22" customHeight="1">
      <c r="A74" s="1"/>
      <c r="B74" s="1"/>
      <c r="C74" s="1"/>
      <c r="D74" s="1"/>
      <c r="E74" s="1"/>
      <c r="F74" s="1"/>
      <c r="G74" s="1"/>
      <c r="H74" s="1"/>
    </row>
    <row r="75" spans="1:8" ht="22" customHeight="1">
      <c r="A75" s="1"/>
      <c r="B75" s="1"/>
      <c r="C75" s="1"/>
      <c r="D75" s="1"/>
      <c r="E75" s="1"/>
      <c r="F75" s="1"/>
      <c r="G75" s="1"/>
      <c r="H75" s="1"/>
    </row>
    <row r="76" spans="1:8" ht="22" customHeight="1">
      <c r="A76" s="1"/>
      <c r="B76" s="1"/>
      <c r="C76" s="1"/>
      <c r="D76" s="1"/>
      <c r="E76" s="1"/>
      <c r="F76" s="1"/>
      <c r="G76" s="1"/>
      <c r="H76" s="1"/>
    </row>
    <row r="77" spans="1:8" ht="22" customHeight="1">
      <c r="A77" s="1"/>
      <c r="B77" s="1"/>
      <c r="C77" s="1"/>
      <c r="D77" s="1"/>
      <c r="E77" s="1"/>
      <c r="F77" s="1"/>
      <c r="G77" s="1"/>
      <c r="H77" s="1"/>
    </row>
    <row r="78" spans="1:8" ht="22" customHeight="1">
      <c r="A78" s="1"/>
      <c r="B78" s="1"/>
      <c r="C78" s="1"/>
      <c r="D78" s="1"/>
      <c r="E78" s="1"/>
      <c r="F78" s="1"/>
      <c r="G78" s="1"/>
      <c r="H78" s="1"/>
    </row>
    <row r="79" spans="1:8" ht="22" customHeight="1">
      <c r="A79" s="1"/>
      <c r="B79" s="1"/>
      <c r="C79" s="1"/>
      <c r="D79" s="1"/>
      <c r="E79" s="1"/>
      <c r="F79" s="1"/>
      <c r="G79" s="1"/>
      <c r="H79" s="1"/>
    </row>
    <row r="80" spans="1:8" ht="22" customHeight="1">
      <c r="A80" s="1"/>
      <c r="B80" s="1"/>
      <c r="C80" s="1"/>
      <c r="D80" s="1"/>
      <c r="E80" s="1"/>
      <c r="F80" s="1"/>
      <c r="G80" s="1"/>
      <c r="H80" s="1"/>
    </row>
    <row r="81" spans="1:8" ht="22" customHeight="1">
      <c r="A81" s="1"/>
      <c r="B81" s="1"/>
      <c r="C81" s="1"/>
      <c r="D81" s="1"/>
      <c r="E81" s="1"/>
      <c r="F81" s="1"/>
      <c r="G81" s="1"/>
      <c r="H81" s="1"/>
    </row>
    <row r="82" spans="1:8" ht="22" customHeight="1">
      <c r="A82" s="1"/>
      <c r="B82" s="1"/>
      <c r="C82" s="1"/>
      <c r="D82" s="1"/>
      <c r="E82" s="1"/>
      <c r="F82" s="1"/>
      <c r="G82" s="1"/>
      <c r="H82" s="1"/>
    </row>
    <row r="83" spans="1:8" ht="22" customHeight="1">
      <c r="A83" s="1"/>
      <c r="B83" s="1"/>
      <c r="C83" s="1"/>
      <c r="D83" s="1"/>
      <c r="E83" s="1"/>
      <c r="F83" s="1"/>
      <c r="G83" s="1"/>
      <c r="H83" s="1"/>
    </row>
    <row r="84" spans="1:8" ht="22" customHeight="1">
      <c r="A84" s="1"/>
      <c r="B84" s="1"/>
      <c r="C84" s="1"/>
      <c r="D84" s="1"/>
      <c r="E84" s="1"/>
      <c r="F84" s="1"/>
      <c r="G84" s="1"/>
      <c r="H84" s="1"/>
    </row>
    <row r="85" spans="1:8" ht="22" customHeight="1">
      <c r="A85" s="1"/>
      <c r="B85" s="1"/>
      <c r="C85" s="1"/>
      <c r="D85" s="1"/>
      <c r="E85" s="1"/>
      <c r="F85" s="1"/>
      <c r="G85" s="1"/>
      <c r="H85" s="1"/>
    </row>
    <row r="86" spans="1:8" ht="22" customHeight="1">
      <c r="A86" s="1"/>
      <c r="B86" s="1"/>
      <c r="C86" s="1"/>
      <c r="D86" s="1"/>
      <c r="E86" s="1"/>
      <c r="F86" s="1"/>
      <c r="G86" s="1"/>
      <c r="H86" s="1"/>
    </row>
    <row r="87" spans="1:8" ht="22" customHeight="1">
      <c r="A87" s="1"/>
      <c r="B87" s="1"/>
      <c r="C87" s="1"/>
      <c r="D87" s="1"/>
      <c r="E87" s="1"/>
      <c r="F87" s="1"/>
      <c r="G87" s="1"/>
      <c r="H87" s="1"/>
    </row>
    <row r="88" spans="1:8" ht="22" customHeight="1">
      <c r="A88" s="1"/>
      <c r="B88" s="1"/>
      <c r="C88" s="1"/>
      <c r="D88" s="1"/>
      <c r="E88" s="1"/>
      <c r="F88" s="1"/>
      <c r="G88" s="1"/>
      <c r="H88" s="1"/>
    </row>
    <row r="89" spans="1:8" ht="22" customHeight="1">
      <c r="A89" s="1"/>
      <c r="B89" s="1"/>
      <c r="C89" s="1"/>
      <c r="D89" s="1"/>
      <c r="E89" s="1"/>
      <c r="F89" s="1"/>
      <c r="G89" s="1"/>
      <c r="H89" s="1"/>
    </row>
    <row r="90" spans="1:8" ht="22" customHeight="1">
      <c r="A90" s="1"/>
      <c r="B90" s="1"/>
      <c r="C90" s="1"/>
      <c r="D90" s="1"/>
      <c r="E90" s="1"/>
      <c r="F90" s="1"/>
      <c r="G90" s="1"/>
      <c r="H90" s="1"/>
    </row>
  </sheetData>
  <sheetProtection sheet="1" objects="1" scenarios="1"/>
  <mergeCells count="8">
    <mergeCell ref="A21:H22"/>
    <mergeCell ref="A25:H26"/>
    <mergeCell ref="A29:H30"/>
    <mergeCell ref="A1:H2"/>
    <mergeCell ref="A5:H6"/>
    <mergeCell ref="A9:H10"/>
    <mergeCell ref="A13:H14"/>
    <mergeCell ref="A17:H18"/>
  </mergeCells>
  <pageMargins left="0.39370078740157477" right="0.39370078740157477" top="0.39370078740157477" bottom="0.39370078740157477" header="0.3" footer="0.3"/>
  <pageSetup paperSize="9" scale="75" orientation="landscape" r:id="rId1"/>
  <headerFooter>
    <oddFooter>&amp;CCalcy | Page &amp;P&amp;Rcalcy.com.au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7</vt:i4>
      </vt:variant>
    </vt:vector>
  </HeadingPairs>
  <TitlesOfParts>
    <vt:vector size="13" baseType="lpstr">
      <vt:lpstr>Dashboard</vt:lpstr>
      <vt:lpstr>Loan Inputs</vt:lpstr>
      <vt:lpstr>Repayment Schedule</vt:lpstr>
      <vt:lpstr>Annual Summary</vt:lpstr>
      <vt:lpstr>Charts</vt:lpstr>
      <vt:lpstr>Instructions</vt:lpstr>
      <vt:lpstr>'Annual Summary'!Print_Area</vt:lpstr>
      <vt:lpstr>Charts!Print_Area</vt:lpstr>
      <vt:lpstr>Dashboard!Print_Area</vt:lpstr>
      <vt:lpstr>Instructions!Print_Area</vt:lpstr>
      <vt:lpstr>'Loan Inputs'!Print_Area</vt:lpstr>
      <vt:lpstr>'Annual Summary'!Print_Titles</vt:lpstr>
      <vt:lpstr>'Repayment Schedule'!Print_Titles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xsi="http://www.w3.org/2001/XMLSchema-instance">
  <cp:lastPrinted>2026-10-16T16:45:12Z</cp:lastPrinted>
  <dcterms:modified xsi:type="dcterms:W3CDTF">2026-10-16T16:45:13Z</dcterms:modified>
</cp:coreProperties>
</file>