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SIV\.codex\worktrees\calcy-spreadsheet-phase1\rate-finder-plus\outputs\spreadsheet-phase2\corrections\"/>
    </mc:Choice>
  </mc:AlternateContent>
  <xr:revisionPtr revIDLastSave="0" documentId="13_ncr:1_{73F97B34-CA90-4EAA-A7A6-03BB992B8D38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ashboard" sheetId="1" r:id="rId1"/>
    <sheet name="Loan Inputs" sheetId="2" r:id="rId2"/>
    <sheet name="Comparison Summary" sheetId="3" r:id="rId3"/>
    <sheet name="5-Year Comparison" sheetId="4" r:id="rId4"/>
    <sheet name="Lifetime Comparison" sheetId="5" r:id="rId5"/>
    <sheet name="Charts" sheetId="6" r:id="rId6"/>
    <sheet name="Instructions" sheetId="7" r:id="rId7"/>
  </sheets>
  <definedNames>
    <definedName name="_xlnm.Print_Area" localSheetId="3">'5-Year Comparison'!$A$1:$H$21</definedName>
    <definedName name="_xlnm.Print_Area" localSheetId="5">Charts!$A$1:$H$22</definedName>
    <definedName name="_xlnm.Print_Area" localSheetId="2">'Comparison Summary'!$A$1:$H$21</definedName>
    <definedName name="_xlnm.Print_Area" localSheetId="0">Dashboard!$A$1:$H$35</definedName>
    <definedName name="_xlnm.Print_Area" localSheetId="6">Instructions!$A$1:$H$39</definedName>
    <definedName name="_xlnm.Print_Area" localSheetId="4">'Lifetime Comparison'!$A$1:$H$21</definedName>
    <definedName name="_xlnm.Print_Area" localSheetId="1">'Loan Inputs'!$A$1:$H$26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2" l="1"/>
  <c r="D17" i="2"/>
  <c r="C17" i="2"/>
  <c r="B17" i="2"/>
  <c r="E16" i="2"/>
  <c r="E18" i="2" s="1"/>
  <c r="D16" i="2"/>
  <c r="D18" i="2" s="1"/>
  <c r="C16" i="2"/>
  <c r="C18" i="2" s="1"/>
  <c r="B16" i="2"/>
  <c r="B18" i="2" s="1"/>
  <c r="B19" i="2" l="1"/>
  <c r="E7" i="5" s="1"/>
  <c r="C7" i="5" l="1"/>
  <c r="E7" i="4"/>
  <c r="E7" i="3"/>
  <c r="E8" i="4" s="1"/>
  <c r="D7" i="4"/>
  <c r="D7" i="3"/>
  <c r="D8" i="3" s="1"/>
  <c r="D9" i="3" s="1"/>
  <c r="C7" i="3"/>
  <c r="C8" i="3" s="1"/>
  <c r="C9" i="3" s="1"/>
  <c r="B7" i="4"/>
  <c r="B7" i="3"/>
  <c r="B8" i="3" s="1"/>
  <c r="B9" i="3" s="1"/>
  <c r="E12" i="4"/>
  <c r="D12" i="4"/>
  <c r="E10" i="5"/>
  <c r="E11" i="3" s="1"/>
  <c r="D10" i="5"/>
  <c r="D11" i="3" s="1"/>
  <c r="B10" i="5"/>
  <c r="B11" i="3" s="1"/>
  <c r="C12" i="4"/>
  <c r="D7" i="5"/>
  <c r="B12" i="4"/>
  <c r="C10" i="5"/>
  <c r="C11" i="3" s="1"/>
  <c r="A4" i="1"/>
  <c r="B7" i="5"/>
  <c r="C7" i="4"/>
  <c r="B11" i="1"/>
  <c r="D8" i="4" l="1"/>
  <c r="D13" i="4" s="1"/>
  <c r="B28" i="6" s="1"/>
  <c r="D8" i="5"/>
  <c r="D11" i="5" s="1"/>
  <c r="D12" i="3" s="1"/>
  <c r="E8" i="5"/>
  <c r="E9" i="5" s="1"/>
  <c r="E10" i="3" s="1"/>
  <c r="E13" i="4"/>
  <c r="B29" i="6" s="1"/>
  <c r="D9" i="4"/>
  <c r="D10" i="4" s="1"/>
  <c r="E9" i="4"/>
  <c r="E10" i="4" s="1"/>
  <c r="E11" i="4" s="1"/>
  <c r="E8" i="3"/>
  <c r="E9" i="3" s="1"/>
  <c r="E11" i="5"/>
  <c r="C29" i="6" s="1"/>
  <c r="D9" i="5"/>
  <c r="D10" i="3" s="1"/>
  <c r="C8" i="5"/>
  <c r="C9" i="5" s="1"/>
  <c r="C10" i="3" s="1"/>
  <c r="C9" i="4"/>
  <c r="C10" i="4" s="1"/>
  <c r="B8" i="4"/>
  <c r="B13" i="4" s="1"/>
  <c r="B8" i="5"/>
  <c r="B9" i="5" s="1"/>
  <c r="B10" i="3" s="1"/>
  <c r="B9" i="4"/>
  <c r="B10" i="4" s="1"/>
  <c r="C8" i="4"/>
  <c r="C13" i="4" s="1"/>
  <c r="B27" i="6" s="1"/>
  <c r="C28" i="6" l="1"/>
  <c r="D11" i="4"/>
  <c r="E12" i="3"/>
  <c r="C11" i="5"/>
  <c r="C27" i="6" s="1"/>
  <c r="B11" i="5"/>
  <c r="C26" i="6" s="1"/>
  <c r="B11" i="4"/>
  <c r="C11" i="4"/>
  <c r="B26" i="6"/>
  <c r="B7" i="1"/>
  <c r="B8" i="1" s="1"/>
  <c r="C12" i="3" l="1"/>
  <c r="B9" i="1"/>
  <c r="B10" i="1" s="1"/>
  <c r="B12" i="3"/>
</calcChain>
</file>

<file path=xl/sharedStrings.xml><?xml version="1.0" encoding="utf-8"?>
<sst xmlns="http://schemas.openxmlformats.org/spreadsheetml/2006/main" count="93" uniqueCount="65">
  <si>
    <t>Mortgage Comparison Spreadsheet</t>
  </si>
  <si>
    <t>Lowest estimated 5-year cost</t>
  </si>
  <si>
    <t>5-year loan (first if tied)</t>
  </si>
  <si>
    <t>Lowest estimated lifetime cost</t>
  </si>
  <si>
    <t>Lifetime loan (first if tied)</t>
  </si>
  <si>
    <t>Included options</t>
  </si>
  <si>
    <t>LOWEST ESTIMATED COST UNDER ENTERED ASSUMPTIONS. Total cost includes principal cash outflow. Different amounts/terms and remaining debts are not like-for-like. Ties select the first option. No loan recommendation.</t>
  </si>
  <si>
    <t>Calcy. Version 1.0.1. Reviewed 17 October 2026. General information, not personal financial advice. No macros, connections, personal data or tracking.</t>
  </si>
  <si>
    <t>Loan Inputs</t>
  </si>
  <si>
    <t>Loan A</t>
  </si>
  <si>
    <t>Loan B</t>
  </si>
  <si>
    <t>Loan C</t>
  </si>
  <si>
    <t>Loan D</t>
  </si>
  <si>
    <t>Loan amount</t>
  </si>
  <si>
    <t>Annual rate</t>
  </si>
  <si>
    <t>Term (whole years)</t>
  </si>
  <si>
    <t>Repayment frequency</t>
  </si>
  <si>
    <t>monthly</t>
  </si>
  <si>
    <t>Annual account fee</t>
  </si>
  <si>
    <t>Annual package fee</t>
  </si>
  <si>
    <t>Establishment fee</t>
  </si>
  <si>
    <t>Other upfront / switching cost</t>
  </si>
  <si>
    <t>Offset available</t>
  </si>
  <si>
    <t>No</t>
  </si>
  <si>
    <t>Comparison rate (optional)</t>
  </si>
  <si>
    <t>Include loan</t>
  </si>
  <si>
    <t>Yes</t>
  </si>
  <si>
    <t>Effective annual model rate</t>
  </si>
  <si>
    <t>Included inputs valid</t>
  </si>
  <si>
    <t>Include one to four loans. Annual account/package fees are additive: avoid double counting. Offset availability and comparison rate are reference fields only; they do not change repayments. Introductory-rate modelling is deferred.</t>
  </si>
  <si>
    <t>Comparison Summary</t>
  </si>
  <si>
    <t>Periodic repayment</t>
  </si>
  <si>
    <t>Annual repayments</t>
  </si>
  <si>
    <t>First-year cash outflow</t>
  </si>
  <si>
    <t>Lifetime interest</t>
  </si>
  <si>
    <t>Lifetime fees</t>
  </si>
  <si>
    <t>Lifetime cash outflow</t>
  </si>
  <si>
    <t>Constant-rate P&amp;I with 12/26/52 annual periods. Fees are cash-paid outside principal; recurring fees stop at loan end. Five-year figures stop at the term if shorter. Compare remaining debt as well as cash outflow.</t>
  </si>
  <si>
    <t>5-Year Comparison</t>
  </si>
  <si>
    <t>Periods in first 5 years</t>
  </si>
  <si>
    <t>5-year repayments</t>
  </si>
  <si>
    <t>Balance after 5 years</t>
  </si>
  <si>
    <t>5-year principal paid</t>
  </si>
  <si>
    <t>5-year interest</t>
  </si>
  <si>
    <t>5-year fees incl. upfront</t>
  </si>
  <si>
    <t>5-year total cash outflow</t>
  </si>
  <si>
    <t>Lifetime Comparison</t>
  </si>
  <si>
    <t>Principal borrowed</t>
  </si>
  <si>
    <t>Total repayments</t>
  </si>
  <si>
    <t>Lifetime fees incl. upfront</t>
  </si>
  <si>
    <t>Lifetime total cash outflow</t>
  </si>
  <si>
    <t>Charts</t>
  </si>
  <si>
    <t>Loan</t>
  </si>
  <si>
    <t>Five-year outflow</t>
  </si>
  <si>
    <t>Lifetime outflow</t>
  </si>
  <si>
    <t>Instructions</t>
  </si>
  <si>
    <t>Compare one to four offers. Enter Include = Yes only for active options. Keep amount, term and fee scope equal for fair comparisons. Frequency-specific fortnightly repayment is not half a monthly payment. Enter each fee once.</t>
  </si>
  <si>
    <t>Repayments use the canonical mortgage engine annuity formula. Five-year closing principal solves the same recurrence. Interest = repayments minus principal repaid. Lifetime interest = full repayments minus original principal. Costs include principal and all entered fees.</t>
  </si>
  <si>
    <t>Offset is informational; no offset savings are calculated here. Optional comparison rate is never substituted for the interest rate. Introductory/changing rates, tax and lender approval are excluded. The lowest modelled cost is not the best or most suitable loan.</t>
  </si>
  <si>
    <t>Five-year cash outflow is not five-year interest: principal is included. The remaining-balance row shows outstanding debt. A term under five years stops payments/fees when paid off. Compare features and restrictions separately.</t>
  </si>
  <si>
    <t>Green inputs remain editable; formula protection is not encryption. Save a personal copy. Loan bounds: 0–$100 million, 0–30% constant rate, 1–40 whole years. These model bounds do not establish lending eligibility.</t>
  </si>
  <si>
    <t>Methodology: https://calcy.com.au/methodology. Corrections: https://calcy.com.au/contact. General context: https://moneysmart.gov.au/home-loans. Examples are illustrative, not live offers.</t>
  </si>
  <si>
    <t>Numerical convention: annual rates at or below 1e-12 in decimal form (0.0000000001%) use zero interest. Rates above that and up to 1e-6 use an equivalent small-rate series to avoid cancellation. These are numerical stability conventions, not lending rules; entered rates are retained.</t>
  </si>
  <si>
    <t>Option inputs valid</t>
  </si>
  <si>
    <t>Periods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</si>
</sst>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\(&quot;$&quot;#,##0.00\);&quot;$&quot;0.00"/>
    <numFmt numFmtId="165" formatCode="&quot;$&quot;#,##0.00"/>
  </numFmts>
  <fonts count="8">
    <font>
      <sz val="11"/>
      <name val="Carlito"/>
    </font>
    <font>
      <sz val="10"/>
      <color rgb="FF17201B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2"/>
      <color rgb="FF17201B"/>
      <name val="Arial"/>
      <family val="2"/>
    </font>
    <font>
      <b/>
      <sz val="16"/>
      <color rgb="FFFFFFFF"/>
      <name val="Arial"/>
      <family val="2"/>
    </font>
    <font>
      <sz val="11"/>
      <color rgb="FF17201B"/>
      <name val="Arial"/>
      <family val="2"/>
    </font>
    <font>
      <b/>
      <sz val="14"/>
      <color rgb="FF2D6A4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6A4F"/>
      </patternFill>
    </fill>
    <fill>
      <patternFill patternType="solid">
        <fgColor rgb="FFEA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vertical="center"/>
    </xf>
    <xf numFmtId="165" fontId="1" fillId="3" borderId="0" xfId="0" applyNumberFormat="1" applyFont="1" applyFill="1" applyBorder="1" applyAlignment="1" applyProtection="1">
      <alignment vertical="center"/>
      <protection locked="0"/>
    </xf>
    <xf numFmtId="10" fontId="1" fillId="3" borderId="0" xfId="0" applyNumberFormat="1" applyFont="1" applyFill="1" applyBorder="1" applyAlignment="1" applyProtection="1">
      <alignment vertical="center"/>
      <protection locked="0"/>
    </xf>
    <xf numFmtId="0" fontId="1" fillId="3" borderId="0" xfId="0" applyNumberFormat="1" applyFont="1" applyFill="1" applyBorder="1" applyAlignment="1" applyProtection="1">
      <alignment vertical="center"/>
      <protection locked="0"/>
    </xf>
    <xf numFmtId="0" fontId="5" fillId="2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Entered loan costs (AUD)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Five-year outflow</c:v>
          </c:tx>
          <c:spPr>
            <a:solidFill>
              <a:srgbClr val="2D6A4F"/>
            </a:solidFill>
            <a:ln w="19050">
              <a:solidFill>
                <a:srgbClr val="2D6A4F"/>
              </a:solidFill>
            </a:ln>
          </c:spPr>
          <c:invertIfNegative val="0"/>
          <c:cat>
            <c:strRef>
              <c:f>Charts!$A$26:$A$29</c:f>
              <c:strCache>
                <c:ptCount val="4"/>
                <c:pt idx="0">
                  <c:v>Loan A</c:v>
                </c:pt>
                <c:pt idx="1">
                  <c:v>Loan B</c:v>
                </c:pt>
                <c:pt idx="2">
                  <c:v>Loan C</c:v>
                </c:pt>
                <c:pt idx="3">
                  <c:v>Loan D</c:v>
                </c:pt>
              </c:strCache>
            </c:strRef>
          </c:cat>
          <c:val>
            <c:numRef>
              <c:f>Charts!$B$26:$B$29</c:f>
              <c:numCache>
                <c:formatCode>General</c:formatCode>
                <c:ptCount val="4"/>
                <c:pt idx="0">
                  <c:v>246792.00206844122</c:v>
                </c:pt>
                <c:pt idx="1">
                  <c:v>244445.22285660933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C-4512-9B2C-64EC8D4F45F6}"/>
            </c:ext>
          </c:extLst>
        </c:ser>
        <c:ser>
          <c:idx val="1"/>
          <c:order val="1"/>
          <c:tx>
            <c:v>Lifetime outflow</c:v>
          </c:tx>
          <c:spPr>
            <a:solidFill>
              <a:srgbClr val="AC915B"/>
            </a:solidFill>
            <a:ln w="19050">
              <a:solidFill>
                <a:srgbClr val="AC915B"/>
              </a:solidFill>
            </a:ln>
          </c:spPr>
          <c:invertIfNegative val="0"/>
          <c:cat>
            <c:strRef>
              <c:f>Charts!$A$26:$A$29</c:f>
              <c:strCache>
                <c:ptCount val="4"/>
                <c:pt idx="0">
                  <c:v>Loan A</c:v>
                </c:pt>
                <c:pt idx="1">
                  <c:v>Loan B</c:v>
                </c:pt>
                <c:pt idx="2">
                  <c:v>Loan C</c:v>
                </c:pt>
                <c:pt idx="3">
                  <c:v>Loan D</c:v>
                </c:pt>
              </c:strCache>
            </c:strRef>
          </c:cat>
          <c:val>
            <c:numRef>
              <c:f>Charts!$C$26:$C$29</c:f>
              <c:numCache>
                <c:formatCode>General</c:formatCode>
                <c:ptCount val="4"/>
                <c:pt idx="0">
                  <c:v>1475752.0124106472</c:v>
                </c:pt>
                <c:pt idx="1">
                  <c:v>1460671.3371396558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4C-4512-9B2C-64EC8D4F4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6A4F"/>
    <pageSetUpPr fitToPage="1"/>
  </sheetPr>
  <dimension ref="A1:H70"/>
  <sheetViews>
    <sheetView showGridLines="0" tabSelected="1" zoomScaleNormal="100" workbookViewId="0">
      <selection sqref="A1:H2"/>
    </sheetView>
  </sheetViews>
  <sheetFormatPr defaultRowHeight="14.15"/>
  <cols>
    <col min="1" max="1" width="41" customWidth="1"/>
    <col min="2" max="2" width="28" customWidth="1"/>
    <col min="3" max="8" width="17" customWidth="1"/>
  </cols>
  <sheetData>
    <row r="1" spans="1:8" ht="18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>
      <c r="A2" s="14"/>
      <c r="B2" s="14"/>
      <c r="C2" s="14"/>
      <c r="D2" s="14"/>
      <c r="E2" s="14"/>
      <c r="F2" s="14"/>
      <c r="G2" s="14"/>
      <c r="H2" s="14"/>
    </row>
    <row r="3" spans="1:8" ht="14.05" customHeight="1">
      <c r="A3" s="6"/>
      <c r="B3" s="6"/>
      <c r="C3" s="6"/>
      <c r="D3" s="6"/>
      <c r="E3" s="6"/>
      <c r="F3" s="6"/>
      <c r="G3" s="6"/>
      <c r="H3" s="6"/>
    </row>
    <row r="4" spans="1:8" ht="14.05" customHeight="1">
      <c r="A4" s="17" t="str">
        <f>IF('Loan Inputs'!$B$19,"Illustrative estimate in AUD. Edit green inputs.","Check required inputs, dates and supported bounds; outputs unavailable.")</f>
        <v>Illustrative estimate in AUD. Edit green inputs.</v>
      </c>
      <c r="B4" s="17"/>
      <c r="C4" s="17"/>
      <c r="D4" s="17"/>
      <c r="E4" s="17"/>
      <c r="F4" s="17"/>
      <c r="G4" s="17"/>
      <c r="H4" s="17"/>
    </row>
    <row r="5" spans="1:8" ht="14.05" customHeight="1">
      <c r="A5" s="17"/>
      <c r="B5" s="17"/>
      <c r="C5" s="17"/>
      <c r="D5" s="17"/>
      <c r="E5" s="17"/>
      <c r="F5" s="17"/>
      <c r="G5" s="17"/>
      <c r="H5" s="17"/>
    </row>
    <row r="6" spans="1:8" ht="14.05" customHeight="1">
      <c r="A6" s="6"/>
      <c r="B6" s="6"/>
      <c r="C6" s="6"/>
      <c r="D6" s="6"/>
      <c r="E6" s="6"/>
      <c r="F6" s="6"/>
      <c r="G6" s="6"/>
      <c r="H6" s="6"/>
    </row>
    <row r="7" spans="1:8" ht="20.05" customHeight="1">
      <c r="A7" s="6" t="s">
        <v>1</v>
      </c>
      <c r="B7" s="8">
        <f>IF('Loan Inputs'!$B$19,MIN('5-Year Comparison'!B13:E13),"")</f>
        <v>244445.22285660933</v>
      </c>
      <c r="C7" s="6"/>
      <c r="D7" s="6"/>
      <c r="E7" s="6"/>
      <c r="F7" s="6"/>
      <c r="G7" s="6"/>
      <c r="H7" s="6"/>
    </row>
    <row r="8" spans="1:8" ht="20.05" customHeight="1">
      <c r="A8" s="6" t="s">
        <v>2</v>
      </c>
      <c r="B8" s="9" t="str">
        <f>IF('Loan Inputs'!$B$19,CHAR(64+MATCH(B7,'5-Year Comparison'!B13:E13,0)),"")</f>
        <v>B</v>
      </c>
      <c r="C8" s="6"/>
      <c r="D8" s="6"/>
      <c r="E8" s="6"/>
      <c r="F8" s="6"/>
      <c r="G8" s="6"/>
      <c r="H8" s="6"/>
    </row>
    <row r="9" spans="1:8" ht="20.05" customHeight="1">
      <c r="A9" s="6" t="s">
        <v>3</v>
      </c>
      <c r="B9" s="8">
        <f>IF('Loan Inputs'!$B$19,MIN('Lifetime Comparison'!B11:E11),"")</f>
        <v>1460671.3371396558</v>
      </c>
      <c r="C9" s="6"/>
      <c r="D9" s="6"/>
      <c r="E9" s="6"/>
      <c r="F9" s="6"/>
      <c r="G9" s="6"/>
      <c r="H9" s="6"/>
    </row>
    <row r="10" spans="1:8" ht="20.05" customHeight="1">
      <c r="A10" s="6" t="s">
        <v>4</v>
      </c>
      <c r="B10" s="9" t="str">
        <f>IF('Loan Inputs'!$B$19,CHAR(64+MATCH(B9,'Lifetime Comparison'!B11:E11,0)),"")</f>
        <v>B</v>
      </c>
      <c r="C10" s="6"/>
      <c r="D10" s="6"/>
      <c r="E10" s="6"/>
      <c r="F10" s="6"/>
      <c r="G10" s="6"/>
      <c r="H10" s="6"/>
    </row>
    <row r="11" spans="1:8" ht="20.05" customHeight="1">
      <c r="A11" s="6" t="s">
        <v>5</v>
      </c>
      <c r="B11" s="10">
        <f>IF('Loan Inputs'!$B$19,COUNTIFS('Loan Inputs'!B15:E15,"Yes"),"")</f>
        <v>2</v>
      </c>
      <c r="C11" s="6"/>
      <c r="D11" s="6"/>
      <c r="E11" s="6"/>
      <c r="F11" s="6"/>
      <c r="G11" s="6"/>
      <c r="H11" s="6"/>
    </row>
    <row r="12" spans="1:8" ht="20.05" customHeight="1">
      <c r="A12" s="6"/>
      <c r="B12" s="9"/>
      <c r="C12" s="6"/>
      <c r="D12" s="6"/>
      <c r="E12" s="6"/>
      <c r="F12" s="6"/>
      <c r="G12" s="6"/>
      <c r="H12" s="6"/>
    </row>
    <row r="13" spans="1:8" ht="20.05" customHeight="1">
      <c r="A13" s="6"/>
      <c r="B13" s="9"/>
      <c r="C13" s="6"/>
      <c r="D13" s="6"/>
      <c r="E13" s="6"/>
      <c r="F13" s="6"/>
      <c r="G13" s="6"/>
      <c r="H13" s="6"/>
    </row>
    <row r="14" spans="1:8" ht="20.05" customHeight="1">
      <c r="A14" s="6"/>
      <c r="B14" s="9"/>
      <c r="C14" s="6"/>
      <c r="D14" s="6"/>
      <c r="E14" s="6"/>
      <c r="F14" s="6"/>
      <c r="G14" s="6"/>
      <c r="H14" s="6"/>
    </row>
    <row r="15" spans="1:8" ht="20.05" customHeight="1">
      <c r="A15" s="6"/>
      <c r="B15" s="9"/>
      <c r="C15" s="6"/>
      <c r="D15" s="6"/>
      <c r="E15" s="6"/>
      <c r="F15" s="6"/>
      <c r="G15" s="6"/>
      <c r="H15" s="6"/>
    </row>
    <row r="16" spans="1:8" ht="20.05" customHeight="1">
      <c r="A16" s="6"/>
      <c r="B16" s="9"/>
      <c r="C16" s="6"/>
      <c r="D16" s="6"/>
      <c r="E16" s="6"/>
      <c r="F16" s="6"/>
      <c r="G16" s="6"/>
      <c r="H16" s="6"/>
    </row>
    <row r="17" spans="1:8" ht="20.05" customHeight="1">
      <c r="A17" s="15" t="s">
        <v>6</v>
      </c>
      <c r="B17" s="16"/>
      <c r="C17" s="15"/>
      <c r="D17" s="15"/>
      <c r="E17" s="15"/>
      <c r="F17" s="15"/>
      <c r="G17" s="15"/>
      <c r="H17" s="15"/>
    </row>
    <row r="18" spans="1:8" ht="20.05" customHeight="1">
      <c r="A18" s="15"/>
      <c r="B18" s="16"/>
      <c r="C18" s="15"/>
      <c r="D18" s="15"/>
      <c r="E18" s="15"/>
      <c r="F18" s="15"/>
      <c r="G18" s="15"/>
      <c r="H18" s="15"/>
    </row>
    <row r="19" spans="1:8" ht="14.05" customHeight="1">
      <c r="A19" s="15"/>
      <c r="B19" s="15"/>
      <c r="C19" s="15"/>
      <c r="D19" s="15"/>
      <c r="E19" s="15"/>
      <c r="F19" s="15"/>
      <c r="G19" s="15"/>
      <c r="H19" s="15"/>
    </row>
    <row r="20" spans="1:8" ht="14.05" customHeight="1">
      <c r="A20" s="6"/>
      <c r="B20" s="6"/>
      <c r="C20" s="6"/>
      <c r="D20" s="6"/>
      <c r="E20" s="6"/>
      <c r="F20" s="6"/>
      <c r="G20" s="6"/>
      <c r="H20" s="6"/>
    </row>
    <row r="21" spans="1:8" ht="14.05" customHeight="1">
      <c r="A21" s="6"/>
      <c r="B21" s="6"/>
      <c r="C21" s="6"/>
      <c r="D21" s="6"/>
      <c r="E21" s="6"/>
      <c r="F21" s="6"/>
      <c r="G21" s="6"/>
      <c r="H21" s="6"/>
    </row>
    <row r="22" spans="1:8" ht="14.05" customHeight="1">
      <c r="A22" s="6"/>
      <c r="B22" s="6"/>
      <c r="C22" s="6"/>
      <c r="D22" s="6"/>
      <c r="E22" s="6"/>
      <c r="F22" s="6"/>
      <c r="G22" s="6"/>
      <c r="H22" s="6"/>
    </row>
    <row r="23" spans="1:8" ht="14.05" customHeight="1">
      <c r="A23" s="7"/>
      <c r="B23" s="7"/>
      <c r="C23" s="7"/>
      <c r="D23" s="7"/>
      <c r="E23" s="7"/>
      <c r="F23" s="7"/>
      <c r="G23" s="7"/>
      <c r="H23" s="7"/>
    </row>
    <row r="24" spans="1:8" ht="14.05" customHeight="1">
      <c r="A24" s="7"/>
      <c r="B24" s="7"/>
      <c r="C24" s="7"/>
      <c r="D24" s="7"/>
      <c r="E24" s="7"/>
      <c r="F24" s="7"/>
      <c r="G24" s="7"/>
      <c r="H24" s="7"/>
    </row>
    <row r="25" spans="1:8" ht="14.05" customHeight="1">
      <c r="A25" s="7"/>
      <c r="B25" s="7"/>
      <c r="C25" s="7"/>
      <c r="D25" s="7"/>
      <c r="E25" s="7"/>
      <c r="F25" s="7"/>
      <c r="G25" s="7"/>
      <c r="H25" s="7"/>
    </row>
    <row r="26" spans="1:8" ht="14.05" customHeight="1">
      <c r="A26" s="6"/>
      <c r="B26" s="6"/>
      <c r="C26" s="6"/>
      <c r="D26" s="6"/>
      <c r="E26" s="6"/>
      <c r="F26" s="6"/>
      <c r="G26" s="6"/>
      <c r="H26" s="6"/>
    </row>
    <row r="27" spans="1:8" ht="14.05" customHeight="1">
      <c r="A27" s="6"/>
      <c r="B27" s="6"/>
      <c r="C27" s="6"/>
      <c r="D27" s="6"/>
      <c r="E27" s="6"/>
      <c r="F27" s="6"/>
      <c r="G27" s="6"/>
      <c r="H27" s="6"/>
    </row>
    <row r="28" spans="1:8" ht="14.05" customHeight="1">
      <c r="A28" s="6"/>
      <c r="B28" s="6"/>
      <c r="C28" s="6"/>
      <c r="D28" s="6"/>
      <c r="E28" s="6"/>
      <c r="F28" s="6"/>
      <c r="G28" s="6"/>
      <c r="H28" s="6"/>
    </row>
    <row r="29" spans="1:8" ht="14.05" customHeight="1">
      <c r="A29" s="6"/>
      <c r="B29" s="6"/>
      <c r="C29" s="6"/>
      <c r="D29" s="6"/>
      <c r="E29" s="6"/>
      <c r="F29" s="6"/>
      <c r="G29" s="6"/>
      <c r="H29" s="6"/>
    </row>
    <row r="30" spans="1:8" ht="14.05" customHeight="1">
      <c r="A30" s="6"/>
      <c r="B30" s="6"/>
      <c r="C30" s="6"/>
      <c r="D30" s="6"/>
      <c r="E30" s="6"/>
      <c r="F30" s="6"/>
      <c r="G30" s="6"/>
      <c r="H30" s="6"/>
    </row>
    <row r="31" spans="1:8" ht="14.05" customHeight="1">
      <c r="A31" s="6"/>
      <c r="B31" s="6"/>
      <c r="C31" s="6"/>
      <c r="D31" s="6"/>
      <c r="E31" s="6"/>
      <c r="F31" s="6"/>
      <c r="G31" s="6"/>
      <c r="H31" s="6"/>
    </row>
    <row r="32" spans="1:8" ht="14.05" customHeight="1">
      <c r="A32" s="15" t="s">
        <v>7</v>
      </c>
      <c r="B32" s="15"/>
      <c r="C32" s="15"/>
      <c r="D32" s="15"/>
      <c r="E32" s="15"/>
      <c r="F32" s="15"/>
      <c r="G32" s="15"/>
      <c r="H32" s="15"/>
    </row>
    <row r="33" spans="1:8" ht="14.05" customHeight="1">
      <c r="A33" s="15"/>
      <c r="B33" s="15"/>
      <c r="C33" s="15"/>
      <c r="D33" s="15"/>
      <c r="E33" s="15"/>
      <c r="F33" s="15"/>
      <c r="G33" s="15"/>
      <c r="H33" s="15"/>
    </row>
    <row r="34" spans="1:8" ht="14.05" customHeight="1">
      <c r="A34" s="15"/>
      <c r="B34" s="15"/>
      <c r="C34" s="15"/>
      <c r="D34" s="15"/>
      <c r="E34" s="15"/>
      <c r="F34" s="15"/>
      <c r="G34" s="15"/>
      <c r="H34" s="15"/>
    </row>
    <row r="35" spans="1:8" ht="14.05" customHeight="1">
      <c r="A35" s="6"/>
      <c r="B35" s="6"/>
      <c r="C35" s="6"/>
      <c r="D35" s="6"/>
      <c r="E35" s="6"/>
      <c r="F35" s="6"/>
      <c r="G35" s="6"/>
      <c r="H35" s="6"/>
    </row>
    <row r="36" spans="1:8" ht="14.05" customHeight="1">
      <c r="A36" s="6"/>
      <c r="B36" s="6"/>
      <c r="C36" s="6"/>
      <c r="D36" s="6"/>
      <c r="E36" s="6"/>
      <c r="F36" s="6"/>
      <c r="G36" s="6"/>
      <c r="H36" s="6"/>
    </row>
    <row r="37" spans="1:8" ht="14.05" customHeight="1">
      <c r="A37" s="6"/>
      <c r="B37" s="6"/>
      <c r="C37" s="6"/>
      <c r="D37" s="6"/>
      <c r="E37" s="6"/>
      <c r="F37" s="6"/>
      <c r="G37" s="6"/>
      <c r="H37" s="6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4">
    <mergeCell ref="A1:H2"/>
    <mergeCell ref="A17:H19"/>
    <mergeCell ref="A4:H5"/>
    <mergeCell ref="A32:H34"/>
  </mergeCells>
  <pageMargins left="0.39370078740157477" right="0.39370078740157477" top="0.39370078740157477" bottom="0.59055118110236215" header="0.3" footer="0.19685039370078738"/>
  <pageSetup paperSize="9" scale="74" orientation="landscape" r:id="rId1"/>
  <headerFooter>
    <oddFooter>&amp;CCalcy | Page &amp;P&amp;Rcalcy.com.au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18" t="s">
        <v>8</v>
      </c>
      <c r="B1" s="18"/>
      <c r="C1" s="18"/>
      <c r="D1" s="18"/>
      <c r="E1" s="18"/>
      <c r="F1" s="18"/>
      <c r="G1" s="18"/>
      <c r="H1" s="18"/>
    </row>
    <row r="2" spans="1:8" ht="23.05" customHeight="1">
      <c r="A2" s="18"/>
      <c r="B2" s="18"/>
      <c r="C2" s="18"/>
      <c r="D2" s="18"/>
      <c r="E2" s="18"/>
      <c r="F2" s="18"/>
      <c r="G2" s="18"/>
      <c r="H2" s="18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 t="s">
        <v>9</v>
      </c>
      <c r="C4" s="1" t="s">
        <v>10</v>
      </c>
      <c r="D4" s="1" t="s">
        <v>11</v>
      </c>
      <c r="E4" s="1" t="s">
        <v>12</v>
      </c>
      <c r="F4" s="1"/>
      <c r="G4" s="1"/>
      <c r="H4" s="1"/>
    </row>
    <row r="5" spans="1:8" ht="23.05" customHeight="1">
      <c r="A5" s="1" t="s">
        <v>13</v>
      </c>
      <c r="B5" s="11">
        <v>650000</v>
      </c>
      <c r="C5" s="11">
        <v>650000</v>
      </c>
      <c r="D5" s="11">
        <v>650000</v>
      </c>
      <c r="E5" s="11">
        <v>650000</v>
      </c>
      <c r="F5" s="1"/>
      <c r="G5" s="1"/>
      <c r="H5" s="1"/>
    </row>
    <row r="6" spans="1:8" ht="23.05" customHeight="1">
      <c r="A6" s="1" t="s">
        <v>14</v>
      </c>
      <c r="B6" s="12">
        <v>6.3899999999999998E-2</v>
      </c>
      <c r="C6" s="12">
        <v>6.2899999999999998E-2</v>
      </c>
      <c r="D6" s="12">
        <v>6.1899999999999997E-2</v>
      </c>
      <c r="E6" s="12">
        <v>6.0899999999999996E-2</v>
      </c>
      <c r="F6" s="1"/>
      <c r="G6" s="1"/>
      <c r="H6" s="1"/>
    </row>
    <row r="7" spans="1:8" ht="23.05" customHeight="1">
      <c r="A7" s="1" t="s">
        <v>15</v>
      </c>
      <c r="B7" s="13">
        <v>30</v>
      </c>
      <c r="C7" s="13">
        <v>30</v>
      </c>
      <c r="D7" s="13">
        <v>30</v>
      </c>
      <c r="E7" s="13">
        <v>30</v>
      </c>
      <c r="F7" s="1"/>
      <c r="G7" s="1"/>
      <c r="H7" s="1"/>
    </row>
    <row r="8" spans="1:8" ht="23.05" customHeight="1">
      <c r="A8" s="1" t="s">
        <v>16</v>
      </c>
      <c r="B8" s="13" t="s">
        <v>17</v>
      </c>
      <c r="C8" s="13" t="s">
        <v>17</v>
      </c>
      <c r="D8" s="13" t="s">
        <v>17</v>
      </c>
      <c r="E8" s="13" t="s">
        <v>17</v>
      </c>
      <c r="F8" s="1"/>
      <c r="G8" s="1"/>
      <c r="H8" s="1"/>
    </row>
    <row r="9" spans="1:8" ht="23.05" customHeight="1">
      <c r="A9" s="1" t="s">
        <v>18</v>
      </c>
      <c r="B9" s="11">
        <v>120</v>
      </c>
      <c r="C9" s="11">
        <v>120</v>
      </c>
      <c r="D9" s="11">
        <v>120</v>
      </c>
      <c r="E9" s="11">
        <v>120</v>
      </c>
      <c r="F9" s="1"/>
      <c r="G9" s="1"/>
      <c r="H9" s="1"/>
    </row>
    <row r="10" spans="1:8" ht="23.05" customHeight="1">
      <c r="A10" s="1" t="s">
        <v>19</v>
      </c>
      <c r="B10" s="11">
        <v>300</v>
      </c>
      <c r="C10" s="11">
        <v>300</v>
      </c>
      <c r="D10" s="11">
        <v>300</v>
      </c>
      <c r="E10" s="11">
        <v>300</v>
      </c>
      <c r="F10" s="1"/>
      <c r="G10" s="1"/>
      <c r="H10" s="1"/>
    </row>
    <row r="11" spans="1:8" ht="23.05" customHeight="1">
      <c r="A11" s="1" t="s">
        <v>20</v>
      </c>
      <c r="B11" s="11">
        <v>1000</v>
      </c>
      <c r="C11" s="11">
        <v>1000</v>
      </c>
      <c r="D11" s="11">
        <v>1000</v>
      </c>
      <c r="E11" s="11">
        <v>1000</v>
      </c>
      <c r="F11" s="1"/>
      <c r="G11" s="1"/>
      <c r="H11" s="1"/>
    </row>
    <row r="12" spans="1:8" ht="23.05" customHeight="1">
      <c r="A12" s="1" t="s">
        <v>21</v>
      </c>
      <c r="B12" s="11">
        <v>0</v>
      </c>
      <c r="C12" s="11">
        <v>200</v>
      </c>
      <c r="D12" s="11">
        <v>400</v>
      </c>
      <c r="E12" s="11">
        <v>600</v>
      </c>
      <c r="F12" s="1"/>
      <c r="G12" s="1"/>
      <c r="H12" s="1"/>
    </row>
    <row r="13" spans="1:8" ht="23.05" customHeight="1">
      <c r="A13" s="1" t="s">
        <v>22</v>
      </c>
      <c r="B13" s="13" t="s">
        <v>23</v>
      </c>
      <c r="C13" s="13" t="s">
        <v>23</v>
      </c>
      <c r="D13" s="13" t="s">
        <v>23</v>
      </c>
      <c r="E13" s="13" t="s">
        <v>23</v>
      </c>
      <c r="F13" s="1"/>
      <c r="G13" s="1"/>
      <c r="H13" s="1"/>
    </row>
    <row r="14" spans="1:8" ht="23.05" customHeight="1">
      <c r="A14" s="1" t="s">
        <v>24</v>
      </c>
      <c r="B14" s="12"/>
      <c r="C14" s="12"/>
      <c r="D14" s="12"/>
      <c r="E14" s="12"/>
      <c r="F14" s="1"/>
      <c r="G14" s="1"/>
      <c r="H14" s="1"/>
    </row>
    <row r="15" spans="1:8" ht="23.05" customHeight="1">
      <c r="A15" s="1" t="s">
        <v>25</v>
      </c>
      <c r="B15" s="13" t="s">
        <v>26</v>
      </c>
      <c r="C15" s="13" t="s">
        <v>26</v>
      </c>
      <c r="D15" s="13" t="s">
        <v>23</v>
      </c>
      <c r="E15" s="13" t="s">
        <v>23</v>
      </c>
      <c r="F15" s="1"/>
      <c r="G15" s="1"/>
      <c r="H15" s="1"/>
    </row>
    <row r="16" spans="1:8" ht="23.05" customHeight="1">
      <c r="A16" s="1" t="s">
        <v>63</v>
      </c>
      <c r="B16" s="1" t="b">
        <f>IFERROR(IF(B15="No",TRUE,AND(B15="Yes",AND(ISNUMBER(B5),B5&gt;=0,B5&lt;=100000000),AND(ISNUMBER(B6),B6&gt;=0,B6&lt;=0.3),AND(ISNUMBER(B7),B7&gt;=1,B7&lt;=40),MOD(B7,1)=0,OR(B8="monthly",B8="fortnightly",B8="weekly"),AND(ISNUMBER(B9),B9&gt;=0,B9&lt;=10000000),AND(ISNUMBER(B10),B10&gt;=0,B10&lt;=10000000),AND(ISNUMBER(B11),B11&gt;=0,B11&lt;=10000000),AND(ISNUMBER(B12),B12&gt;=0,B12&lt;=10000000),OR(B13="Yes",B13="No"),OR(B14="",AND(ISNUMBER(B14),B14&gt;=0,B14&lt;=0.3)))),FALSE)</f>
        <v>1</v>
      </c>
      <c r="C16" s="1" t="b">
        <f>IFERROR(IF(C15="No",TRUE,AND(C15="Yes",AND(ISNUMBER(C5),C5&gt;=0,C5&lt;=100000000),AND(ISNUMBER(C6),C6&gt;=0,C6&lt;=0.3),AND(ISNUMBER(C7),C7&gt;=1,C7&lt;=40),MOD(C7,1)=0,OR(C8="monthly",C8="fortnightly",C8="weekly"),AND(ISNUMBER(C9),C9&gt;=0,C9&lt;=10000000),AND(ISNUMBER(C10),C10&gt;=0,C10&lt;=10000000),AND(ISNUMBER(C11),C11&gt;=0,C11&lt;=10000000),AND(ISNUMBER(C12),C12&gt;=0,C12&lt;=10000000),OR(C13="Yes",C13="No"),OR(C14="",AND(ISNUMBER(C14),C14&gt;=0,C14&lt;=0.3)))),FALSE)</f>
        <v>1</v>
      </c>
      <c r="D16" s="1" t="b">
        <f>IFERROR(IF(D15="No",TRUE,AND(D15="Yes",AND(ISNUMBER(D5),D5&gt;=0,D5&lt;=100000000),AND(ISNUMBER(D6),D6&gt;=0,D6&lt;=0.3),AND(ISNUMBER(D7),D7&gt;=1,D7&lt;=40),MOD(D7,1)=0,OR(D8="monthly",D8="fortnightly",D8="weekly"),AND(ISNUMBER(D9),D9&gt;=0,D9&lt;=10000000),AND(ISNUMBER(D10),D10&gt;=0,D10&lt;=10000000),AND(ISNUMBER(D11),D11&gt;=0,D11&lt;=10000000),AND(ISNUMBER(D12),D12&gt;=0,D12&lt;=10000000),OR(D13="Yes",D13="No"),OR(D14="",AND(ISNUMBER(D14),D14&gt;=0,D14&lt;=0.3)))),FALSE)</f>
        <v>1</v>
      </c>
      <c r="E16" s="1" t="b">
        <f>IFERROR(IF(E15="No",TRUE,AND(E15="Yes",AND(ISNUMBER(E5),E5&gt;=0,E5&lt;=100000000),AND(ISNUMBER(E6),E6&gt;=0,E6&lt;=0.3),AND(ISNUMBER(E7),E7&gt;=1,E7&lt;=40),MOD(E7,1)=0,OR(E8="monthly",E8="fortnightly",E8="weekly"),AND(ISNUMBER(E9),E9&gt;=0,E9&lt;=10000000),AND(ISNUMBER(E10),E10&gt;=0,E10&lt;=10000000),AND(ISNUMBER(E11),E11&gt;=0,E11&lt;=10000000),AND(ISNUMBER(E12),E12&gt;=0,E12&lt;=10000000),OR(E13="Yes",E13="No"),OR(E14="",AND(ISNUMBER(E14),E14&gt;=0,E14&lt;=0.3)))),FALSE)</f>
        <v>1</v>
      </c>
      <c r="F16" s="1"/>
      <c r="G16" s="1"/>
      <c r="H16" s="1"/>
    </row>
    <row r="17" spans="1:8" ht="23.05" customHeight="1">
      <c r="A17" s="1" t="s">
        <v>64</v>
      </c>
      <c r="B17" s="1">
        <f>IF(B8="monthly",12,IF(B8="fortnightly",26,52))</f>
        <v>12</v>
      </c>
      <c r="C17" s="1">
        <f>IF(C8="monthly",12,IF(C8="fortnightly",26,52))</f>
        <v>12</v>
      </c>
      <c r="D17" s="1">
        <f>IF(D8="monthly",12,IF(D8="fortnightly",26,52))</f>
        <v>12</v>
      </c>
      <c r="E17" s="1">
        <f>IF(E8="monthly",12,IF(E8="fortnightly",26,52))</f>
        <v>12</v>
      </c>
      <c r="F17" s="1"/>
      <c r="G17" s="1"/>
      <c r="H17" s="1"/>
    </row>
    <row r="18" spans="1:8" ht="23.05" customHeight="1">
      <c r="A18" s="1" t="s">
        <v>27</v>
      </c>
      <c r="B18" s="2">
        <f>IFERROR(IF(B16,IF(B6&lt;=0.000000000001,0,B6),""),"")</f>
        <v>6.3899999999999998E-2</v>
      </c>
      <c r="C18" s="2">
        <f>IFERROR(IF(C16,IF(C6&lt;=0.000000000001,0,C6),""),"")</f>
        <v>6.2899999999999998E-2</v>
      </c>
      <c r="D18" s="2">
        <f>IFERROR(IF(D16,IF(D6&lt;=0.000000000001,0,D6),""),"")</f>
        <v>6.1899999999999997E-2</v>
      </c>
      <c r="E18" s="2">
        <f>IFERROR(IF(E16,IF(E6&lt;=0.000000000001,0,E6),""),"")</f>
        <v>6.0899999999999996E-2</v>
      </c>
      <c r="F18" s="1"/>
      <c r="G18" s="1"/>
      <c r="H18" s="1"/>
    </row>
    <row r="19" spans="1:8" ht="23.05" customHeight="1">
      <c r="A19" s="1" t="s">
        <v>28</v>
      </c>
      <c r="B19" s="1" t="b">
        <f>AND(B16,C16,D16,E16,COUNTIFS(B15:E15,"Yes")&gt;=1)</f>
        <v>1</v>
      </c>
      <c r="C19" s="1"/>
      <c r="D19" s="1"/>
      <c r="E19" s="1"/>
      <c r="F19" s="1"/>
      <c r="G19" s="1"/>
      <c r="H19" s="1"/>
    </row>
    <row r="20" spans="1:8" ht="23.05" customHeight="1">
      <c r="A20" s="1"/>
      <c r="B20" s="1"/>
      <c r="C20" s="1"/>
      <c r="D20" s="1"/>
      <c r="E20" s="1"/>
      <c r="F20" s="1"/>
      <c r="G20" s="1"/>
      <c r="H20" s="1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9" t="s">
        <v>29</v>
      </c>
      <c r="B23" s="19"/>
      <c r="C23" s="19"/>
      <c r="D23" s="19"/>
      <c r="E23" s="19"/>
      <c r="F23" s="19"/>
      <c r="G23" s="19"/>
      <c r="H23" s="19"/>
    </row>
    <row r="24" spans="1:8" ht="23.05" customHeight="1">
      <c r="A24" s="19"/>
      <c r="B24" s="19"/>
      <c r="C24" s="19"/>
      <c r="D24" s="19"/>
      <c r="E24" s="19"/>
      <c r="F24" s="19"/>
      <c r="G24" s="19"/>
      <c r="H24" s="19"/>
    </row>
    <row r="25" spans="1:8" ht="23.05" customHeight="1">
      <c r="A25" s="19"/>
      <c r="B25" s="19"/>
      <c r="C25" s="19"/>
      <c r="D25" s="19"/>
      <c r="E25" s="19"/>
      <c r="F25" s="19"/>
      <c r="G25" s="19"/>
      <c r="H25" s="19"/>
    </row>
    <row r="26" spans="1:8" ht="23.05" customHeight="1">
      <c r="A26" s="1"/>
      <c r="B26" s="1"/>
      <c r="C26" s="1"/>
      <c r="D26" s="1"/>
      <c r="E26" s="1"/>
      <c r="F26" s="1"/>
      <c r="G26" s="1"/>
      <c r="H26" s="1"/>
    </row>
    <row r="27" spans="1:8" ht="23.05" customHeight="1">
      <c r="A27" s="1"/>
      <c r="B27" s="1"/>
      <c r="C27" s="1"/>
      <c r="D27" s="1"/>
      <c r="E27" s="1"/>
      <c r="F27" s="1"/>
      <c r="G27" s="1"/>
      <c r="H27" s="1"/>
    </row>
    <row r="28" spans="1:8" ht="23.05" customHeight="1">
      <c r="A28" s="1"/>
      <c r="B28" s="1"/>
      <c r="C28" s="1"/>
      <c r="D28" s="1"/>
      <c r="E28" s="1"/>
      <c r="F28" s="1"/>
      <c r="G28" s="1"/>
      <c r="H28" s="1"/>
    </row>
    <row r="29" spans="1:8" ht="23.05" customHeight="1">
      <c r="A29" s="1"/>
      <c r="B29" s="1"/>
      <c r="C29" s="1"/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2">
    <mergeCell ref="A1:H2"/>
    <mergeCell ref="A23:H25"/>
  </mergeCells>
  <dataValidations count="2">
    <dataValidation type="list" allowBlank="1" showInputMessage="1" showErrorMessage="1" sqref="B13:E13 B15:E15" xr:uid="{C000145E-2428-4640-B4BB-31507F9FC370}">
      <formula1>"Yes,No"</formula1>
    </dataValidation>
    <dataValidation type="list" allowBlank="1" showInputMessage="1" showErrorMessage="1" sqref="B8:E8" xr:uid="{677FECED-AF8E-4A1F-B84D-9B52C54B8887}">
      <formula1>"monthly,fortnightly,weekly"</formula1>
    </dataValidation>
  </dataValidation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23.05" customHeight="1">
      <c r="A2" s="18"/>
      <c r="B2" s="18"/>
      <c r="C2" s="18"/>
      <c r="D2" s="18"/>
      <c r="E2" s="18"/>
      <c r="F2" s="18"/>
      <c r="G2" s="18"/>
      <c r="H2" s="18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23.05" customHeight="1">
      <c r="A6" s="1"/>
      <c r="B6" s="1" t="s">
        <v>9</v>
      </c>
      <c r="C6" s="1" t="s">
        <v>10</v>
      </c>
      <c r="D6" s="1" t="s">
        <v>11</v>
      </c>
      <c r="E6" s="1" t="s">
        <v>12</v>
      </c>
      <c r="F6" s="1"/>
      <c r="G6" s="1"/>
      <c r="H6" s="1"/>
    </row>
    <row r="7" spans="1:8" ht="23.05" customHeight="1">
      <c r="A7" s="1" t="s">
        <v>31</v>
      </c>
      <c r="B7" s="3">
        <f>IF(AND('Loan Inputs'!$B$19,'Loan Inputs'!B15="Yes"),IF(('Loan Inputs'!B18/'Loan Inputs'!B17)=0,'Loan Inputs'!B5/('Loan Inputs'!B7*'Loan Inputs'!B17),IF('Loan Inputs'!B18&lt;=0.000001,'Loan Inputs'!B5/('Loan Inputs'!B7*'Loan Inputs'!B17)*(1+(('Loan Inputs'!B7*'Loan Inputs'!B17)+1)*('Loan Inputs'!B18/'Loan Inputs'!B17)/2+(('Loan Inputs'!B7*'Loan Inputs'!B17)^2-1)*('Loan Inputs'!B18/'Loan Inputs'!B17)^2/12),IF(('Loan Inputs'!B18/'Loan Inputs'!B17)=0,'Loan Inputs'!B5/('Loan Inputs'!B7*'Loan Inputs'!B17),'Loan Inputs'!B5*('Loan Inputs'!B18/'Loan Inputs'!B17)*(1+('Loan Inputs'!B18/'Loan Inputs'!B17))^('Loan Inputs'!B7*'Loan Inputs'!B17)/((1+('Loan Inputs'!B18/'Loan Inputs'!B17))^('Loan Inputs'!B7*'Loan Inputs'!B17)-1)))),"")</f>
        <v>4061.5333678073534</v>
      </c>
      <c r="C7" s="3">
        <f>IF(AND('Loan Inputs'!$B$19,'Loan Inputs'!C15="Yes"),IF(('Loan Inputs'!C18/'Loan Inputs'!C17)=0,'Loan Inputs'!C5/('Loan Inputs'!C7*'Loan Inputs'!C17),IF('Loan Inputs'!C18&lt;=0.000001,'Loan Inputs'!C5/('Loan Inputs'!C7*'Loan Inputs'!C17)*(1+(('Loan Inputs'!C7*'Loan Inputs'!C17)+1)*('Loan Inputs'!C18/'Loan Inputs'!C17)/2+(('Loan Inputs'!C7*'Loan Inputs'!C17)^2-1)*('Loan Inputs'!C18/'Loan Inputs'!C17)^2/12),IF(('Loan Inputs'!C18/'Loan Inputs'!C17)=0,'Loan Inputs'!C5/('Loan Inputs'!C7*'Loan Inputs'!C17),'Loan Inputs'!C5*('Loan Inputs'!C18/'Loan Inputs'!C17)*(1+('Loan Inputs'!C18/'Loan Inputs'!C17))^('Loan Inputs'!C7*'Loan Inputs'!C17)/((1+('Loan Inputs'!C18/'Loan Inputs'!C17))^('Loan Inputs'!C7*'Loan Inputs'!C17)-1)))),"")</f>
        <v>4019.0870476101554</v>
      </c>
      <c r="D7" s="3" t="str">
        <f>IF(AND('Loan Inputs'!$B$19,'Loan Inputs'!D15="Yes"),IF(('Loan Inputs'!D18/'Loan Inputs'!D17)=0,'Loan Inputs'!D5/('Loan Inputs'!D7*'Loan Inputs'!D17),IF('Loan Inputs'!D18&lt;=0.000001,'Loan Inputs'!D5/('Loan Inputs'!D7*'Loan Inputs'!D17)*(1+(('Loan Inputs'!D7*'Loan Inputs'!D17)+1)*('Loan Inputs'!D18/'Loan Inputs'!D17)/2+(('Loan Inputs'!D7*'Loan Inputs'!D17)^2-1)*('Loan Inputs'!D18/'Loan Inputs'!D17)^2/12),IF(('Loan Inputs'!D18/'Loan Inputs'!D17)=0,'Loan Inputs'!D5/('Loan Inputs'!D7*'Loan Inputs'!D17),'Loan Inputs'!D5*('Loan Inputs'!D18/'Loan Inputs'!D17)*(1+('Loan Inputs'!D18/'Loan Inputs'!D17))^('Loan Inputs'!D7*'Loan Inputs'!D17)/((1+('Loan Inputs'!D18/'Loan Inputs'!D17))^('Loan Inputs'!D7*'Loan Inputs'!D17)-1)))),"")</f>
        <v/>
      </c>
      <c r="E7" s="3" t="str">
        <f>IF(AND('Loan Inputs'!$B$19,'Loan Inputs'!E15="Yes"),IF(('Loan Inputs'!E18/'Loan Inputs'!E17)=0,'Loan Inputs'!E5/('Loan Inputs'!E7*'Loan Inputs'!E17),IF('Loan Inputs'!E18&lt;=0.000001,'Loan Inputs'!E5/('Loan Inputs'!E7*'Loan Inputs'!E17)*(1+(('Loan Inputs'!E7*'Loan Inputs'!E17)+1)*('Loan Inputs'!E18/'Loan Inputs'!E17)/2+(('Loan Inputs'!E7*'Loan Inputs'!E17)^2-1)*('Loan Inputs'!E18/'Loan Inputs'!E17)^2/12),IF(('Loan Inputs'!E18/'Loan Inputs'!E17)=0,'Loan Inputs'!E5/('Loan Inputs'!E7*'Loan Inputs'!E17),'Loan Inputs'!E5*('Loan Inputs'!E18/'Loan Inputs'!E17)*(1+('Loan Inputs'!E18/'Loan Inputs'!E17))^('Loan Inputs'!E7*'Loan Inputs'!E17)/((1+('Loan Inputs'!E18/'Loan Inputs'!E17))^('Loan Inputs'!E7*'Loan Inputs'!E17)-1)))),"")</f>
        <v/>
      </c>
      <c r="F7" s="1"/>
      <c r="G7" s="1"/>
      <c r="H7" s="1"/>
    </row>
    <row r="8" spans="1:8" ht="23.05" customHeight="1">
      <c r="A8" s="1" t="s">
        <v>32</v>
      </c>
      <c r="B8" s="3">
        <f>IF(AND('Loan Inputs'!$B$19,'Loan Inputs'!B15="Yes"),B7*'Loan Inputs'!B17,"")</f>
        <v>48738.400413688243</v>
      </c>
      <c r="C8" s="3">
        <f>IF(AND('Loan Inputs'!$B$19,'Loan Inputs'!C15="Yes"),C7*'Loan Inputs'!C17,"")</f>
        <v>48229.044571321865</v>
      </c>
      <c r="D8" s="3" t="str">
        <f>IF(AND('Loan Inputs'!$B$19,'Loan Inputs'!D15="Yes"),D7*'Loan Inputs'!D17,"")</f>
        <v/>
      </c>
      <c r="E8" s="3" t="str">
        <f>IF(AND('Loan Inputs'!$B$19,'Loan Inputs'!E15="Yes"),E7*'Loan Inputs'!E17,"")</f>
        <v/>
      </c>
      <c r="F8" s="1"/>
      <c r="G8" s="1"/>
      <c r="H8" s="1"/>
    </row>
    <row r="9" spans="1:8" ht="23.05" customHeight="1">
      <c r="A9" s="1" t="s">
        <v>33</v>
      </c>
      <c r="B9" s="3">
        <f>IF(AND('Loan Inputs'!$B$19,'Loan Inputs'!B15="Yes"),B8+SUM('Loan Inputs'!B9:B12),"")</f>
        <v>50158.400413688243</v>
      </c>
      <c r="C9" s="3">
        <f>IF(AND('Loan Inputs'!$B$19,'Loan Inputs'!C15="Yes"),C8+SUM('Loan Inputs'!C9:C12),"")</f>
        <v>49849.044571321865</v>
      </c>
      <c r="D9" s="3" t="str">
        <f>IF(AND('Loan Inputs'!$B$19,'Loan Inputs'!D15="Yes"),D8+SUM('Loan Inputs'!D9:D12),"")</f>
        <v/>
      </c>
      <c r="E9" s="3" t="str">
        <f>IF(AND('Loan Inputs'!$B$19,'Loan Inputs'!E15="Yes"),E8+SUM('Loan Inputs'!E9:E12),"")</f>
        <v/>
      </c>
      <c r="F9" s="1"/>
      <c r="G9" s="1"/>
      <c r="H9" s="1"/>
    </row>
    <row r="10" spans="1:8" ht="23.05" customHeight="1">
      <c r="A10" s="1" t="s">
        <v>34</v>
      </c>
      <c r="B10" s="3">
        <f>'Lifetime Comparison'!B9</f>
        <v>812152.01241064724</v>
      </c>
      <c r="C10" s="3">
        <f>'Lifetime Comparison'!C9</f>
        <v>796871.33713965584</v>
      </c>
      <c r="D10" s="3" t="str">
        <f>'Lifetime Comparison'!D9</f>
        <v/>
      </c>
      <c r="E10" s="3" t="str">
        <f>'Lifetime Comparison'!E9</f>
        <v/>
      </c>
      <c r="F10" s="1"/>
      <c r="G10" s="1"/>
      <c r="H10" s="1"/>
    </row>
    <row r="11" spans="1:8" ht="23.05" customHeight="1">
      <c r="A11" s="1" t="s">
        <v>35</v>
      </c>
      <c r="B11" s="3">
        <f>'Lifetime Comparison'!B10</f>
        <v>13600</v>
      </c>
      <c r="C11" s="3">
        <f>'Lifetime Comparison'!C10</f>
        <v>13800</v>
      </c>
      <c r="D11" s="3" t="str">
        <f>'Lifetime Comparison'!D10</f>
        <v/>
      </c>
      <c r="E11" s="3" t="str">
        <f>'Lifetime Comparison'!E10</f>
        <v/>
      </c>
      <c r="F11" s="1"/>
      <c r="G11" s="1"/>
      <c r="H11" s="1"/>
    </row>
    <row r="12" spans="1:8" ht="23.05" customHeight="1">
      <c r="A12" s="1" t="s">
        <v>36</v>
      </c>
      <c r="B12" s="3">
        <f>'Lifetime Comparison'!B11</f>
        <v>1475752.0124106472</v>
      </c>
      <c r="C12" s="3">
        <f>'Lifetime Comparison'!C11</f>
        <v>1460671.3371396558</v>
      </c>
      <c r="D12" s="3" t="str">
        <f>'Lifetime Comparison'!D11</f>
        <v/>
      </c>
      <c r="E12" s="3" t="str">
        <f>'Lifetime Comparison'!E11</f>
        <v/>
      </c>
      <c r="F12" s="1"/>
      <c r="G12" s="1"/>
      <c r="H12" s="1"/>
    </row>
    <row r="13" spans="1:8" ht="23.05" customHeight="1">
      <c r="A13" s="1"/>
      <c r="B13" s="3"/>
      <c r="C13" s="3"/>
      <c r="D13" s="3"/>
      <c r="E13" s="3"/>
      <c r="F13" s="1"/>
      <c r="G13" s="1"/>
      <c r="H13" s="1"/>
    </row>
    <row r="14" spans="1:8" ht="23.05" customHeight="1">
      <c r="A14" s="1"/>
      <c r="B14" s="1"/>
      <c r="C14" s="1"/>
      <c r="D14" s="1"/>
      <c r="E14" s="1"/>
      <c r="F14" s="1"/>
      <c r="G14" s="1"/>
      <c r="H14" s="1"/>
    </row>
    <row r="15" spans="1:8" ht="23.05" customHeight="1">
      <c r="A15" s="1"/>
      <c r="B15" s="1"/>
      <c r="C15" s="1"/>
      <c r="D15" s="1"/>
      <c r="E15" s="1"/>
      <c r="F15" s="1"/>
      <c r="G15" s="1"/>
      <c r="H15" s="1"/>
    </row>
    <row r="16" spans="1:8" ht="23.05" customHeight="1">
      <c r="A16" s="1"/>
      <c r="B16" s="1"/>
      <c r="C16" s="1"/>
      <c r="D16" s="1"/>
      <c r="E16" s="1"/>
      <c r="F16" s="1"/>
      <c r="G16" s="1"/>
      <c r="H16" s="1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9" t="s">
        <v>37</v>
      </c>
      <c r="B18" s="19"/>
      <c r="C18" s="19"/>
      <c r="D18" s="19"/>
      <c r="E18" s="19"/>
      <c r="F18" s="19"/>
      <c r="G18" s="19"/>
      <c r="H18" s="19"/>
    </row>
    <row r="19" spans="1:8" ht="23.05" customHeight="1">
      <c r="A19" s="19"/>
      <c r="B19" s="19"/>
      <c r="C19" s="19"/>
      <c r="D19" s="19"/>
      <c r="E19" s="19"/>
      <c r="F19" s="19"/>
      <c r="G19" s="19"/>
      <c r="H19" s="19"/>
    </row>
    <row r="20" spans="1:8" ht="23.05" customHeight="1">
      <c r="A20" s="19"/>
      <c r="B20" s="19"/>
      <c r="C20" s="19"/>
      <c r="D20" s="19"/>
      <c r="E20" s="19"/>
      <c r="F20" s="19"/>
      <c r="G20" s="19"/>
      <c r="H20" s="19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23.05" customHeight="1">
      <c r="A25" s="1"/>
      <c r="B25" s="1"/>
      <c r="C25" s="1"/>
      <c r="D25" s="1"/>
      <c r="E25" s="1"/>
      <c r="F25" s="1"/>
      <c r="G25" s="1"/>
      <c r="H25" s="1"/>
    </row>
    <row r="26" spans="1:8" ht="23.05" customHeight="1">
      <c r="A26" s="1"/>
      <c r="B26" s="1"/>
      <c r="C26" s="1"/>
      <c r="D26" s="1"/>
      <c r="E26" s="1"/>
      <c r="F26" s="1"/>
      <c r="G26" s="1"/>
      <c r="H26" s="1"/>
    </row>
    <row r="27" spans="1:8" ht="23.05" customHeight="1">
      <c r="A27" s="1"/>
      <c r="B27" s="1"/>
      <c r="C27" s="1"/>
      <c r="D27" s="1"/>
      <c r="E27" s="1"/>
      <c r="F27" s="1"/>
      <c r="G27" s="1"/>
      <c r="H27" s="1"/>
    </row>
    <row r="28" spans="1:8" ht="23.05" customHeight="1">
      <c r="A28" s="1"/>
      <c r="B28" s="1"/>
      <c r="C28" s="1"/>
      <c r="D28" s="1"/>
      <c r="E28" s="1"/>
      <c r="F28" s="1"/>
      <c r="G28" s="1"/>
      <c r="H28" s="1"/>
    </row>
    <row r="29" spans="1:8" ht="23.05" customHeight="1">
      <c r="A29" s="1"/>
      <c r="B29" s="1"/>
      <c r="C29" s="1"/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2">
    <mergeCell ref="A1:H2"/>
    <mergeCell ref="A18:H20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18" t="s">
        <v>38</v>
      </c>
      <c r="B1" s="18"/>
      <c r="C1" s="18"/>
      <c r="D1" s="18"/>
      <c r="E1" s="18"/>
      <c r="F1" s="18"/>
      <c r="G1" s="18"/>
      <c r="H1" s="18"/>
    </row>
    <row r="2" spans="1:8" ht="23.05" customHeight="1">
      <c r="A2" s="18"/>
      <c r="B2" s="18"/>
      <c r="C2" s="18"/>
      <c r="D2" s="18"/>
      <c r="E2" s="18"/>
      <c r="F2" s="18"/>
      <c r="G2" s="18"/>
      <c r="H2" s="18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23.05" customHeight="1">
      <c r="A6" s="1"/>
      <c r="B6" s="1" t="s">
        <v>9</v>
      </c>
      <c r="C6" s="1" t="s">
        <v>10</v>
      </c>
      <c r="D6" s="1" t="s">
        <v>11</v>
      </c>
      <c r="E6" s="1" t="s">
        <v>12</v>
      </c>
      <c r="F6" s="1"/>
      <c r="G6" s="1"/>
      <c r="H6" s="1"/>
    </row>
    <row r="7" spans="1:8" ht="23.05" customHeight="1">
      <c r="A7" s="1" t="s">
        <v>39</v>
      </c>
      <c r="B7" s="4">
        <f>IF(AND('Loan Inputs'!$B$19,'Loan Inputs'!B15="Yes"),MIN(5,'Loan Inputs'!B7)*'Loan Inputs'!B17,"")</f>
        <v>60</v>
      </c>
      <c r="C7" s="4">
        <f>IF(AND('Loan Inputs'!$B$19,'Loan Inputs'!C15="Yes"),MIN(5,'Loan Inputs'!C7)*'Loan Inputs'!C17,"")</f>
        <v>60</v>
      </c>
      <c r="D7" s="4" t="str">
        <f>IF(AND('Loan Inputs'!$B$19,'Loan Inputs'!D15="Yes"),MIN(5,'Loan Inputs'!D7)*'Loan Inputs'!D17,"")</f>
        <v/>
      </c>
      <c r="E7" s="4" t="str">
        <f>IF(AND('Loan Inputs'!$B$19,'Loan Inputs'!E15="Yes"),MIN(5,'Loan Inputs'!E7)*'Loan Inputs'!E17,"")</f>
        <v/>
      </c>
      <c r="F7" s="1"/>
      <c r="G7" s="1"/>
      <c r="H7" s="1"/>
    </row>
    <row r="8" spans="1:8" ht="23.05" customHeight="1">
      <c r="A8" s="1" t="s">
        <v>40</v>
      </c>
      <c r="B8" s="3">
        <f>IF(AND('Loan Inputs'!$B$19,'Loan Inputs'!B15="Yes"),'Comparison Summary'!B7*B7,"")</f>
        <v>243692.00206844122</v>
      </c>
      <c r="C8" s="3">
        <f>IF(AND('Loan Inputs'!$B$19,'Loan Inputs'!C15="Yes"),'Comparison Summary'!C7*C7,"")</f>
        <v>241145.22285660933</v>
      </c>
      <c r="D8" s="3" t="str">
        <f>IF(AND('Loan Inputs'!$B$19,'Loan Inputs'!D15="Yes"),'Comparison Summary'!D7*D7,"")</f>
        <v/>
      </c>
      <c r="E8" s="3" t="str">
        <f>IF(AND('Loan Inputs'!$B$19,'Loan Inputs'!E15="Yes"),'Comparison Summary'!E7*E7,"")</f>
        <v/>
      </c>
      <c r="F8" s="1"/>
      <c r="G8" s="1"/>
      <c r="H8" s="1"/>
    </row>
    <row r="9" spans="1:8" ht="23.05" customHeight="1">
      <c r="A9" s="1" t="s">
        <v>41</v>
      </c>
      <c r="B9" s="3">
        <f>IF(AND('Loan Inputs'!$B$19,'Loan Inputs'!B15="Yes"),IF(B7&gt;=('Loan Inputs'!B7*'Loan Inputs'!B17),0,MAX(0,IF(('Loan Inputs'!B18/'Loan Inputs'!B17)=0,'Loan Inputs'!B5-'Comparison Summary'!B7*B7,IF('Loan Inputs'!B18&lt;=0.000001,'Loan Inputs'!B5*(1+B7*('Loan Inputs'!B18/'Loan Inputs'!B17)+B7*(B7-1)*('Loan Inputs'!B18/'Loan Inputs'!B17)^2/2)-'Comparison Summary'!B7*(B7+B7*(B7-1)*('Loan Inputs'!B18/'Loan Inputs'!B17)/2+B7*(B7-1)*(B7-2)*('Loan Inputs'!B18/'Loan Inputs'!B17)^2/6),'Loan Inputs'!B5*(1+('Loan Inputs'!B18/'Loan Inputs'!B17))^B7-'Comparison Summary'!B7*((1+('Loan Inputs'!B18/'Loan Inputs'!B17))^B7-1)/('Loan Inputs'!B18/'Loan Inputs'!B17))))),"")</f>
        <v>607695.73555151792</v>
      </c>
      <c r="C9" s="3">
        <f>IF(AND('Loan Inputs'!$B$19,'Loan Inputs'!C15="Yes"),IF(C7&gt;=('Loan Inputs'!C7*'Loan Inputs'!C17),0,MAX(0,IF(('Loan Inputs'!C18/'Loan Inputs'!C17)=0,'Loan Inputs'!C5-'Comparison Summary'!C7*C7,IF('Loan Inputs'!C18&lt;=0.000001,'Loan Inputs'!C5*(1+C7*('Loan Inputs'!C18/'Loan Inputs'!C17)+C7*(C7-1)*('Loan Inputs'!C18/'Loan Inputs'!C17)^2/2)-'Comparison Summary'!C7*(C7+C7*(C7-1)*('Loan Inputs'!C18/'Loan Inputs'!C17)/2+C7*(C7-1)*(C7-2)*('Loan Inputs'!C18/'Loan Inputs'!C17)^2/6),'Loan Inputs'!C5*(1+('Loan Inputs'!C18/'Loan Inputs'!C17))^C7-'Comparison Summary'!C7*((1+('Loan Inputs'!C18/'Loan Inputs'!C17))^C7-1)/('Loan Inputs'!C18/'Loan Inputs'!C17))))),"")</f>
        <v>606980.72715111356</v>
      </c>
      <c r="D9" s="3" t="str">
        <f>IF(AND('Loan Inputs'!$B$19,'Loan Inputs'!D15="Yes"),IF(D7&gt;=('Loan Inputs'!D7*'Loan Inputs'!D17),0,MAX(0,IF(('Loan Inputs'!D18/'Loan Inputs'!D17)=0,'Loan Inputs'!D5-'Comparison Summary'!D7*D7,IF('Loan Inputs'!D18&lt;=0.000001,'Loan Inputs'!D5*(1+D7*('Loan Inputs'!D18/'Loan Inputs'!D17)+D7*(D7-1)*('Loan Inputs'!D18/'Loan Inputs'!D17)^2/2)-'Comparison Summary'!D7*(D7+D7*(D7-1)*('Loan Inputs'!D18/'Loan Inputs'!D17)/2+D7*(D7-1)*(D7-2)*('Loan Inputs'!D18/'Loan Inputs'!D17)^2/6),'Loan Inputs'!D5*(1+('Loan Inputs'!D18/'Loan Inputs'!D17))^D7-'Comparison Summary'!D7*((1+('Loan Inputs'!D18/'Loan Inputs'!D17))^D7-1)/('Loan Inputs'!D18/'Loan Inputs'!D17))))),"")</f>
        <v/>
      </c>
      <c r="E9" s="3" t="str">
        <f>IF(AND('Loan Inputs'!$B$19,'Loan Inputs'!E15="Yes"),IF(E7&gt;=('Loan Inputs'!E7*'Loan Inputs'!E17),0,MAX(0,IF(('Loan Inputs'!E18/'Loan Inputs'!E17)=0,'Loan Inputs'!E5-'Comparison Summary'!E7*E7,IF('Loan Inputs'!E18&lt;=0.000001,'Loan Inputs'!E5*(1+E7*('Loan Inputs'!E18/'Loan Inputs'!E17)+E7*(E7-1)*('Loan Inputs'!E18/'Loan Inputs'!E17)^2/2)-'Comparison Summary'!E7*(E7+E7*(E7-1)*('Loan Inputs'!E18/'Loan Inputs'!E17)/2+E7*(E7-1)*(E7-2)*('Loan Inputs'!E18/'Loan Inputs'!E17)^2/6),'Loan Inputs'!E5*(1+('Loan Inputs'!E18/'Loan Inputs'!E17))^E7-'Comparison Summary'!E7*((1+('Loan Inputs'!E18/'Loan Inputs'!E17))^E7-1)/('Loan Inputs'!E18/'Loan Inputs'!E17))))),"")</f>
        <v/>
      </c>
      <c r="F9" s="1"/>
      <c r="G9" s="1"/>
      <c r="H9" s="1"/>
    </row>
    <row r="10" spans="1:8" ht="23.05" customHeight="1">
      <c r="A10" s="1" t="s">
        <v>42</v>
      </c>
      <c r="B10" s="3">
        <f>IF(AND('Loan Inputs'!$B$19,'Loan Inputs'!B15="Yes"),'Loan Inputs'!B5-B9,"")</f>
        <v>42304.264448482078</v>
      </c>
      <c r="C10" s="3">
        <f>IF(AND('Loan Inputs'!$B$19,'Loan Inputs'!C15="Yes"),'Loan Inputs'!C5-C9,"")</f>
        <v>43019.272848886438</v>
      </c>
      <c r="D10" s="3" t="str">
        <f>IF(AND('Loan Inputs'!$B$19,'Loan Inputs'!D15="Yes"),'Loan Inputs'!D5-D9,"")</f>
        <v/>
      </c>
      <c r="E10" s="3" t="str">
        <f>IF(AND('Loan Inputs'!$B$19,'Loan Inputs'!E15="Yes"),'Loan Inputs'!E5-E9,"")</f>
        <v/>
      </c>
      <c r="F10" s="1"/>
      <c r="G10" s="1"/>
      <c r="H10" s="1"/>
    </row>
    <row r="11" spans="1:8" ht="23.05" customHeight="1">
      <c r="A11" s="1" t="s">
        <v>43</v>
      </c>
      <c r="B11" s="3">
        <f>IF(AND('Loan Inputs'!$B$19,'Loan Inputs'!B15="Yes"),MAX(0,B8-B10),"")</f>
        <v>201387.73761995914</v>
      </c>
      <c r="C11" s="3">
        <f>IF(AND('Loan Inputs'!$B$19,'Loan Inputs'!C15="Yes"),MAX(0,C8-C10),"")</f>
        <v>198125.95000772289</v>
      </c>
      <c r="D11" s="3" t="str">
        <f>IF(AND('Loan Inputs'!$B$19,'Loan Inputs'!D15="Yes"),MAX(0,D8-D10),"")</f>
        <v/>
      </c>
      <c r="E11" s="3" t="str">
        <f>IF(AND('Loan Inputs'!$B$19,'Loan Inputs'!E15="Yes"),MAX(0,E8-E10),"")</f>
        <v/>
      </c>
      <c r="F11" s="1"/>
      <c r="G11" s="1"/>
      <c r="H11" s="1"/>
    </row>
    <row r="12" spans="1:8" ht="23.05" customHeight="1">
      <c r="A12" s="1" t="s">
        <v>44</v>
      </c>
      <c r="B12" s="3">
        <f>IF(AND('Loan Inputs'!$B$19,'Loan Inputs'!B15="Yes"),SUM('Loan Inputs'!B9:B10)*MIN(5,'Loan Inputs'!B7)+SUM('Loan Inputs'!B11:B12),"")</f>
        <v>3100</v>
      </c>
      <c r="C12" s="3">
        <f>IF(AND('Loan Inputs'!$B$19,'Loan Inputs'!C15="Yes"),SUM('Loan Inputs'!C9:C10)*MIN(5,'Loan Inputs'!C7)+SUM('Loan Inputs'!C11:C12),"")</f>
        <v>3300</v>
      </c>
      <c r="D12" s="3" t="str">
        <f>IF(AND('Loan Inputs'!$B$19,'Loan Inputs'!D15="Yes"),SUM('Loan Inputs'!D9:D10)*MIN(5,'Loan Inputs'!D7)+SUM('Loan Inputs'!D11:D12),"")</f>
        <v/>
      </c>
      <c r="E12" s="3" t="str">
        <f>IF(AND('Loan Inputs'!$B$19,'Loan Inputs'!E15="Yes"),SUM('Loan Inputs'!E9:E10)*MIN(5,'Loan Inputs'!E7)+SUM('Loan Inputs'!E11:E12),"")</f>
        <v/>
      </c>
      <c r="F12" s="1"/>
      <c r="G12" s="1"/>
      <c r="H12" s="1"/>
    </row>
    <row r="13" spans="1:8" ht="23.05" customHeight="1">
      <c r="A13" s="1" t="s">
        <v>45</v>
      </c>
      <c r="B13" s="3">
        <f>IF(AND('Loan Inputs'!$B$19,'Loan Inputs'!B15="Yes"),SUM(B8,B12),"")</f>
        <v>246792.00206844122</v>
      </c>
      <c r="C13" s="3">
        <f>IF(AND('Loan Inputs'!$B$19,'Loan Inputs'!C15="Yes"),SUM(C8,C12),"")</f>
        <v>244445.22285660933</v>
      </c>
      <c r="D13" s="3" t="str">
        <f>IF(AND('Loan Inputs'!$B$19,'Loan Inputs'!D15="Yes"),SUM(D8,D12),"")</f>
        <v/>
      </c>
      <c r="E13" s="3" t="str">
        <f>IF(AND('Loan Inputs'!$B$19,'Loan Inputs'!E15="Yes"),SUM(E8,E12),"")</f>
        <v/>
      </c>
      <c r="F13" s="1"/>
      <c r="G13" s="1"/>
      <c r="H13" s="1"/>
    </row>
    <row r="14" spans="1:8" ht="23.05" customHeight="1">
      <c r="A14" s="1"/>
      <c r="B14" s="1"/>
      <c r="C14" s="1"/>
      <c r="D14" s="1"/>
      <c r="E14" s="1"/>
      <c r="F14" s="1"/>
      <c r="G14" s="1"/>
      <c r="H14" s="1"/>
    </row>
    <row r="15" spans="1:8" ht="23.05" customHeight="1">
      <c r="A15" s="1"/>
      <c r="B15" s="1"/>
      <c r="C15" s="1"/>
      <c r="D15" s="1"/>
      <c r="E15" s="1"/>
      <c r="F15" s="1"/>
      <c r="G15" s="1"/>
      <c r="H15" s="1"/>
    </row>
    <row r="16" spans="1:8" ht="23.05" customHeight="1">
      <c r="A16" s="1"/>
      <c r="B16" s="1"/>
      <c r="C16" s="1"/>
      <c r="D16" s="1"/>
      <c r="E16" s="1"/>
      <c r="F16" s="1"/>
      <c r="G16" s="1"/>
      <c r="H16" s="1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9" t="s">
        <v>37</v>
      </c>
      <c r="B18" s="19"/>
      <c r="C18" s="19"/>
      <c r="D18" s="19"/>
      <c r="E18" s="19"/>
      <c r="F18" s="19"/>
      <c r="G18" s="19"/>
      <c r="H18" s="19"/>
    </row>
    <row r="19" spans="1:8" ht="23.05" customHeight="1">
      <c r="A19" s="19"/>
      <c r="B19" s="19"/>
      <c r="C19" s="19"/>
      <c r="D19" s="19"/>
      <c r="E19" s="19"/>
      <c r="F19" s="19"/>
      <c r="G19" s="19"/>
      <c r="H19" s="19"/>
    </row>
    <row r="20" spans="1:8" ht="23.05" customHeight="1">
      <c r="A20" s="19"/>
      <c r="B20" s="19"/>
      <c r="C20" s="19"/>
      <c r="D20" s="19"/>
      <c r="E20" s="19"/>
      <c r="F20" s="19"/>
      <c r="G20" s="19"/>
      <c r="H20" s="19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23.05" customHeight="1">
      <c r="A25" s="1"/>
      <c r="B25" s="1"/>
      <c r="C25" s="1"/>
      <c r="D25" s="1"/>
      <c r="E25" s="1"/>
      <c r="F25" s="1"/>
      <c r="G25" s="1"/>
      <c r="H25" s="1"/>
    </row>
    <row r="26" spans="1:8" ht="23.05" customHeight="1">
      <c r="A26" s="1"/>
      <c r="B26" s="1"/>
      <c r="C26" s="1"/>
      <c r="D26" s="1"/>
      <c r="E26" s="1"/>
      <c r="F26" s="1"/>
      <c r="G26" s="1"/>
      <c r="H26" s="1"/>
    </row>
    <row r="27" spans="1:8" ht="23.05" customHeight="1">
      <c r="A27" s="1"/>
      <c r="B27" s="1"/>
      <c r="C27" s="1"/>
      <c r="D27" s="1"/>
      <c r="E27" s="1"/>
      <c r="F27" s="1"/>
      <c r="G27" s="1"/>
      <c r="H27" s="1"/>
    </row>
    <row r="28" spans="1:8" ht="23.05" customHeight="1">
      <c r="A28" s="1"/>
      <c r="B28" s="1"/>
      <c r="C28" s="1"/>
      <c r="D28" s="1"/>
      <c r="E28" s="1"/>
      <c r="F28" s="1"/>
      <c r="G28" s="1"/>
      <c r="H28" s="1"/>
    </row>
    <row r="29" spans="1:8" ht="23.05" customHeight="1">
      <c r="A29" s="1"/>
      <c r="B29" s="1"/>
      <c r="C29" s="1"/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2">
    <mergeCell ref="A1:H2"/>
    <mergeCell ref="A18:H20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18" t="s">
        <v>46</v>
      </c>
      <c r="B1" s="18"/>
      <c r="C1" s="18"/>
      <c r="D1" s="18"/>
      <c r="E1" s="18"/>
      <c r="F1" s="18"/>
      <c r="G1" s="18"/>
      <c r="H1" s="18"/>
    </row>
    <row r="2" spans="1:8" ht="23.05" customHeight="1">
      <c r="A2" s="18"/>
      <c r="B2" s="18"/>
      <c r="C2" s="18"/>
      <c r="D2" s="18"/>
      <c r="E2" s="18"/>
      <c r="F2" s="18"/>
      <c r="G2" s="18"/>
      <c r="H2" s="18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23.05" customHeight="1">
      <c r="A6" s="1"/>
      <c r="B6" s="1" t="s">
        <v>9</v>
      </c>
      <c r="C6" s="1" t="s">
        <v>10</v>
      </c>
      <c r="D6" s="1" t="s">
        <v>11</v>
      </c>
      <c r="E6" s="1" t="s">
        <v>12</v>
      </c>
      <c r="F6" s="1"/>
      <c r="G6" s="1"/>
      <c r="H6" s="1"/>
    </row>
    <row r="7" spans="1:8" ht="23.05" customHeight="1">
      <c r="A7" s="1" t="s">
        <v>47</v>
      </c>
      <c r="B7" s="3">
        <f>IF(AND('Loan Inputs'!$B$19,'Loan Inputs'!B15="Yes"),'Loan Inputs'!B5,"")</f>
        <v>650000</v>
      </c>
      <c r="C7" s="3">
        <f>IF(AND('Loan Inputs'!$B$19,'Loan Inputs'!C15="Yes"),'Loan Inputs'!C5,"")</f>
        <v>650000</v>
      </c>
      <c r="D7" s="3" t="str">
        <f>IF(AND('Loan Inputs'!$B$19,'Loan Inputs'!D15="Yes"),'Loan Inputs'!D5,"")</f>
        <v/>
      </c>
      <c r="E7" s="3" t="str">
        <f>IF(AND('Loan Inputs'!$B$19,'Loan Inputs'!E15="Yes"),'Loan Inputs'!E5,"")</f>
        <v/>
      </c>
      <c r="F7" s="1"/>
      <c r="G7" s="1"/>
      <c r="H7" s="1"/>
    </row>
    <row r="8" spans="1:8" ht="23.05" customHeight="1">
      <c r="A8" s="1" t="s">
        <v>48</v>
      </c>
      <c r="B8" s="3">
        <f>IF(AND('Loan Inputs'!$B$19,'Loan Inputs'!B15="Yes"),'Comparison Summary'!B7*('Loan Inputs'!B7*'Loan Inputs'!B17),"")</f>
        <v>1462152.0124106472</v>
      </c>
      <c r="C8" s="3">
        <f>IF(AND('Loan Inputs'!$B$19,'Loan Inputs'!C15="Yes"),'Comparison Summary'!C7*('Loan Inputs'!C7*'Loan Inputs'!C17),"")</f>
        <v>1446871.3371396558</v>
      </c>
      <c r="D8" s="3" t="str">
        <f>IF(AND('Loan Inputs'!$B$19,'Loan Inputs'!D15="Yes"),'Comparison Summary'!D7*('Loan Inputs'!D7*'Loan Inputs'!D17),"")</f>
        <v/>
      </c>
      <c r="E8" s="3" t="str">
        <f>IF(AND('Loan Inputs'!$B$19,'Loan Inputs'!E15="Yes"),'Comparison Summary'!E7*('Loan Inputs'!E7*'Loan Inputs'!E17),"")</f>
        <v/>
      </c>
      <c r="F8" s="1"/>
      <c r="G8" s="1"/>
      <c r="H8" s="1"/>
    </row>
    <row r="9" spans="1:8" ht="23.05" customHeight="1">
      <c r="A9" s="1" t="s">
        <v>34</v>
      </c>
      <c r="B9" s="3">
        <f>IF(AND('Loan Inputs'!$B$19,'Loan Inputs'!B15="Yes"),MAX(0,B8-B7),"")</f>
        <v>812152.01241064724</v>
      </c>
      <c r="C9" s="3">
        <f>IF(AND('Loan Inputs'!$B$19,'Loan Inputs'!C15="Yes"),MAX(0,C8-C7),"")</f>
        <v>796871.33713965584</v>
      </c>
      <c r="D9" s="3" t="str">
        <f>IF(AND('Loan Inputs'!$B$19,'Loan Inputs'!D15="Yes"),MAX(0,D8-D7),"")</f>
        <v/>
      </c>
      <c r="E9" s="3" t="str">
        <f>IF(AND('Loan Inputs'!$B$19,'Loan Inputs'!E15="Yes"),MAX(0,E8-E7),"")</f>
        <v/>
      </c>
      <c r="F9" s="1"/>
      <c r="G9" s="1"/>
      <c r="H9" s="1"/>
    </row>
    <row r="10" spans="1:8" ht="23.05" customHeight="1">
      <c r="A10" s="1" t="s">
        <v>49</v>
      </c>
      <c r="B10" s="3">
        <f>IF(AND('Loan Inputs'!$B$19,'Loan Inputs'!B15="Yes"),SUM('Loan Inputs'!B9:B10)*'Loan Inputs'!B7+SUM('Loan Inputs'!B11:B12),"")</f>
        <v>13600</v>
      </c>
      <c r="C10" s="3">
        <f>IF(AND('Loan Inputs'!$B$19,'Loan Inputs'!C15="Yes"),SUM('Loan Inputs'!C9:C10)*'Loan Inputs'!C7+SUM('Loan Inputs'!C11:C12),"")</f>
        <v>13800</v>
      </c>
      <c r="D10" s="3" t="str">
        <f>IF(AND('Loan Inputs'!$B$19,'Loan Inputs'!D15="Yes"),SUM('Loan Inputs'!D9:D10)*'Loan Inputs'!D7+SUM('Loan Inputs'!D11:D12),"")</f>
        <v/>
      </c>
      <c r="E10" s="3" t="str">
        <f>IF(AND('Loan Inputs'!$B$19,'Loan Inputs'!E15="Yes"),SUM('Loan Inputs'!E9:E10)*'Loan Inputs'!E7+SUM('Loan Inputs'!E11:E12),"")</f>
        <v/>
      </c>
      <c r="F10" s="1"/>
      <c r="G10" s="1"/>
      <c r="H10" s="1"/>
    </row>
    <row r="11" spans="1:8" ht="23.05" customHeight="1">
      <c r="A11" s="1" t="s">
        <v>50</v>
      </c>
      <c r="B11" s="3">
        <f>IF(AND('Loan Inputs'!$B$19,'Loan Inputs'!B15="Yes"),SUM(B8,B10),"")</f>
        <v>1475752.0124106472</v>
      </c>
      <c r="C11" s="3">
        <f>IF(AND('Loan Inputs'!$B$19,'Loan Inputs'!C15="Yes"),SUM(C8,C10),"")</f>
        <v>1460671.3371396558</v>
      </c>
      <c r="D11" s="3" t="str">
        <f>IF(AND('Loan Inputs'!$B$19,'Loan Inputs'!D15="Yes"),SUM(D8,D10),"")</f>
        <v/>
      </c>
      <c r="E11" s="3" t="str">
        <f>IF(AND('Loan Inputs'!$B$19,'Loan Inputs'!E15="Yes"),SUM(E8,E10),"")</f>
        <v/>
      </c>
      <c r="F11" s="1"/>
      <c r="G11" s="1"/>
      <c r="H11" s="1"/>
    </row>
    <row r="12" spans="1:8" ht="23.05" customHeight="1">
      <c r="A12" s="1"/>
      <c r="B12" s="3"/>
      <c r="C12" s="3"/>
      <c r="D12" s="3"/>
      <c r="E12" s="3"/>
      <c r="F12" s="1"/>
      <c r="G12" s="1"/>
      <c r="H12" s="1"/>
    </row>
    <row r="13" spans="1:8" ht="23.05" customHeight="1">
      <c r="A13" s="1"/>
      <c r="B13" s="3"/>
      <c r="C13" s="3"/>
      <c r="D13" s="3"/>
      <c r="E13" s="3"/>
      <c r="F13" s="1"/>
      <c r="G13" s="1"/>
      <c r="H13" s="1"/>
    </row>
    <row r="14" spans="1:8" ht="23.05" customHeight="1">
      <c r="A14" s="1"/>
      <c r="B14" s="1"/>
      <c r="C14" s="1"/>
      <c r="D14" s="1"/>
      <c r="E14" s="1"/>
      <c r="F14" s="1"/>
      <c r="G14" s="1"/>
      <c r="H14" s="1"/>
    </row>
    <row r="15" spans="1:8" ht="23.05" customHeight="1">
      <c r="A15" s="1"/>
      <c r="B15" s="1"/>
      <c r="C15" s="1"/>
      <c r="D15" s="1"/>
      <c r="E15" s="1"/>
      <c r="F15" s="1"/>
      <c r="G15" s="1"/>
      <c r="H15" s="1"/>
    </row>
    <row r="16" spans="1:8" ht="23.05" customHeight="1">
      <c r="A16" s="1"/>
      <c r="B16" s="1"/>
      <c r="C16" s="1"/>
      <c r="D16" s="1"/>
      <c r="E16" s="1"/>
      <c r="F16" s="1"/>
      <c r="G16" s="1"/>
      <c r="H16" s="1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9" t="s">
        <v>37</v>
      </c>
      <c r="B18" s="19"/>
      <c r="C18" s="19"/>
      <c r="D18" s="19"/>
      <c r="E18" s="19"/>
      <c r="F18" s="19"/>
      <c r="G18" s="19"/>
      <c r="H18" s="19"/>
    </row>
    <row r="19" spans="1:8" ht="23.05" customHeight="1">
      <c r="A19" s="19"/>
      <c r="B19" s="19"/>
      <c r="C19" s="19"/>
      <c r="D19" s="19"/>
      <c r="E19" s="19"/>
      <c r="F19" s="19"/>
      <c r="G19" s="19"/>
      <c r="H19" s="19"/>
    </row>
    <row r="20" spans="1:8" ht="23.05" customHeight="1">
      <c r="A20" s="19"/>
      <c r="B20" s="19"/>
      <c r="C20" s="19"/>
      <c r="D20" s="19"/>
      <c r="E20" s="19"/>
      <c r="F20" s="19"/>
      <c r="G20" s="19"/>
      <c r="H20" s="19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23.05" customHeight="1">
      <c r="A25" s="1"/>
      <c r="B25" s="1"/>
      <c r="C25" s="1"/>
      <c r="D25" s="1"/>
      <c r="E25" s="1"/>
      <c r="F25" s="1"/>
      <c r="G25" s="1"/>
      <c r="H25" s="1"/>
    </row>
    <row r="26" spans="1:8" ht="23.05" customHeight="1">
      <c r="A26" s="1"/>
      <c r="B26" s="1"/>
      <c r="C26" s="1"/>
      <c r="D26" s="1"/>
      <c r="E26" s="1"/>
      <c r="F26" s="1"/>
      <c r="G26" s="1"/>
      <c r="H26" s="1"/>
    </row>
    <row r="27" spans="1:8" ht="23.05" customHeight="1">
      <c r="A27" s="1"/>
      <c r="B27" s="1"/>
      <c r="C27" s="1"/>
      <c r="D27" s="1"/>
      <c r="E27" s="1"/>
      <c r="F27" s="1"/>
      <c r="G27" s="1"/>
      <c r="H27" s="1"/>
    </row>
    <row r="28" spans="1:8" ht="23.05" customHeight="1">
      <c r="A28" s="1"/>
      <c r="B28" s="1"/>
      <c r="C28" s="1"/>
      <c r="D28" s="1"/>
      <c r="E28" s="1"/>
      <c r="F28" s="1"/>
      <c r="G28" s="1"/>
      <c r="H28" s="1"/>
    </row>
    <row r="29" spans="1:8" ht="23.05" customHeight="1">
      <c r="A29" s="1"/>
      <c r="B29" s="1"/>
      <c r="C29" s="1"/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2">
    <mergeCell ref="A1:H2"/>
    <mergeCell ref="A18:H20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D6A4F"/>
    <pageSetUpPr fitToPage="1"/>
  </sheetPr>
  <dimension ref="A1:H70"/>
  <sheetViews>
    <sheetView showGridLines="0" zoomScaleNormal="100" workbookViewId="0">
      <pane ySplit="25" topLeftCell="A26" activePane="bottomLeft" state="frozen"/>
      <selection pane="bottomLeft"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18" t="s">
        <v>51</v>
      </c>
      <c r="B1" s="18"/>
      <c r="C1" s="18"/>
      <c r="D1" s="18"/>
      <c r="E1" s="18"/>
      <c r="F1" s="18"/>
      <c r="G1" s="18"/>
      <c r="H1" s="18"/>
    </row>
    <row r="2" spans="1:8" ht="23.05" customHeight="1">
      <c r="A2" s="18"/>
      <c r="B2" s="18"/>
      <c r="C2" s="18"/>
      <c r="D2" s="18"/>
      <c r="E2" s="18"/>
      <c r="F2" s="18"/>
      <c r="G2" s="18"/>
      <c r="H2" s="18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23.05" customHeight="1">
      <c r="A6" s="1"/>
      <c r="B6" s="1"/>
      <c r="C6" s="1"/>
      <c r="D6" s="1"/>
      <c r="E6" s="1"/>
      <c r="F6" s="1"/>
      <c r="G6" s="1"/>
      <c r="H6" s="1"/>
    </row>
    <row r="7" spans="1:8" ht="23.05" customHeight="1">
      <c r="A7" s="1"/>
      <c r="B7" s="1"/>
      <c r="C7" s="1"/>
      <c r="D7" s="1"/>
      <c r="E7" s="1"/>
      <c r="F7" s="1"/>
      <c r="G7" s="1"/>
      <c r="H7" s="1"/>
    </row>
    <row r="8" spans="1:8" ht="23.05" customHeight="1">
      <c r="A8" s="1"/>
      <c r="B8" s="1"/>
      <c r="C8" s="1"/>
      <c r="D8" s="1"/>
      <c r="E8" s="1"/>
      <c r="F8" s="1"/>
      <c r="G8" s="1"/>
      <c r="H8" s="1"/>
    </row>
    <row r="9" spans="1:8" ht="23.05" customHeight="1">
      <c r="A9" s="1"/>
      <c r="B9" s="1"/>
      <c r="C9" s="1"/>
      <c r="D9" s="1"/>
      <c r="E9" s="1"/>
      <c r="F9" s="1"/>
      <c r="G9" s="1"/>
      <c r="H9" s="1"/>
    </row>
    <row r="10" spans="1:8" ht="23.05" customHeight="1">
      <c r="A10" s="1"/>
      <c r="B10" s="1"/>
      <c r="C10" s="1"/>
      <c r="D10" s="1"/>
      <c r="E10" s="1"/>
      <c r="F10" s="1"/>
      <c r="G10" s="1"/>
      <c r="H10" s="1"/>
    </row>
    <row r="11" spans="1:8" ht="23.05" customHeight="1">
      <c r="A11" s="1"/>
      <c r="B11" s="1"/>
      <c r="C11" s="1"/>
      <c r="D11" s="1"/>
      <c r="E11" s="1"/>
      <c r="F11" s="1"/>
      <c r="G11" s="1"/>
      <c r="H11" s="1"/>
    </row>
    <row r="12" spans="1:8" ht="23.05" customHeight="1">
      <c r="A12" s="1"/>
      <c r="B12" s="1"/>
      <c r="C12" s="1"/>
      <c r="D12" s="1"/>
      <c r="E12" s="1"/>
      <c r="F12" s="1"/>
      <c r="G12" s="1"/>
      <c r="H12" s="1"/>
    </row>
    <row r="13" spans="1:8" ht="23.05" customHeight="1">
      <c r="A13" s="1"/>
      <c r="B13" s="1"/>
      <c r="C13" s="1"/>
      <c r="D13" s="1"/>
      <c r="E13" s="1"/>
      <c r="F13" s="1"/>
      <c r="G13" s="1"/>
      <c r="H13" s="1"/>
    </row>
    <row r="14" spans="1:8" ht="23.05" customHeight="1">
      <c r="A14" s="1"/>
      <c r="B14" s="1"/>
      <c r="C14" s="1"/>
      <c r="D14" s="1"/>
      <c r="E14" s="1"/>
      <c r="F14" s="1"/>
      <c r="G14" s="1"/>
      <c r="H14" s="1"/>
    </row>
    <row r="15" spans="1:8" ht="23.05" customHeight="1">
      <c r="A15" s="1"/>
      <c r="B15" s="1"/>
      <c r="C15" s="1"/>
      <c r="D15" s="1"/>
      <c r="E15" s="1"/>
      <c r="F15" s="1"/>
      <c r="G15" s="1"/>
      <c r="H15" s="1"/>
    </row>
    <row r="16" spans="1:8" ht="23.05" customHeight="1">
      <c r="A16" s="1"/>
      <c r="B16" s="1"/>
      <c r="C16" s="1"/>
      <c r="D16" s="1"/>
      <c r="E16" s="1"/>
      <c r="F16" s="1"/>
      <c r="G16" s="1"/>
      <c r="H16" s="1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"/>
      <c r="B18" s="1"/>
      <c r="C18" s="1"/>
      <c r="D18" s="1"/>
      <c r="E18" s="1"/>
      <c r="F18" s="1"/>
      <c r="G18" s="1"/>
      <c r="H18" s="1"/>
    </row>
    <row r="19" spans="1:8" ht="23.05" customHeight="1">
      <c r="A19" s="1"/>
      <c r="B19" s="1"/>
      <c r="C19" s="1"/>
      <c r="D19" s="1"/>
      <c r="E19" s="1"/>
      <c r="F19" s="1"/>
      <c r="G19" s="1"/>
      <c r="H19" s="1"/>
    </row>
    <row r="20" spans="1:8" ht="23.05" customHeight="1">
      <c r="A20" s="1"/>
      <c r="B20" s="1"/>
      <c r="C20" s="1"/>
      <c r="D20" s="1"/>
      <c r="E20" s="1"/>
      <c r="F20" s="1"/>
      <c r="G20" s="1"/>
      <c r="H20" s="1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36" customHeight="1">
      <c r="A25" s="5" t="s">
        <v>52</v>
      </c>
      <c r="B25" s="5" t="s">
        <v>53</v>
      </c>
      <c r="C25" s="5" t="s">
        <v>54</v>
      </c>
      <c r="D25" s="1"/>
      <c r="E25" s="1"/>
      <c r="F25" s="1"/>
      <c r="G25" s="1"/>
      <c r="H25" s="1"/>
    </row>
    <row r="26" spans="1:8" ht="23.05" customHeight="1">
      <c r="A26" s="1" t="s">
        <v>9</v>
      </c>
      <c r="B26" s="1">
        <f>'5-Year Comparison'!B13</f>
        <v>246792.00206844122</v>
      </c>
      <c r="C26" s="1">
        <f>'Lifetime Comparison'!B11</f>
        <v>1475752.0124106472</v>
      </c>
      <c r="D26" s="1"/>
      <c r="E26" s="1"/>
      <c r="F26" s="1"/>
      <c r="G26" s="1"/>
      <c r="H26" s="1"/>
    </row>
    <row r="27" spans="1:8" ht="23.05" customHeight="1">
      <c r="A27" s="1" t="s">
        <v>10</v>
      </c>
      <c r="B27" s="1">
        <f>'5-Year Comparison'!C13</f>
        <v>244445.22285660933</v>
      </c>
      <c r="C27" s="1">
        <f>'Lifetime Comparison'!C11</f>
        <v>1460671.3371396558</v>
      </c>
      <c r="D27" s="1"/>
      <c r="E27" s="1"/>
      <c r="F27" s="1"/>
      <c r="G27" s="1"/>
      <c r="H27" s="1"/>
    </row>
    <row r="28" spans="1:8" ht="23.05" customHeight="1">
      <c r="A28" s="1" t="s">
        <v>11</v>
      </c>
      <c r="B28" s="1" t="str">
        <f>'5-Year Comparison'!D13</f>
        <v/>
      </c>
      <c r="C28" s="1" t="str">
        <f>'Lifetime Comparison'!D11</f>
        <v/>
      </c>
      <c r="D28" s="1"/>
      <c r="E28" s="1"/>
      <c r="F28" s="1"/>
      <c r="G28" s="1"/>
      <c r="H28" s="1"/>
    </row>
    <row r="29" spans="1:8" ht="23.05" customHeight="1">
      <c r="A29" s="1" t="s">
        <v>12</v>
      </c>
      <c r="B29" s="1" t="str">
        <f>'5-Year Comparison'!E13</f>
        <v/>
      </c>
      <c r="C29" s="1" t="str">
        <f>'Lifetime Comparison'!E11</f>
        <v/>
      </c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1">
    <mergeCell ref="A1:H2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18" customHeight="1">
      <c r="A1" s="14" t="s">
        <v>55</v>
      </c>
      <c r="B1" s="14"/>
      <c r="C1" s="14"/>
      <c r="D1" s="14"/>
      <c r="E1" s="14"/>
      <c r="F1" s="14"/>
      <c r="G1" s="14"/>
      <c r="H1" s="14"/>
    </row>
    <row r="2" spans="1:8" ht="18" customHeight="1">
      <c r="A2" s="14"/>
      <c r="B2" s="14"/>
      <c r="C2" s="14"/>
      <c r="D2" s="14"/>
      <c r="E2" s="14"/>
      <c r="F2" s="14"/>
      <c r="G2" s="14"/>
      <c r="H2" s="14"/>
    </row>
    <row r="3" spans="1:8" ht="4" customHeight="1">
      <c r="A3" s="6"/>
      <c r="B3" s="6"/>
      <c r="C3" s="6"/>
      <c r="D3" s="6"/>
      <c r="E3" s="6"/>
      <c r="F3" s="6"/>
      <c r="G3" s="6"/>
      <c r="H3" s="6"/>
    </row>
    <row r="4" spans="1:8" ht="4" customHeight="1">
      <c r="A4" s="6"/>
      <c r="B4" s="6"/>
      <c r="C4" s="6"/>
      <c r="D4" s="6"/>
      <c r="E4" s="6"/>
      <c r="F4" s="6"/>
      <c r="G4" s="6"/>
      <c r="H4" s="6"/>
    </row>
    <row r="5" spans="1:8" ht="18" customHeight="1">
      <c r="A5" s="17" t="s">
        <v>56</v>
      </c>
      <c r="B5" s="17"/>
      <c r="C5" s="17"/>
      <c r="D5" s="17"/>
      <c r="E5" s="17"/>
      <c r="F5" s="17"/>
      <c r="G5" s="17"/>
      <c r="H5" s="17"/>
    </row>
    <row r="6" spans="1:8" ht="18" customHeight="1">
      <c r="A6" s="17"/>
      <c r="B6" s="17"/>
      <c r="C6" s="17"/>
      <c r="D6" s="17"/>
      <c r="E6" s="17"/>
      <c r="F6" s="17"/>
      <c r="G6" s="17"/>
      <c r="H6" s="17"/>
    </row>
    <row r="7" spans="1:8" ht="18" customHeight="1">
      <c r="A7" s="17"/>
      <c r="B7" s="17"/>
      <c r="C7" s="17"/>
      <c r="D7" s="17"/>
      <c r="E7" s="17"/>
      <c r="F7" s="17"/>
      <c r="G7" s="17"/>
      <c r="H7" s="17"/>
    </row>
    <row r="8" spans="1:8" ht="4" customHeight="1">
      <c r="A8" s="6"/>
      <c r="B8" s="6"/>
      <c r="C8" s="6"/>
      <c r="D8" s="6"/>
      <c r="E8" s="6"/>
      <c r="F8" s="6"/>
      <c r="G8" s="6"/>
      <c r="H8" s="6"/>
    </row>
    <row r="9" spans="1:8" ht="4" customHeight="1">
      <c r="A9" s="6"/>
      <c r="B9" s="6"/>
      <c r="C9" s="6"/>
      <c r="D9" s="6"/>
      <c r="E9" s="6"/>
      <c r="F9" s="6"/>
      <c r="G9" s="6"/>
      <c r="H9" s="6"/>
    </row>
    <row r="10" spans="1:8" ht="18" customHeight="1">
      <c r="A10" s="17" t="s">
        <v>57</v>
      </c>
      <c r="B10" s="17"/>
      <c r="C10" s="17"/>
      <c r="D10" s="17"/>
      <c r="E10" s="17"/>
      <c r="F10" s="17"/>
      <c r="G10" s="17"/>
      <c r="H10" s="17"/>
    </row>
    <row r="11" spans="1:8" ht="18" customHeight="1">
      <c r="A11" s="17"/>
      <c r="B11" s="17"/>
      <c r="C11" s="17"/>
      <c r="D11" s="17"/>
      <c r="E11" s="17"/>
      <c r="F11" s="17"/>
      <c r="G11" s="17"/>
      <c r="H11" s="17"/>
    </row>
    <row r="12" spans="1:8" ht="18" customHeight="1">
      <c r="A12" s="17"/>
      <c r="B12" s="17"/>
      <c r="C12" s="17"/>
      <c r="D12" s="17"/>
      <c r="E12" s="17"/>
      <c r="F12" s="17"/>
      <c r="G12" s="17"/>
      <c r="H12" s="17"/>
    </row>
    <row r="13" spans="1:8" ht="4" customHeight="1">
      <c r="A13" s="6"/>
      <c r="B13" s="6"/>
      <c r="C13" s="6"/>
      <c r="D13" s="6"/>
      <c r="E13" s="6"/>
      <c r="F13" s="6"/>
      <c r="G13" s="6"/>
      <c r="H13" s="6"/>
    </row>
    <row r="14" spans="1:8" ht="4" customHeight="1">
      <c r="A14" s="6"/>
      <c r="B14" s="6"/>
      <c r="C14" s="6"/>
      <c r="D14" s="6"/>
      <c r="E14" s="6"/>
      <c r="F14" s="6"/>
      <c r="G14" s="6"/>
      <c r="H14" s="6"/>
    </row>
    <row r="15" spans="1:8" ht="18" customHeight="1">
      <c r="A15" s="17" t="s">
        <v>58</v>
      </c>
      <c r="B15" s="17"/>
      <c r="C15" s="17"/>
      <c r="D15" s="17"/>
      <c r="E15" s="17"/>
      <c r="F15" s="17"/>
      <c r="G15" s="17"/>
      <c r="H15" s="17"/>
    </row>
    <row r="16" spans="1:8" ht="18" customHeight="1">
      <c r="A16" s="17"/>
      <c r="B16" s="17"/>
      <c r="C16" s="17"/>
      <c r="D16" s="17"/>
      <c r="E16" s="17"/>
      <c r="F16" s="17"/>
      <c r="G16" s="17"/>
      <c r="H16" s="17"/>
    </row>
    <row r="17" spans="1:8" ht="18" customHeight="1">
      <c r="A17" s="17"/>
      <c r="B17" s="17"/>
      <c r="C17" s="17"/>
      <c r="D17" s="17"/>
      <c r="E17" s="17"/>
      <c r="F17" s="17"/>
      <c r="G17" s="17"/>
      <c r="H17" s="17"/>
    </row>
    <row r="18" spans="1:8" ht="4" customHeight="1">
      <c r="A18" s="6"/>
      <c r="B18" s="6"/>
      <c r="C18" s="6"/>
      <c r="D18" s="6"/>
      <c r="E18" s="6"/>
      <c r="F18" s="6"/>
      <c r="G18" s="6"/>
      <c r="H18" s="6"/>
    </row>
    <row r="19" spans="1:8" ht="4" customHeight="1">
      <c r="A19" s="6"/>
      <c r="B19" s="6"/>
      <c r="C19" s="6"/>
      <c r="D19" s="6"/>
      <c r="E19" s="6"/>
      <c r="F19" s="6"/>
      <c r="G19" s="6"/>
      <c r="H19" s="6"/>
    </row>
    <row r="20" spans="1:8" ht="18" customHeight="1">
      <c r="A20" s="17" t="s">
        <v>59</v>
      </c>
      <c r="B20" s="17"/>
      <c r="C20" s="17"/>
      <c r="D20" s="17"/>
      <c r="E20" s="17"/>
      <c r="F20" s="17"/>
      <c r="G20" s="17"/>
      <c r="H20" s="17"/>
    </row>
    <row r="21" spans="1:8" ht="18" customHeight="1">
      <c r="A21" s="17"/>
      <c r="B21" s="17"/>
      <c r="C21" s="17"/>
      <c r="D21" s="17"/>
      <c r="E21" s="17"/>
      <c r="F21" s="17"/>
      <c r="G21" s="17"/>
      <c r="H21" s="17"/>
    </row>
    <row r="22" spans="1:8" ht="18" customHeight="1">
      <c r="A22" s="17"/>
      <c r="B22" s="17"/>
      <c r="C22" s="17"/>
      <c r="D22" s="17"/>
      <c r="E22" s="17"/>
      <c r="F22" s="17"/>
      <c r="G22" s="17"/>
      <c r="H22" s="17"/>
    </row>
    <row r="23" spans="1:8" ht="4" customHeight="1">
      <c r="A23" s="6"/>
      <c r="B23" s="6"/>
      <c r="C23" s="6"/>
      <c r="D23" s="6"/>
      <c r="E23" s="6"/>
      <c r="F23" s="6"/>
      <c r="G23" s="6"/>
      <c r="H23" s="6"/>
    </row>
    <row r="24" spans="1:8" ht="4" customHeight="1">
      <c r="A24" s="6"/>
      <c r="B24" s="6"/>
      <c r="C24" s="6"/>
      <c r="D24" s="6"/>
      <c r="E24" s="6"/>
      <c r="F24" s="6"/>
      <c r="G24" s="6"/>
      <c r="H24" s="6"/>
    </row>
    <row r="25" spans="1:8" ht="4" customHeight="1">
      <c r="A25" s="6"/>
      <c r="B25" s="6"/>
      <c r="C25" s="6"/>
      <c r="D25" s="6"/>
      <c r="E25" s="6"/>
      <c r="F25" s="6"/>
      <c r="G25" s="6"/>
      <c r="H25" s="6"/>
    </row>
    <row r="26" spans="1:8" ht="18" customHeight="1">
      <c r="A26" s="17" t="s">
        <v>60</v>
      </c>
      <c r="B26" s="17"/>
      <c r="C26" s="17"/>
      <c r="D26" s="17"/>
      <c r="E26" s="17"/>
      <c r="F26" s="17"/>
      <c r="G26" s="17"/>
      <c r="H26" s="17"/>
    </row>
    <row r="27" spans="1:8" ht="18" customHeight="1">
      <c r="A27" s="17"/>
      <c r="B27" s="17"/>
      <c r="C27" s="17"/>
      <c r="D27" s="17"/>
      <c r="E27" s="17"/>
      <c r="F27" s="17"/>
      <c r="G27" s="17"/>
      <c r="H27" s="17"/>
    </row>
    <row r="28" spans="1:8" ht="18" customHeight="1">
      <c r="A28" s="17"/>
      <c r="B28" s="17"/>
      <c r="C28" s="17"/>
      <c r="D28" s="17"/>
      <c r="E28" s="17"/>
      <c r="F28" s="17"/>
      <c r="G28" s="17"/>
      <c r="H28" s="17"/>
    </row>
    <row r="29" spans="1:8" ht="4" customHeight="1">
      <c r="A29" s="6"/>
      <c r="B29" s="6"/>
      <c r="C29" s="6"/>
      <c r="D29" s="6"/>
      <c r="E29" s="6"/>
      <c r="F29" s="6"/>
      <c r="G29" s="6"/>
      <c r="H29" s="6"/>
    </row>
    <row r="30" spans="1:8" ht="4" customHeight="1">
      <c r="A30" s="6"/>
      <c r="B30" s="6"/>
      <c r="C30" s="6"/>
      <c r="D30" s="6"/>
      <c r="E30" s="6"/>
      <c r="F30" s="6"/>
      <c r="G30" s="6"/>
      <c r="H30" s="6"/>
    </row>
    <row r="31" spans="1:8" ht="18" customHeight="1">
      <c r="A31" s="17" t="s">
        <v>61</v>
      </c>
      <c r="B31" s="17"/>
      <c r="C31" s="17"/>
      <c r="D31" s="17"/>
      <c r="E31" s="17"/>
      <c r="F31" s="17"/>
      <c r="G31" s="17"/>
      <c r="H31" s="17"/>
    </row>
    <row r="32" spans="1:8" ht="18" customHeight="1">
      <c r="A32" s="17"/>
      <c r="B32" s="17"/>
      <c r="C32" s="17"/>
      <c r="D32" s="17"/>
      <c r="E32" s="17"/>
      <c r="F32" s="17"/>
      <c r="G32" s="17"/>
      <c r="H32" s="17"/>
    </row>
    <row r="33" spans="1:8" ht="18" customHeight="1">
      <c r="A33" s="17"/>
      <c r="B33" s="17"/>
      <c r="C33" s="17"/>
      <c r="D33" s="17"/>
      <c r="E33" s="17"/>
      <c r="F33" s="17"/>
      <c r="G33" s="17"/>
      <c r="H33" s="17"/>
    </row>
    <row r="34" spans="1:8" ht="4" customHeight="1">
      <c r="A34" s="6"/>
      <c r="B34" s="6"/>
      <c r="C34" s="6"/>
      <c r="D34" s="6"/>
      <c r="E34" s="6"/>
      <c r="F34" s="6"/>
      <c r="G34" s="6"/>
      <c r="H34" s="6"/>
    </row>
    <row r="35" spans="1:8" ht="4" customHeight="1">
      <c r="A35" s="6"/>
      <c r="B35" s="6"/>
      <c r="C35" s="6"/>
      <c r="D35" s="6"/>
      <c r="E35" s="6"/>
      <c r="F35" s="6"/>
      <c r="G35" s="6"/>
      <c r="H35" s="6"/>
    </row>
    <row r="36" spans="1:8" ht="18" customHeight="1">
      <c r="A36" s="17" t="s">
        <v>62</v>
      </c>
      <c r="B36" s="17"/>
      <c r="C36" s="17"/>
      <c r="D36" s="17"/>
      <c r="E36" s="17"/>
      <c r="F36" s="17"/>
      <c r="G36" s="17"/>
      <c r="H36" s="17"/>
    </row>
    <row r="37" spans="1:8" ht="18" customHeight="1">
      <c r="A37" s="17"/>
      <c r="B37" s="17"/>
      <c r="C37" s="17"/>
      <c r="D37" s="17"/>
      <c r="E37" s="17"/>
      <c r="F37" s="17"/>
      <c r="G37" s="17"/>
      <c r="H37" s="17"/>
    </row>
    <row r="38" spans="1:8" ht="18" customHeight="1">
      <c r="A38" s="17"/>
      <c r="B38" s="17"/>
      <c r="C38" s="17"/>
      <c r="D38" s="17"/>
      <c r="E38" s="17"/>
      <c r="F38" s="17"/>
      <c r="G38" s="17"/>
      <c r="H38" s="17"/>
    </row>
    <row r="39" spans="1:8" ht="4" customHeight="1">
      <c r="A39" s="6"/>
      <c r="B39" s="6"/>
      <c r="C39" s="6"/>
      <c r="D39" s="6"/>
      <c r="E39" s="6"/>
      <c r="F39" s="6"/>
      <c r="G39" s="6"/>
      <c r="H39" s="6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8">
    <mergeCell ref="A36:H38"/>
    <mergeCell ref="A26:H28"/>
    <mergeCell ref="A31:H33"/>
    <mergeCell ref="A1:H2"/>
    <mergeCell ref="A5:H7"/>
    <mergeCell ref="A10:H12"/>
    <mergeCell ref="A15:H17"/>
    <mergeCell ref="A20:H22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Dashboard</vt:lpstr>
      <vt:lpstr>Loan Inputs</vt:lpstr>
      <vt:lpstr>Comparison Summary</vt:lpstr>
      <vt:lpstr>5-Year Comparison</vt:lpstr>
      <vt:lpstr>Lifetime Comparison</vt:lpstr>
      <vt:lpstr>Charts</vt:lpstr>
      <vt:lpstr>Instructions</vt:lpstr>
      <vt:lpstr>'5-Year Comparison'!Print_Area</vt:lpstr>
      <vt:lpstr>Charts!Print_Area</vt:lpstr>
      <vt:lpstr>'Comparison Summary'!Print_Area</vt:lpstr>
      <vt:lpstr>Dashboard!Print_Area</vt:lpstr>
      <vt:lpstr>Instructions!Print_Area</vt:lpstr>
      <vt:lpstr>'Lifetime Comparison'!Print_Area</vt:lpstr>
      <vt:lpstr>'Loan Inputs'!Print_Area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cp:lastPrinted>2026-10-17T07:43:39Z</cp:lastPrinted>
  <dcterms:modified xsi:type="dcterms:W3CDTF">2026-10-17T07:43:39Z</dcterms:modified>
</cp:coreProperties>
</file>